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B16" i="127" l="1"/>
  <c r="H5" i="12" l="1"/>
  <c r="C14"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C228" i="5"/>
  <c r="B5304" i="106" s="1"/>
  <c r="D5304" i="106" s="1"/>
  <c r="C259" i="5"/>
  <c r="B6833" i="106" s="1"/>
  <c r="D6833" i="106" s="1"/>
  <c r="B7761" i="106"/>
  <c r="D7761" i="106" s="1"/>
  <c r="L127" i="29"/>
  <c r="L129" i="29" s="1"/>
  <c r="L139" i="29"/>
  <c r="L149" i="29"/>
  <c r="I7" i="145"/>
  <c r="I6" i="145"/>
  <c r="D78" i="36"/>
  <c r="K75" i="29"/>
  <c r="C14" i="4" s="1"/>
  <c r="B2558" i="106" s="1"/>
  <c r="D2558" i="106" s="1"/>
  <c r="K130" i="29"/>
  <c r="K185" i="29"/>
  <c r="K122" i="29"/>
  <c r="G26" i="108"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E34" i="108" s="1"/>
  <c r="K69" i="29"/>
  <c r="E35" i="108"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D26" i="108"/>
  <c r="F26" i="108"/>
  <c r="E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F14" i="4"/>
  <c r="B2597" i="106" s="1"/>
  <c r="D2597" i="106" s="1"/>
  <c r="B2633" i="106"/>
  <c r="D2633" i="106" s="1"/>
  <c r="D7" i="118"/>
  <c r="D8" i="118"/>
  <c r="D9" i="118"/>
  <c r="H14" i="118"/>
  <c r="H19" i="118"/>
  <c r="H24" i="118"/>
  <c r="D24" i="37"/>
  <c r="B4270" i="106" s="1"/>
  <c r="D4270" i="106" s="1"/>
  <c r="D11" i="7"/>
  <c r="B1768" i="106" s="1"/>
  <c r="D1768" i="106" s="1"/>
  <c r="G39" i="108" l="1"/>
  <c r="K24" i="12"/>
  <c r="F42" i="34"/>
  <c r="I342" i="29"/>
  <c r="B7222" i="106" s="1"/>
  <c r="D7222" i="106" s="1"/>
  <c r="I210" i="29"/>
  <c r="B7071" i="106" s="1"/>
  <c r="D7071" i="106" s="1"/>
  <c r="F49" i="34"/>
  <c r="H342" i="29"/>
  <c r="B7221" i="106" s="1"/>
  <c r="D7221" i="106" s="1"/>
  <c r="F70" i="34"/>
  <c r="F106" i="34"/>
  <c r="D22" i="37"/>
  <c r="G30" i="108"/>
  <c r="B7076" i="106"/>
  <c r="D7076" i="106" s="1"/>
  <c r="J210" i="29"/>
  <c r="B7072" i="106" s="1"/>
  <c r="D7072" i="106" s="1"/>
  <c r="F131" i="34"/>
  <c r="D15" i="7"/>
  <c r="B1772" i="106" s="1"/>
  <c r="D1772" i="106" s="1"/>
  <c r="D9" i="7"/>
  <c r="B1767" i="106" s="1"/>
  <c r="D1767" i="106" s="1"/>
  <c r="B7727" i="106"/>
  <c r="D7727" i="106" s="1"/>
  <c r="F67" i="34"/>
  <c r="F45" i="34"/>
  <c r="F38" i="34"/>
  <c r="E38" i="108"/>
  <c r="L13" i="11"/>
  <c r="B2060" i="106" s="1"/>
  <c r="D2060" i="106" s="1"/>
  <c r="H28" i="118"/>
  <c r="E29" i="108"/>
  <c r="D17" i="7"/>
  <c r="B4104" i="106" s="1"/>
  <c r="D4104" i="106" s="1"/>
  <c r="D13" i="7"/>
  <c r="B3726" i="106" s="1"/>
  <c r="D3726" i="106" s="1"/>
  <c r="F172" i="5"/>
  <c r="B5644" i="106" s="1"/>
  <c r="D5644" i="106" s="1"/>
  <c r="L367" i="29"/>
  <c r="F72" i="34"/>
  <c r="F52" i="34"/>
  <c r="F77" i="4"/>
  <c r="B3255" i="106" s="1"/>
  <c r="D3255" i="106" s="1"/>
  <c r="I24" i="12"/>
  <c r="L22" i="37"/>
  <c r="D7" i="7"/>
  <c r="B1763" i="106" s="1"/>
  <c r="D1763" i="106" s="1"/>
  <c r="D4" i="7"/>
  <c r="B1760" i="106" s="1"/>
  <c r="D1760" i="106" s="1"/>
  <c r="G34" i="108"/>
  <c r="F31" i="108"/>
  <c r="B7047" i="106"/>
  <c r="D7047" i="106" s="1"/>
  <c r="J77" i="4"/>
  <c r="B6262" i="106" s="1"/>
  <c r="D6262" i="106" s="1"/>
  <c r="B2724" i="106"/>
  <c r="D2724" i="106" s="1"/>
  <c r="B1124" i="106"/>
  <c r="D1124" i="106" s="1"/>
  <c r="D37" i="108"/>
  <c r="F37" i="108"/>
  <c r="E109" i="5"/>
  <c r="E4" i="4" s="1"/>
  <c r="B2630" i="106" s="1"/>
  <c r="D2630" i="106" s="1"/>
  <c r="D5" i="7"/>
  <c r="B1761" i="106" s="1"/>
  <c r="D1761" i="106" s="1"/>
  <c r="B5096" i="106"/>
  <c r="D5096" i="106" s="1"/>
  <c r="D54" i="36"/>
  <c r="J274" i="5"/>
  <c r="B7054" i="106" s="1"/>
  <c r="D7054" i="106" s="1"/>
  <c r="B7041" i="106"/>
  <c r="D7041" i="106" s="1"/>
  <c r="F127" i="34"/>
  <c r="J22" i="37"/>
  <c r="D5" i="4"/>
  <c r="B3406" i="106" s="1"/>
  <c r="D3406" i="106" s="1"/>
  <c r="I173" i="5"/>
  <c r="B4216" i="106" s="1"/>
  <c r="D4216" i="106" s="1"/>
  <c r="D36" i="108"/>
  <c r="J352" i="29"/>
  <c r="B7235" i="106" s="1"/>
  <c r="D7235" i="106" s="1"/>
  <c r="B4211" i="106"/>
  <c r="D4211" i="106" s="1"/>
  <c r="B3619" i="106"/>
  <c r="D3619" i="106" s="1"/>
  <c r="L15" i="11"/>
  <c r="B3459" i="106" s="1"/>
  <c r="D3459" i="106" s="1"/>
  <c r="H365" i="29"/>
  <c r="B7242" i="106" s="1"/>
  <c r="D7242" i="106" s="1"/>
  <c r="F36" i="34"/>
  <c r="G38" i="108"/>
  <c r="E30" i="108"/>
  <c r="F36" i="108"/>
  <c r="B6995" i="106"/>
  <c r="D6995" i="106" s="1"/>
  <c r="G210" i="29"/>
  <c r="E174" i="29"/>
  <c r="B1309" i="106" s="1"/>
  <c r="D1309" i="106" s="1"/>
  <c r="H173" i="5"/>
  <c r="G172" i="5"/>
  <c r="B1940" i="106"/>
  <c r="D1940" i="106" s="1"/>
  <c r="D68" i="36"/>
  <c r="F56" i="34"/>
  <c r="B2805" i="106"/>
  <c r="D2805" i="106" s="1"/>
  <c r="B7733" i="106"/>
  <c r="D7733" i="106" s="1"/>
  <c r="K26" i="12"/>
  <c r="B7743" i="106" s="1"/>
  <c r="D7743" i="106" s="1"/>
  <c r="B1746" i="106"/>
  <c r="D1746" i="106" s="1"/>
  <c r="K274" i="5"/>
  <c r="K7" i="4" s="1"/>
  <c r="B3718" i="106" s="1"/>
  <c r="D3718" i="106" s="1"/>
  <c r="F111" i="34"/>
  <c r="F136" i="34"/>
  <c r="I274" i="5"/>
  <c r="I7" i="4" s="1"/>
  <c r="B4444" i="106" s="1"/>
  <c r="D4444" i="106" s="1"/>
  <c r="K173" i="5"/>
  <c r="K6" i="4" s="1"/>
  <c r="B3570" i="106" s="1"/>
  <c r="D3570" i="106" s="1"/>
  <c r="B6899" i="106"/>
  <c r="D6899" i="106" s="1"/>
  <c r="F50" i="34"/>
  <c r="B6891" i="106"/>
  <c r="D6891" i="106" s="1"/>
  <c r="F46" i="34"/>
  <c r="B6887" i="106"/>
  <c r="D6887" i="106" s="1"/>
  <c r="F44" i="34"/>
  <c r="F27" i="108"/>
  <c r="D27" i="108"/>
  <c r="B3170" i="106"/>
  <c r="D3170" i="106" s="1"/>
  <c r="H76" i="4"/>
  <c r="B3298" i="106" s="1"/>
  <c r="D3298" i="106" s="1"/>
  <c r="F15" i="145"/>
  <c r="F19" i="145" s="1"/>
  <c r="B1274" i="106"/>
  <c r="D1274" i="106" s="1"/>
  <c r="H109" i="5"/>
  <c r="F130" i="34"/>
  <c r="L5" i="11"/>
  <c r="B2056" i="106" s="1"/>
  <c r="D2056" i="106" s="1"/>
  <c r="D14" i="4"/>
  <c r="B2570" i="106" s="1"/>
  <c r="D2570" i="106" s="1"/>
  <c r="G5" i="4"/>
  <c r="B3409" i="106" s="1"/>
  <c r="D3409" i="106" s="1"/>
  <c r="E26" i="108"/>
  <c r="B6881" i="106"/>
  <c r="D6881" i="106" s="1"/>
  <c r="F41" i="34"/>
  <c r="B6853" i="106"/>
  <c r="D6853" i="106" s="1"/>
  <c r="F35" i="34"/>
  <c r="C129" i="29"/>
  <c r="B1225" i="106" s="1"/>
  <c r="D1225" i="106" s="1"/>
  <c r="B1223" i="106"/>
  <c r="D1223" i="106" s="1"/>
  <c r="B1136" i="106"/>
  <c r="D1136" i="106" s="1"/>
  <c r="G35" i="108"/>
  <c r="B1104" i="106"/>
  <c r="D1104" i="106" s="1"/>
  <c r="F37" i="34"/>
  <c r="L312" i="29"/>
  <c r="B3621" i="106"/>
  <c r="D3621" i="106" s="1"/>
  <c r="C367" i="29"/>
  <c r="B3622" i="106" s="1"/>
  <c r="D3622" i="106" s="1"/>
  <c r="L342" i="29"/>
  <c r="K76" i="4"/>
  <c r="B3586" i="106" s="1"/>
  <c r="D3586" i="106" s="1"/>
  <c r="K285" i="29"/>
  <c r="D6103" i="106"/>
  <c r="G352" i="29"/>
  <c r="G367" i="29" s="1"/>
  <c r="B3650" i="106" s="1"/>
  <c r="D3650" i="106" s="1"/>
  <c r="F21" i="8"/>
  <c r="D69" i="36"/>
  <c r="F19" i="7"/>
  <c r="B1807" i="106" s="1"/>
  <c r="D1807" i="106" s="1"/>
  <c r="B3649" i="106"/>
  <c r="D3649" i="106" s="1"/>
  <c r="K350" i="29"/>
  <c r="C342" i="29"/>
  <c r="B7216" i="106" s="1"/>
  <c r="D7216" i="106" s="1"/>
  <c r="B1410" i="106"/>
  <c r="D1410" i="106" s="1"/>
  <c r="K184" i="29"/>
  <c r="F13" i="4" s="1"/>
  <c r="B2596" i="106" s="1"/>
  <c r="D2596" i="106" s="1"/>
  <c r="G29" i="108"/>
  <c r="B1329" i="106"/>
  <c r="D1329" i="106" s="1"/>
  <c r="F61" i="34"/>
  <c r="F28" i="108"/>
  <c r="E28" i="108"/>
  <c r="D12" i="7"/>
  <c r="B1769" i="106" s="1"/>
  <c r="D1769" i="106" s="1"/>
  <c r="G109" i="5"/>
  <c r="D109" i="5"/>
  <c r="F128" i="34"/>
  <c r="C172" i="5"/>
  <c r="C109" i="5"/>
  <c r="B5121" i="106" s="1"/>
  <c r="D5121" i="106" s="1"/>
  <c r="B5066" i="106"/>
  <c r="D5066" i="106" s="1"/>
  <c r="D11" i="37"/>
  <c r="D31" i="36"/>
  <c r="H29" i="118"/>
  <c r="H33" i="118"/>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J49"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73" i="5"/>
  <c r="J24" i="12"/>
  <c r="B7730" i="106"/>
  <c r="D7730" i="106" s="1"/>
  <c r="B7270" i="106"/>
  <c r="H275" i="5" l="1"/>
  <c r="D274" i="5"/>
  <c r="D7252" i="106"/>
  <c r="F66" i="34"/>
  <c r="F173" i="5"/>
  <c r="F6" i="4" s="1"/>
  <c r="B2593" i="106" s="1"/>
  <c r="D2593" i="106" s="1"/>
  <c r="K28" i="118"/>
  <c r="O27" i="118" s="1"/>
  <c r="O29" i="118" s="1"/>
  <c r="B4435" i="106"/>
  <c r="D4435" i="106" s="1"/>
  <c r="D7254" i="106"/>
  <c r="J7" i="4"/>
  <c r="B6222" i="106" s="1"/>
  <c r="D6222" i="106" s="1"/>
  <c r="B5527" i="106"/>
  <c r="D5527" i="106" s="1"/>
  <c r="J367" i="29"/>
  <c r="B7245" i="106" s="1"/>
  <c r="D7245" i="106" s="1"/>
  <c r="H77" i="4"/>
  <c r="B3299" i="106" s="1"/>
  <c r="D3299" i="106" s="1"/>
  <c r="B6022" i="106"/>
  <c r="D6022" i="106" s="1"/>
  <c r="B5914" i="106"/>
  <c r="D5914" i="106" s="1"/>
  <c r="B3628" i="106"/>
  <c r="D3628" i="106" s="1"/>
  <c r="D41" i="108"/>
  <c r="E43" i="108" s="1"/>
  <c r="B7215" i="106"/>
  <c r="D7215" i="106" s="1"/>
  <c r="C151" i="29"/>
  <c r="B1226" i="106" s="1"/>
  <c r="D1226" i="106" s="1"/>
  <c r="G15" i="145"/>
  <c r="B1996" i="106"/>
  <c r="D1996" i="106" s="1"/>
  <c r="I26" i="12"/>
  <c r="B7741" i="106" s="1"/>
  <c r="D7741" i="106" s="1"/>
  <c r="B1317" i="106"/>
  <c r="D1317" i="106" s="1"/>
  <c r="F41" i="108"/>
  <c r="G43" i="108" s="1"/>
  <c r="B1266" i="106"/>
  <c r="D1266" i="106" s="1"/>
  <c r="B1381" i="106"/>
  <c r="D1381" i="106" s="1"/>
  <c r="D7255" i="106"/>
  <c r="D7253" i="106"/>
  <c r="D7250" i="106"/>
  <c r="B1365" i="106"/>
  <c r="D1365" i="106" s="1"/>
  <c r="F65" i="34"/>
  <c r="I6" i="4"/>
  <c r="B5011" i="106" s="1"/>
  <c r="D5011" i="106" s="1"/>
  <c r="B1879" i="106"/>
  <c r="D1879" i="106" s="1"/>
  <c r="H22" i="37"/>
  <c r="F73" i="34"/>
  <c r="G15" i="4"/>
  <c r="B6032" i="106" s="1"/>
  <c r="D6032" i="106" s="1"/>
  <c r="B1328" i="106"/>
  <c r="D1328" i="106" s="1"/>
  <c r="F274" i="5"/>
  <c r="F7" i="4" s="1"/>
  <c r="B2594" i="106" s="1"/>
  <c r="D2594" i="106" s="1"/>
  <c r="B3724" i="106"/>
  <c r="D3724" i="106" s="1"/>
  <c r="B6025" i="106"/>
  <c r="D6025" i="106" s="1"/>
  <c r="H4" i="4"/>
  <c r="B4172" i="106"/>
  <c r="D4172" i="106" s="1"/>
  <c r="N22" i="3"/>
  <c r="G173" i="5"/>
  <c r="B5770" i="106"/>
  <c r="D5770" i="106" s="1"/>
  <c r="K365" i="29"/>
  <c r="K16" i="4" s="1"/>
  <c r="D7256" i="106"/>
  <c r="D7251" i="106"/>
  <c r="L114" i="29"/>
  <c r="B6014" i="106"/>
  <c r="D6014" i="106" s="1"/>
  <c r="H367" i="29"/>
  <c r="B3660" i="106" s="1"/>
  <c r="D3660" i="106" s="1"/>
  <c r="B5906" i="106"/>
  <c r="D5906" i="106" s="1"/>
  <c r="H6" i="4"/>
  <c r="B2656" i="106" s="1"/>
  <c r="D2656" i="106" s="1"/>
  <c r="L16" i="11"/>
  <c r="B2061" i="106" s="1"/>
  <c r="D2061" i="106" s="1"/>
  <c r="B2031" i="106"/>
  <c r="D2031" i="106" s="1"/>
  <c r="B3670" i="106"/>
  <c r="D3670" i="106" s="1"/>
  <c r="K352" i="29"/>
  <c r="K342" i="29"/>
  <c r="F13" i="34" s="1"/>
  <c r="C114" i="29"/>
  <c r="B757" i="106" s="1"/>
  <c r="D757" i="106" s="1"/>
  <c r="B6024" i="106"/>
  <c r="D6024" i="106" s="1"/>
  <c r="G4" i="4"/>
  <c r="B2603" i="106" s="1"/>
  <c r="D2603" i="106" s="1"/>
  <c r="B5356" i="106"/>
  <c r="D5356" i="106" s="1"/>
  <c r="D4" i="4"/>
  <c r="B2564" i="106" s="1"/>
  <c r="D2564" i="106" s="1"/>
  <c r="B5214" i="106"/>
  <c r="D5214" i="106" s="1"/>
  <c r="C173" i="5"/>
  <c r="C4" i="4"/>
  <c r="B2551" i="106" s="1"/>
  <c r="D2551" i="106" s="1"/>
  <c r="D19" i="7"/>
  <c r="B1775" i="106" s="1"/>
  <c r="D177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E19" i="145"/>
  <c r="B5915" i="106"/>
  <c r="D5915" i="106" s="1"/>
  <c r="D7" i="4"/>
  <c r="B5507" i="106"/>
  <c r="D5507" i="106" s="1"/>
  <c r="B7298" i="106"/>
  <c r="B7299" i="106"/>
  <c r="B5719" i="106" l="1"/>
  <c r="D5719" i="106" s="1"/>
  <c r="B5653" i="106"/>
  <c r="D5653" i="106" s="1"/>
  <c r="G19" i="145"/>
  <c r="J20" i="145" s="1"/>
  <c r="F275" i="5"/>
  <c r="B5720" i="106" s="1"/>
  <c r="D5720" i="106" s="1"/>
  <c r="B1145" i="106"/>
  <c r="D1145" i="106" s="1"/>
  <c r="J8" i="4"/>
  <c r="B6223" i="106" s="1"/>
  <c r="D6223" i="106" s="1"/>
  <c r="B7243" i="106"/>
  <c r="D7243" i="106" s="1"/>
  <c r="B5778" i="106"/>
  <c r="D5778" i="106" s="1"/>
  <c r="G6" i="4"/>
  <c r="B2604" i="106" s="1"/>
  <c r="D2604" i="106" s="1"/>
  <c r="B7224" i="106"/>
  <c r="D7224" i="106" s="1"/>
  <c r="B283" i="106"/>
  <c r="D283" i="106" s="1"/>
  <c r="N23" i="3"/>
  <c r="B284" i="106" s="1"/>
  <c r="D284" i="106" s="1"/>
  <c r="F24" i="37"/>
  <c r="B2655" i="106"/>
  <c r="D2655" i="106" s="1"/>
  <c r="H8" i="4"/>
  <c r="J17" i="4"/>
  <c r="J19" i="4" s="1"/>
  <c r="B6229" i="106" s="1"/>
  <c r="D6229" i="106" s="1"/>
  <c r="K13" i="4"/>
  <c r="B3572" i="106" s="1"/>
  <c r="D3572" i="106" s="1"/>
  <c r="B3672" i="106"/>
  <c r="D3672" i="106" s="1"/>
  <c r="K367" i="29"/>
  <c r="B3678" i="106" s="1"/>
  <c r="D3678" i="106" s="1"/>
  <c r="G41" i="108"/>
  <c r="G44" i="108" s="1"/>
  <c r="G45" i="108" s="1"/>
  <c r="E41" i="108"/>
  <c r="E44" i="108" s="1"/>
  <c r="E45" i="108" s="1"/>
  <c r="F8" i="4"/>
  <c r="B2595" i="106" s="1"/>
  <c r="D259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D8" i="4"/>
  <c r="B2568" i="106" s="1"/>
  <c r="D2568" i="106" s="1"/>
  <c r="J10" i="4"/>
  <c r="B6225" i="106" s="1"/>
  <c r="D6225" i="106" s="1"/>
  <c r="D8" i="146"/>
  <c r="B6227" i="106"/>
  <c r="D6227" i="106" s="1"/>
  <c r="B2658" i="106"/>
  <c r="D2658" i="106" s="1"/>
  <c r="H10" i="4"/>
  <c r="B4127" i="106" s="1"/>
  <c r="D4127" i="106" s="1"/>
  <c r="F76" i="34"/>
  <c r="F10" i="4"/>
  <c r="B4125" i="106" s="1"/>
  <c r="D4125" i="106" s="1"/>
  <c r="K368" i="29"/>
  <c r="B3681" i="106" s="1"/>
  <c r="D3681"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C8" i="146"/>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D78" i="4" l="1"/>
  <c r="D81" i="4" s="1"/>
  <c r="C10" i="146"/>
  <c r="F179" i="34"/>
  <c r="F79" i="34"/>
  <c r="B6215" i="106"/>
  <c r="D6215" i="106" s="1"/>
  <c r="J41" i="3"/>
  <c r="B3588" i="106"/>
  <c r="D3588" i="106" s="1"/>
  <c r="K81" i="4"/>
  <c r="F78" i="4"/>
  <c r="B2601" i="106"/>
  <c r="D2601" i="106" s="1"/>
  <c r="B3320" i="106"/>
  <c r="D3320" i="106" s="1"/>
  <c r="I81" i="4"/>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212" i="106" l="1"/>
  <c r="D212" i="106" s="1"/>
  <c r="H41" i="3"/>
  <c r="F181" i="34"/>
  <c r="F183" i="34" s="1"/>
  <c r="B123" i="106"/>
  <c r="D123" i="106" s="1"/>
  <c r="D41" i="3"/>
  <c r="B2912" i="106"/>
  <c r="D2912" i="106" s="1"/>
  <c r="I41" i="3"/>
  <c r="B6216" i="106"/>
  <c r="D6216" i="106" s="1"/>
  <c r="D51" i="36"/>
  <c r="B3567" i="106"/>
  <c r="D3567" i="106" s="1"/>
  <c r="K41" i="3"/>
  <c r="B3278" i="106"/>
  <c r="D3278" i="106" s="1"/>
  <c r="E81" i="4"/>
  <c r="E39" i="3" s="1"/>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B213" i="106"/>
  <c r="D213" i="106" s="1"/>
  <c r="D49" i="36"/>
  <c r="B140" i="106"/>
  <c r="D140" i="106" s="1"/>
  <c r="E41" i="3"/>
  <c r="B2913" i="106"/>
  <c r="D2913" i="106" s="1"/>
  <c r="D50" i="36"/>
  <c r="D45" i="36"/>
  <c r="B124" i="106"/>
  <c r="D124" i="106" s="1"/>
  <c r="B92" i="106"/>
  <c r="D92" i="106" s="1"/>
  <c r="C41" i="3"/>
  <c r="D76" i="36"/>
  <c r="B3568" i="106"/>
  <c r="D3568" i="106" s="1"/>
  <c r="D52"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71" i="106"/>
  <c r="D171" i="106" s="1"/>
  <c r="D47"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<sst xmlns="http://schemas.openxmlformats.org/spreadsheetml/2006/main" count="5050" uniqueCount="2121">
  <si>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</si>
  <si>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</si>
  <si>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</si>
  <si>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</si>
  <si>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</si>
  <si>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</si>
  <si>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</si>
  <si>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</si>
  <si>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</si>
  <si>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</si>
  <si>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</si>
  <si>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</si>
  <si>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</si>
  <si>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</si>
  <si>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</si>
  <si>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</si>
  <si>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</si>
  <si>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</si>
  <si>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</si>
  <si>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</si>
  <si>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</si>
  <si>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</si>
  <si>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</si>
  <si>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</si>
  <si>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</si>
  <si>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</si>
  <si>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</si>
  <si>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</si>
  <si>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</si>
  <si>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</si>
  <si>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</si>
  <si>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</si>
  <si>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</si>
  <si>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</si>
  <si>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</si>
  <si>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</si>
  <si>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</si>
  <si>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</si>
  <si>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</si>
  <si>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</si>
  <si>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</si>
  <si>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</si>
  <si>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</si>
  <si>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</si>
  <si>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</si>
  <si>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</si>
  <si>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</si>
  <si>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</si>
  <si>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</si>
  <si>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</si>
  <si>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</si>
  <si>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</si>
  <si>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</si>
  <si>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</si>
  <si>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</si>
  <si>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</si>
  <si>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</si>
  <si>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</si>
  <si>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</si>
  <si>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</si>
  <si>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</si>
  <si>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</si>
  <si>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</si>
  <si>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</si>
  <si>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</si>
  <si>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</si>
  <si>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</si>
  <si>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</si>
  <si>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</si>
  <si>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</si>
  <si>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</si>
  <si>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</si>
  <si>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</si>
  <si>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</si>
  <si>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</si>
  <si>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</si>
  <si>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</si>
  <si>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</si>
  <si>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</si>
  <si>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</si>
  <si>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</si>
  <si>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</si>
  <si>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</si>
  <si>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</si>
  <si>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</si>
  <si>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</si>
  <si>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</si>
  <si>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</si>
  <si>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</si>
  <si>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</si>
  <si>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</si>
  <si>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</si>
  <si>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</si>
  <si>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</si>
  <si>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</si>
  <si>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</si>
  <si>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</si>
  <si>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</si>
  <si>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</si>
  <si>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</si>
  <si>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</si>
  <si>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</si>
  <si>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</si>
  <si>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</si>
  <si>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</si>
  <si>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</si>
  <si>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</si>
  <si>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</si>
  <si>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</si>
  <si>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</si>
  <si>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</si>
  <si>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</si>
  <si>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</si>
  <si>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</si>
  <si>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</si>
  <si>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</si>
  <si>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</si>
  <si>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</si>
  <si>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</si>
  <si>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</si>
  <si>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</si>
  <si>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</si>
  <si>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</si>
  <si>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</si>
  <si>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</si>
  <si>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</si>
  <si>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</si>
  <si>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</si>
  <si>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</si>
  <si>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</si>
  <si>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</si>
  <si>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</si>
  <si>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</si>
  <si>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</si>
  <si>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</si>
  <si>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</si>
  <si>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</si>
  <si>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</si>
  <si>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</si>
  <si>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</si>
  <si>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</si>
  <si>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</si>
  <si>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</si>
  <si>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</si>
  <si>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</si>
  <si>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</si>
  <si>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</si>
  <si>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</si>
  <si>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</si>
  <si>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</si>
  <si>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</si>
  <si>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</si>
  <si>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</si>
  <si>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</si>
  <si>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</si>
  <si>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</si>
  <si>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</si>
  <si>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</si>
  <si>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</si>
  <si>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</si>
  <si>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</si>
  <si>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</si>
  <si>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</si>
  <si>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</si>
  <si>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</si>
  <si>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</si>
  <si>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</si>
  <si>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</si>
  <si>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</si>
  <si>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</si>
  <si>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</si>
  <si>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</si>
  <si>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</si>
  <si>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</si>
  <si>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</si>
  <si>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</si>
  <si>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</si>
  <si>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</si>
  <si>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</si>
  <si>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</si>
  <si>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</si>
  <si>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</si>
  <si>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</si>
  <si>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</si>
  <si>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</si>
  <si>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</si>
  <si>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</si>
  <si>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</si>
  <si>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</si>
  <si>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</si>
  <si>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</si>
  <si>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</si>
  <si>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</si>
  <si>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</si>
  <si>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</si>
  <si>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</si>
  <si>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</si>
  <si>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</si>
  <si>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</si>
  <si>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</si>
  <si>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</si>
  <si>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</si>
  <si>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</si>
  <si>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</si>
  <si>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</si>
  <si>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</si>
  <si>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</si>
  <si>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</si>
  <si>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</si>
  <si>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</si>
  <si>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</si>
  <si>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</si>
  <si>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</si>
  <si>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</si>
  <si>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</si>
  <si>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</si>
  <si>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</si>
  <si>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</si>
  <si>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</si>
  <si>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</si>
  <si>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</si>
  <si>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</si>
  <si>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</si>
  <si>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</si>
  <si>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</si>
  <si>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</si>
  <si>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</si>
  <si>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</si>
  <si>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</si>
  <si>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</si>
  <si>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</si>
  <si>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</si>
  <si>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</si>
  <si>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</si>
  <si>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</si>
  <si>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</si>
  <si>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</si>
  <si>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</si>
  <si>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</si>
  <si>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</si>
  <si>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</si>
  <si>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</si>
  <si>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</si>
  <si>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</si>
  <si>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</si>
  <si>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</si>
  <si>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</si>
  <si>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</si>
  <si>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</si>
  <si>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</si>
  <si>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</si>
  <si>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</si>
  <si>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</si>
  <si>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</si>
  <si>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</si>
  <si>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</si>
  <si>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</si>
  <si>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</si>
  <si>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</si>
  <si>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</si>
  <si>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</si>
  <si>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</si>
  <si>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</si>
  <si>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</si>
  <si>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</si>
  <si>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</si>
  <si>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</si>
  <si>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</si>
  <si>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</si>
  <si>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</si>
  <si>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</si>
  <si>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</si>
  <si>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</si>
  <si>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</si>
  <si>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</si>
  <si>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</si>
  <si>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</si>
  <si>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</si>
  <si>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</si>
  <si>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</si>
  <si>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</si>
  <si>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</si>
  <si>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</si>
  <si>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</si>
  <si>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</si>
  <si>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</si>
  <si>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</si>
  <si>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</si>
  <si>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</si>
  <si>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</si>
  <si>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</si>
  <si>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</si>
  <si>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</si>
  <si>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</si>
  <si>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</si>
  <si>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</si>
  <si>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</si>
  <si>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</si>
  <si>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</si>
  <si>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</si>
  <si>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</si>
  <si>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</si>
  <si>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</si>
  <si>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</si>
  <si>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</si>
  <si>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</si>
  <si>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</si>
  <si>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</si>
  <si>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</si>
  <si>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</si>
  <si>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</si>
  <si>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</si>
  <si>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</si>
  <si>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</si>
  <si>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</si>
  <si>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</si>
  <si>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</si>
  <si>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</si>
  <si>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</si>
  <si>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</si>
  <si>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</si>
  <si>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</si>
  <si>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</si>
  <si>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</si>
  <si>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</si>
  <si>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</si>
  <si>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</si>
  <si>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</si>
  <si>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</si>
  <si>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</si>
  <si>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</si>
  <si>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</si>
  <si>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</si>
  <si>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</si>
  <si>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</si>
  <si>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</si>
  <si>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</si>
  <si>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</si>
  <si>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</si>
  <si>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</si>
  <si>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</si>
  <si>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</si>
  <si>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</si>
  <si>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</si>
  <si>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</si>
  <si>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</si>
  <si>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</si>
  <si>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</si>
  <si>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</si>
  <si>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</si>
  <si>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</si>
  <si>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</si>
  <si>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</si>
  <si>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</si>
  <si>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</si>
  <si>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</si>
  <si>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</si>
  <si>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</si>
  <si>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</si>
  <si>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</si>
  <si>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</si>
  <si>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</si>
  <si>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</si>
  <si>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</si>
  <si>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</si>
  <si>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</si>
  <si>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</si>
  <si>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</si>
  <si>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</si>
  <si>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</si>
  <si>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</si>
  <si>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</si>
  <si>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</si>
  <si>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</si>
  <si>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</si>
  <si>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</si>
  <si>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</si>
  <si>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</si>
  <si>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</si>
  <si>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</si>
  <si>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</si>
  <si>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</si>
  <si>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</si>
  <si>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</si>
  <si>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</si>
  <si>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</si>
  <si>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</si>
  <si>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</si>
  <si>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</si>
  <si>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</si>
  <si>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</si>
  <si>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</si>
  <si>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</si>
  <si>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</si>
  <si>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</si>
  <si>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</si>
  <si>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</si>
  <si>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</si>
  <si>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</si>
  <si>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</si>
  <si>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</si>
  <si>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</si>
  <si>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</si>
  <si>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</si>
  <si>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</si>
  <si>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</si>
  <si>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</si>
  <si>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</si>
  <si>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</si>
  <si>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</si>
  <si>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</si>
  <si>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</si>
  <si>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</si>
  <si>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</si>
  <si>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</si>
  <si>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</si>
  <si>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</si>
  <si>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</si>
  <si>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</si>
  <si>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</si>
  <si>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</si>
  <si>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</si>
  <si>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</si>
  <si>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</si>
  <si>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</si>
  <si>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</si>
  <si>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</si>
  <si>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</si>
  <si>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</si>
  <si>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</si>
  <si>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</si>
  <si>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</si>
  <si>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</si>
  <si>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</si>
  <si>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</si>
  <si>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</si>
  <si>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</si>
  <si>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</si>
  <si>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</si>
  <si>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</si>
  <si>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</si>
  <si>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</si>
  <si>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</si>
  <si>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</si>
  <si>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</si>
  <si>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</si>
  <si>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</si>
  <si>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</si>
  <si>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</si>
  <si>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</si>
  <si>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</si>
  <si>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</si>
  <si>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</si>
  <si>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</si>
  <si>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</si>
  <si>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</si>
  <si>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</si>
  <si>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</si>
  <si>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</si>
  <si>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</si>
  <si>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</si>
  <si>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</si>
  <si>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</si>
  <si>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</si>
  <si>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</si>
  <si>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</si>
  <si>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</si>
  <si>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</si>
  <si>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</si>
  <si>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</si>
  <si>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</si>
  <si>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</si>
  <si>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</si>
  <si>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</si>
  <si>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</si>
  <si>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</si>
  <si>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</si>
  <si>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</si>
  <si>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</si>
  <si>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</si>
  <si>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</si>
  <si>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</si>
  <si>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</si>
  <si>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</si>
  <si>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</si>
  <si>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</si>
  <si>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</si>
  <si>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</si>
  <si>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</si>
  <si>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</si>
  <si>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</si>
  <si>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</si>
  <si>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</si>
  <si>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</si>
  <si>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</si>
  <si>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</si>
  <si>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</si>
  <si>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</si>
  <si>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</si>
  <si>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</si>
  <si>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</si>
  <si>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</si>
  <si>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</si>
  <si>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</si>
  <si>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</si>
  <si>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</si>
  <si>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</si>
  <si>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</si>
  <si>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</si>
  <si>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</si>
  <si>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</si>
  <si>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</si>
  <si>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</si>
  <si>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</si>
  <si>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</si>
  <si>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</si>
  <si>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</si>
  <si>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</si>
  <si>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</si>
  <si>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</si>
  <si>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</si>
  <si>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</si>
  <si>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</si>
  <si>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</si>
  <si>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</si>
  <si>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</si>
  <si>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</si>
  <si>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</si>
  <si>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</si>
  <si>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</si>
  <si>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</si>
  <si>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</si>
  <si>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</si>
  <si>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</si>
  <si>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</si>
  <si>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</si>
  <si>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</si>
  <si>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</si>
  <si>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</si>
  <si>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</si>
  <si>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</si>
  <si>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</si>
  <si>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</si>
  <si>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</si>
  <si>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</si>
  <si>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</si>
  <si>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</si>
  <si>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</si>
  <si>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</si>
  <si>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</si>
  <si>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</si>
  <si>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</si>
  <si>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</si>
  <si>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</si>
  <si>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</si>
  <si>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</si>
  <si>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</si>
  <si>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</si>
  <si>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</si>
  <si>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</si>
  <si>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</si>
  <si>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</si>
  <si>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</si>
  <si>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</si>
  <si>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</si>
  <si>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</si>
  <si>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</si>
  <si>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</si>
  <si>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</si>
  <si>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</si>
  <si>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</si>
  <si>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</si>
  <si>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</si>
  <si>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</si>
  <si>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</si>
  <si>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</si>
  <si>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</si>
  <si>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</si>
  <si>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</si>
  <si>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</si>
  <si>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</si>
  <si>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</si>
  <si>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</si>
  <si>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</si>
  <si>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</si>
  <si>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</si>
  <si>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</si>
  <si>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</si>
  <si>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</si>
  <si>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</si>
  <si>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</si>
  <si>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</si>
  <si>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</si>
  <si>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</si>
  <si>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</si>
  <si>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</si>
  <si>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</si>
  <si>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</si>
  <si>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</si>
  <si>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</si>
  <si>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</si>
  <si>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</si>
  <si>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</si>
  <si>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</si>
  <si>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</si>
  <si>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</si>
  <si>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</si>
  <si>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</si>
  <si>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</si>
  <si>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</si>
  <si>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</si>
  <si>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</si>
  <si>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</si>
  <si>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</si>
  <si>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</si>
  <si>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</si>
  <si>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</si>
  <si>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</si>
  <si>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</si>
  <si>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</si>
  <si>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</si>
  <si>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</si>
  <si>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</si>
  <si>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</si>
  <si>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</si>
  <si>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</si>
  <si>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</si>
  <si>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</si>
  <si>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</si>
  <si>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</si>
  <si>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</si>
  <si>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</si>
  <si>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</si>
  <si>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</si>
  <si>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</si>
  <si>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</si>
  <si>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</si>
  <si>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</si>
  <si>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</si>
  <si>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</si>
  <si>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</si>
  <si>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</si>
  <si>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</si>
  <si>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</si>
  <si>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</si>
  <si>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</si>
  <si>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</si>
  <si>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</si>
  <si>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</si>
  <si>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</si>
  <si>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</si>
  <si>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</si>
  <si>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</si>
  <si>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</si>
  <si>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</si>
  <si>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</si>
  <si>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</si>
  <si>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</si>
  <si>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</si>
  <si>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</si>
  <si>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</si>
  <si>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</si>
  <si>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</si>
  <si>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</si>
  <si>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</si>
  <si>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</si>
  <si>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</si>
  <si>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</si>
  <si>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</si>
  <si>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</si>
  <si>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</si>
  <si>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</si>
  <si>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</si>
  <si>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</si>
  <si>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</si>
  <si>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</si>
  <si>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</si>
  <si>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</si>
  <si>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</si>
  <si>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</si>
  <si>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</si>
  <si>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</si>
  <si>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</si>
  <si>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</si>
  <si>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</si>
  <si>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</si>
  <si>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</si>
  <si>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</si>
  <si>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</si>
  <si>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</si>
  <si>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</si>
  <si>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</si>
  <si>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</si>
  <si>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</si>
  <si>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</si>
  <si>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</si>
  <si>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</si>
  <si>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</si>
  <si>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</si>
  <si>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</si>
  <si>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</si>
  <si>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</si>
  <si>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</si>
  <si>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</si>
  <si>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</si>
  <si>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</si>
  <si>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</si>
  <si>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</si>
  <si>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</si>
  <si>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</si>
  <si>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</si>
  <si>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</si>
  <si>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</si>
  <si>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</si>
  <si>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</si>
  <si>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</si>
  <si>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</si>
  <si>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</si>
  <si>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</si>
  <si>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</si>
  <si>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</si>
  <si>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</si>
  <si>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</si>
  <si>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</si>
  <si>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</si>
  <si>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</si>
  <si>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</si>
  <si>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</si>
  <si>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</si>
  <si>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</si>
  <si>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</si>
  <si>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</si>
  <si>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</si>
  <si>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</si>
  <si>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</si>
  <si>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</si>
  <si>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</si>
  <si>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</si>
  <si>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</si>
  <si>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</si>
  <si>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</si>
  <si>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</si>
  <si>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</si>
  <si>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</si>
  <si>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</si>
  <si>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</si>
  <si>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</si>
  <si>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</si>
  <si>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</si>
  <si>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</si>
  <si>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</si>
  <si>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</si>
  <si>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</si>
  <si>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</si>
  <si>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</si>
  <si>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</si>
  <si>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</si>
  <si>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</si>
  <si>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</si>
  <si>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</si>
  <si>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</si>
  <si>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</si>
  <si>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</si>
  <si>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</si>
  <si>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</si>
  <si>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</si>
  <si>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</si>
  <si>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</si>
  <si>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</si>
  <si>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</si>
  <si>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</si>
  <si>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</si>
  <si>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</si>
  <si>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</si>
  <si>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</si>
  <si>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</si>
  <si>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</si>
  <si>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</si>
  <si>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</si>
  <si>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</si>
  <si>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</si>
  <si>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</si>
  <si>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</si>
  <si>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</si>
  <si>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</si>
  <si>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</si>
  <si>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</si>
  <si>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</si>
  <si>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</si>
  <si>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</si>
  <si>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</si>
  <si>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</si>
  <si>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</si>
  <si>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</si>
  <si>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</si>
  <si>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</si>
  <si>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</si>
  <si>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</si>
  <si>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</si>
  <si>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</si>
  <si>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</si>
  <si>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</si>
  <si>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</si>
  <si>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</si>
  <si>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</si>
  <si>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</si>
  <si>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</si>
  <si>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</si>
  <si>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</si>
  <si>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</si>
  <si>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</si>
  <si>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</si>
  <si>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</si>
  <si>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</si>
  <si>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</si>
  <si>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</si>
  <si>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</si>
  <si>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</si>
  <si>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</si>
  <si>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</si>
  <si>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</si>
  <si>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</si>
  <si>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</si>
  <si>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</si>
  <si>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</si>
  <si>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</si>
  <si>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</si>
  <si>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</si>
  <si>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</si>
  <si>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</si>
  <si>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</si>
  <si>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</si>
  <si>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</si>
  <si>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</si>
  <si>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</si>
  <si>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</si>
  <si>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</si>
  <si>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</si>
  <si>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</si>
  <si>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</si>
  <si>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</si>
  <si>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</si>
  <si>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</si>
  <si>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</si>
  <si>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</si>
  <si>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</si>
  <si>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</si>
  <si>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</si>
  <si>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</si>
  <si>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</si>
  <si>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</si>
  <si>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</si>
  <si>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</si>
  <si>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</si>
  <si>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</si>
  <si>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</si>
  <si>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</si>
  <si>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</si>
  <si>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</si>
  <si>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</si>
  <si>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</si>
  <si>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</si>
  <si>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</si>
  <si>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</si>
  <si>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</si>
  <si>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</si>
  <si>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</si>
  <si>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</si>
  <si>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</si>
  <si>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</si>
  <si>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</si>
  <si>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</si>
  <si>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</si>
  <si>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</si>
  <si>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</si>
  <si>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</si>
  <si>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</si>
  <si>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</si>
  <si>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</si>
  <si>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</si>
  <si>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</si>
  <si>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</si>
  <si>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</si>
  <si>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</si>
  <si>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</si>
  <si>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</si>
  <si>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</si>
  <si>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</si>
  <si>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</si>
  <si>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</si>
  <si>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</si>
  <si>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</si>
  <si>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</si>
  <si>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</si>
  <si>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</si>
  <si>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</si>
  <si>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</si>
  <si>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</si>
  <si>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</si>
  <si>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</si>
  <si>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</si>
  <si>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</si>
  <si>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</si>
  <si>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</si>
  <si>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</si>
  <si>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</si>
  <si>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</si>
  <si>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</si>
  <si>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</si>
  <si>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</si>
  <si>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</si>
  <si>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</si>
  <si>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</si>
  <si>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</si>
  <si>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</si>
  <si>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</si>
  <si>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</si>
  <si>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</si>
  <si>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</si>
  <si>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</si>
  <si>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</si>
  <si>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</si>
  <si>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</si>
  <si>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</si>
  <si>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</si>
  <si>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</si>
  <si>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</si>
  <si>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</si>
  <si>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</si>
  <si>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</si>
  <si>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</si>
  <si>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</si>
  <si>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</si>
  <si>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</si>
  <si>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</si>
  <si>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</si>
  <si>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</si>
  <si>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</si>
  <si>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</si>
  <si>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</si>
  <si>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</si>
  <si>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</si>
  <si>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</si>
  <si>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</si>
  <si>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</si>
  <si>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</si>
  <si>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</si>
  <si>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</si>
  <si>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</si>
  <si>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</si>
  <si>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</si>
  <si>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</si>
  <si>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</si>
  <si>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</si>
  <si>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</si>
  <si>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</si>
  <si>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</si>
  <si>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</si>
  <si>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</si>
  <si>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</si>
  <si>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</si>
  <si>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</si>
  <si>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</si>
  <si>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</si>
  <si>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</si>
  <si>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</si>
  <si>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</si>
  <si>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</si>
  <si>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</si>
  <si>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</si>
  <si>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</si>
  <si>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</si>
  <si>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</si>
  <si>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</si>
  <si>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</si>
  <si>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</si>
  <si>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</si>
  <si>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</si>
  <si>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</si>
  <si>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</si>
  <si>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</si>
  <si>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</si>
  <si>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</si>
  <si>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</si>
  <si>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</si>
  <si>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</si>
  <si>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</si>
  <si>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</si>
  <si>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</si>
  <si>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</si>
  <si>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</si>
  <si>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</si>
  <si>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</si>
  <si>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</si>
  <si>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</si>
  <si>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</si>
  <si>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</si>
  <si>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</si>
  <si>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</si>
  <si>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</si>
  <si>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</si>
  <si>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</si>
  <si>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</si>
  <si>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</si>
  <si>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</si>
  <si>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</si>
  <si>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</si>
  <si>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</si>
  <si>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</si>
  <si>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</si>
  <si>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</si>
  <si>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</si>
  <si>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</si>
  <si>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</si>
  <si>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</si>
  <si>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</si>
  <si>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</si>
  <si>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</si>
  <si>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</si>
  <si>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</si>
  <si>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</si>
  <si>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</si>
  <si>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</si>
  <si>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</si>
  <si>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</si>
  <si>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</si>
  <si>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</si>
  <si>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</si>
  <si>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</si>
  <si>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</si>
  <si>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</si>
  <si>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</si>
  <si>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</si>
  <si>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</si>
  <si>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</si>
  <si>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</si>
  <si>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</si>
  <si>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</si>
  <si>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</si>
  <si>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</si>
  <si>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</si>
  <si>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</si>
  <si>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</si>
  <si>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</si>
  <si>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</si>
  <si>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</si>
  <si>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</si>
  <si>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</si>
  <si>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</si>
  <si>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</si>
  <si>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</si>
  <si>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</si>
  <si>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</si>
  <si>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</si>
  <si>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</si>
  <si>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</si>
  <si>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</si>
  <si>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</si>
  <si>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</si>
  <si>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</si>
  <si>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</si>
  <si>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</si>
  <si>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</si>
  <si>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</si>
  <si>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</si>
  <si>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</si>
  <si>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</si>
  <si>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</si>
  <si>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</si>
  <si>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</si>
  <si>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</si>
  <si>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</si>
  <si>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</si>
  <si>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</si>
  <si>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</si>
  <si>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</si>
  <si>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</si>
  <si>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</si>
  <si>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</si>
  <si>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</si>
  <si>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</si>
  <si>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</si>
  <si>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</si>
  <si>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</si>
  <si>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</si>
  <si>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</si>
  <si>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</si>
  <si>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</si>
  <si>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</si>
  <si>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</si>
  <si>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</si>
  <si>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</si>
  <si>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</si>
  <si>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</si>
  <si>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</si>
  <si>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</si>
  <si>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</si>
  <si>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</si>
  <si>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</si>
  <si>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</si>
  <si>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</si>
  <si>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</si>
  <si>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</si>
  <si>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</si>
  <si>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</si>
  <si>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</si>
  <si>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</si>
  <si>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</si>
  <si>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</si>
  <si>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</si>
  <si>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</si>
  <si>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</si>
  <si>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</si>
  <si>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</si>
  <si>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</si>
  <si>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</si>
  <si>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</si>
  <si>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</si>
  <si>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</si>
  <si>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</si>
  <si>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</si>
  <si>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</si>
  <si>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</si>
  <si>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</si>
  <si>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</si>
  <si>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</si>
  <si>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</si>
  <si>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</si>
  <si>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</si>
  <si>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</si>
  <si>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</si>
  <si>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</si>
  <si>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</si>
  <si>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</si>
  <si>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</si>
  <si>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</si>
  <si>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</si>
  <si>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</si>
  <si>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</si>
  <si>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</si>
  <si>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</si>
  <si>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</si>
  <si>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</si>
  <si>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</si>
  <si>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</si>
  <si>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</si>
  <si>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</si>
  <si>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</si>
  <si>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</si>
  <si>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</si>
  <si>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</si>
  <si>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</si>
  <si>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</si>
  <si>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</si>
  <si>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</si>
  <si>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</si>
  <si>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</si>
  <si>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</si>
  <si>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</si>
  <si>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</si>
  <si>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</si>
  <si>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</si>
  <si>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</si>
  <si>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</si>
  <si>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</si>
  <si>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</si>
  <si>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</si>
  <si>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</si>
  <si>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</si>
  <si>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</si>
  <si>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</si>
  <si>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</si>
  <si>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</si>
  <si>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</si>
  <si>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</si>
  <si>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</si>
  <si>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</si>
  <si>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</si>
  <si>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</si>
  <si>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</si>
  <si>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</si>
  <si>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</si>
  <si>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</si>
  <si>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</si>
  <si>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</si>
  <si>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</si>
  <si>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</si>
  <si>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</si>
  <si>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</si>
  <si>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</si>
  <si>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</si>
  <si>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</si>
  <si>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</si>
  <si>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</si>
  <si>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</si>
  <si>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</si>
  <si>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</si>
  <si>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</si>
  <si>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</si>
  <si>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</si>
  <si>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</si>
  <si>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</si>
  <si>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</si>
  <si>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</si>
  <si>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</si>
  <si>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</si>
  <si>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</si>
  <si>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</si>
  <si>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</si>
  <si>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</si>
  <si>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</si>
  <si>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</si>
  <si>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</si>
  <si>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</si>
  <si>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</si>
  <si>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</si>
  <si>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</si>
  <si>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</si>
  <si>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</si>
  <si>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</si>
  <si>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</si>
  <si>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</si>
  <si>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</si>
  <si>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</si>
  <si>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</si>
  <si>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</si>
  <si>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</si>
  <si>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</si>
  <si>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</si>
  <si>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</si>
  <si>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</si>
  <si>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</si>
  <si>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</si>
  <si>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</si>
  <si>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</si>
  <si>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</si>
  <si>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</si>
  <si>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</si>
  <si>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</si>
  <si>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</si>
  <si>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</si>
  <si>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</si>
  <si>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</si>
  <si>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</si>
  <si>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</si>
  <si>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</si>
  <si>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</si>
  <si>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</si>
  <si>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</si>
  <si>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</si>
  <si>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</si>
  <si>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</si>
  <si>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</si>
  <si>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</si>
  <si>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</si>
  <si>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</si>
  <si>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</si>
  <si>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</si>
  <si>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</si>
  <si>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</si>
  <si>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</si>
  <si>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</si>
  <si>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</si>
  <si>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</si>
  <si>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</si>
  <si>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</si>
  <si>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</si>
  <si>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</si>
  <si>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</si>
  <si>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</si>
  <si>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</si>
  <si>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</si>
  <si>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</si>
  <si>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</si>
  <si>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</si>
  <si>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</si>
  <si>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</si>
  <si>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</si>
  <si>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</si>
  <si>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</si>
  <si>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</si>
  <si>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</si>
  <si>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</si>
  <si>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</si>
  <si>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</si>
  <si>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</si>
  <si>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</si>
  <si>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</si>
  <si>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</si>
  <si>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</si>
  <si>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</si>
  <si>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</si>
  <si>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</si>
  <si>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</si>
  <si>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</si>
  <si>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</si>
  <si>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</si>
  <si>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</si>
  <si>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</si>
  <si>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</si>
  <si>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</si>
  <si>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</si>
  <si>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</si>
  <si>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</si>
  <si>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</si>
  <si>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</si>
  <si>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</si>
  <si>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</si>
  <si>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</si>
  <si>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</si>
  <si>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</si>
  <si>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</si>
  <si>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</si>
  <si>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</si>
  <si>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</si>
  <si>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</si>
  <si>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</si>
  <si>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</si>
  <si>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</si>
  <si>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</si>
  <si>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</si>
  <si>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</si>
  <si>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</si>
  <si>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</si>
  <si>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</si>
  <si>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</si>
  <si>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</si>
  <si>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</si>
  <si>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</si>
  <si>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</si>
  <si>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</si>
  <si>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</si>
  <si>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</si>
  <si>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</si>
  <si>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</si>
  <si>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</si>
  <si>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</si>
  <si>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</si>
  <si>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</si>
  <si>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</si>
  <si>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</si>
  <si>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</si>
  <si>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</si>
  <si>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</si>
  <si>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</si>
  <si>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</si>
  <si>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</si>
  <si>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</si>
  <si>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</si>
  <si>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</si>
  <si>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</si>
  <si>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</si>
  <si>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</si>
  <si>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</si>
  <si>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</si>
  <si>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</si>
  <si>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</si>
  <si>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</si>
  <si>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</si>
  <si>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</si>
  <si>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</si>
  <si>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</si>
  <si>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</si>
  <si>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</si>
  <si>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</si>
  <si>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</si>
  <si>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</si>
  <si>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</si>
  <si>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</si>
  <si>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</si>
  <si>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</si>
  <si>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</si>
  <si>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</si>
  <si>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</si>
  <si>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</si>
  <si>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</si>
  <si>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</si>
  <si>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</si>
  <si>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</si>
  <si>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</si>
  <si>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</si>
  <si>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</si>
  <si>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</si>
  <si>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</si>
  <si>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</si>
  <si>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</si>
  <si>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</si>
  <si>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</si>
  <si>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</si>
  <si>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</si>
  <si>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</si>
  <si>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</si>
  <si>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</si>
  <si>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</si>
  <si>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</si>
  <si>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</si>
  <si>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</si>
  <si>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</si>
  <si>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</si>
  <si>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</si>
  <si>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</si>
  <si>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</si>
  <si>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</si>
  <si>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</si>
  <si>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</si>
  <si>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</si>
  <si>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</si>
  <si>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</si>
  <si>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</si>
  <si>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</si>
  <si>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</si>
  <si>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</si>
  <si>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</si>
  <si>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</si>
  <si>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</si>
  <si>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</si>
  <si>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</si>
  <si>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</si>
  <si>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</si>
  <si>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</si>
  <si>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</si>
  <si>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</si>
  <si>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</si>
  <si>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</si>
  <si>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</si>
  <si>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</si>
  <si>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</si>
  <si>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</si>
  <si>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</si>
  <si>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</si>
  <si>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</si>
  <si>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</si>
  <si>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</si>
  <si>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</si>
  <si>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</si>
  <si>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</si>
  <si>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</si>
  <si>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</si>
  <si>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</si>
  <si>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</si>
  <si>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</si>
  <si>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</si>
  <si>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</si>
  <si>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</si>
  <si>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</si>
  <si>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</si>
  <si>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</si>
  <si>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</si>
  <si>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</si>
  <si>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</si>
  <si>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</si>
  <si>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</si>
  <si>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</si>
  <si>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</si>
  <si>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</si>
  <si>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</si>
  <si>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</si>
  <si>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</si>
  <si>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</si>
  <si>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</si>
  <si>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</si>
  <si>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</si>
  <si>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</si>
  <si>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</si>
  <si>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</si>
  <si>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</si>
  <si>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</si>
  <si>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</si>
  <si>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</si>
  <si>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</si>
  <si>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</si>
  <si>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</si>
  <si>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</si>
  <si>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</si>
  <si>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</si>
  <si>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</si>
  <si>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</si>
  <si>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</si>
  <si>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</si>
  <si>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</si>
  <si>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</si>
  <si>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</si>
  <si>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</si>
  <si>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</si>
  <si>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</si>
  <si>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</si>
  <si>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</si>
  <si>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</si>
  <si>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</si>
  <si>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</si>
  <si>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</si>
  <si>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</si>
  <si>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</si>
  <si>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</si>
  <si>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</si>
  <si>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</si>
  <si>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</si>
  <si>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</si>
  <si>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</si>
  <si>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</si>
  <si>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</si>
  <si>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</si>
  <si>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</si>
  <si>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</si>
  <si>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</si>
  <si>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</si>
  <si>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</si>
  <si>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</si>
  <si>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</si>
  <si>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</si>
  <si>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</si>
  <si>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</si>
  <si>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</si>
  <si>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</si>
  <si>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</si>
  <si>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</si>
  <si>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</si>
  <si>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</si>
  <si>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</si>
  <si>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</si>
  <si>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</si>
  <si>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</si>
  <si>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</si>
  <si>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</si>
  <si>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</si>
  <si>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</si>
  <si>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</si>
  <si>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</si>
  <si>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</si>
  <si>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</si>
  <si>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</si>
  <si>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</si>
  <si>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</si>
  <si>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</si>
  <si>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</si>
  <si>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</si>
  <si>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</si>
  <si>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</si>
  <si>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</si>
  <si>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</si>
  <si>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</si>
  <si>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</si>
  <si>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</si>
  <si>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</si>
  <si>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</si>
  <si>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</si>
  <si>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</si>
  <si>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</si>
  <si>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</si>
  <si>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</si>
  <si>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</si>
  <si>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</si>
  <si>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</si>
  <si>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</si>
  <si>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</si>
  <si>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</si>
  <si>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</si>
  <si>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</si>
  <si>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</si>
  <si>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</si>
  <si>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</si>
  <si>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</si>
  <si>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</si>
  <si>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</si>
  <si>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</si>
  <si>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</si>
  <si>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</si>
  <si>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</si>
  <si>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</si>
  <si>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</si>
  <si>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</si>
  <si>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</si>
  <si>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</si>
  <si>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</si>
  <si>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</si>
  <si>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</si>
  <si>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</si>
  <si>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</si>
  <si>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</si>
  <si>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</si>
  <si>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</si>
  <si>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</si>
  <si>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</si>
  <si>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</si>
  <si>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</si>
  <si>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</si>
  <si>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</si>
  <si>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</si>
  <si>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</si>
  <si>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</si>
  <si>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</si>
  <si>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</si>
  <si>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</si>
  <si>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</si>
  <si>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</si>
  <si>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</si>
  <si>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</si>
  <si>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</si>
  <si>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</si>
  <si>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</si>
  <si>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</si>
  <si>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</si>
  <si>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</si>
  <si>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</si>
  <si>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</si>
  <si>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</si>
  <si>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</si>
  <si>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</si>
  <si>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</si>
  <si>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</si>
  <si>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</si>
  <si>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</si>
  <si>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</si>
  <si>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</si>
  <si>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</si>
  <si>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</si>
  <si>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</si>
  <si>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</si>
  <si>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</si>
  <si>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</si>
  <si>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</si>
  <si>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</si>
  <si>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</si>
  <si>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</si>
  <si>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</si>
  <si>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</si>
  <si>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</si>
  <si>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</si>
  <si>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</si>
  <si>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</si>
  <si>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</si>
  <si>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</si>
  <si>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</si>
  <si>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</si>
  <si>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</si>
  <si>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</si>
  <si>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</si>
  <si>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</si>
  <si>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</si>
  <si>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</si>
  <si>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</si>
  <si>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</si>
  <si>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</si>
  <si>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</si>
  <si>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</si>
  <si>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</si>
  <si>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</si>
  <si>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</si>
  <si>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</si>
  <si>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</si>
  <si>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</si>
  <si>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</si>
  <si>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</si>
  <si>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</si>
  <si>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</si>
  <si>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</si>
  <si>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</si>
  <si>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</si>
  <si>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</si>
  <si>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</si>
  <si>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</si>
  <si>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</si>
  <si>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</si>
  <si>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</si>
  <si>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</si>
  <si>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</si>
  <si>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</si>
  <si>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</si>
  <si>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</si>
  <si>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</si>
  <si>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</si>
  <si>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</si>
  <si>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</si>
  <si>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</si>
  <si>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</si>
  <si>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</si>
  <si>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</si>
  <si>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</si>
  <si>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</si>
  <si>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</si>
  <si>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</si>
  <si>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</si>
  <si>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</si>
  <si>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</si>
  <si>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</si>
  <si>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</si>
  <si>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</si>
  <si>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</si>
  <si>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</si>
  <si>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</si>
  <si>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</si>
  <si>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</si>
  <si>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</si>
  <si>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</si>
  <si>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</si>
  <si>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</si>
  <si>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</si>
  <si>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</si>
  <si>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</si>
  <si>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</si>
  <si>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</si>
  <si>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</si>
  <si>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</si>
  <si>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</si>
  <si>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</si>
  <si>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</si>
  <si>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</si>
  <si>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</si>
  <si>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</si>
  <si>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</si>
  <si>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</si>
  <si>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</si>
  <si>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</si>
  <si>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</si>
  <si>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</si>
  <si>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</si>
  <si>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</si>
  <si>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</si>
  <si>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</si>
  <si>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</si>
  <si>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</si>
  <si>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</si>
  <si>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</si>
  <si>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</si>
  <si>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</si>
  <si>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</si>
  <si>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</si>
  <si>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</si>
  <si>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</si>
  <si>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</si>
  <si>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</si>
  <si>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</si>
  <si>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</si>
  <si>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</si>
  <si>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</si>
  <si>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</si>
  <si>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</si>
  <si>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</si>
  <si>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</si>
  <si>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</si>
  <si>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</si>
  <si>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</si>
  <si>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</si>
  <si>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</si>
  <si>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</si>
  <si>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</si>
  <si>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</si>
  <si>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</si>
  <si>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</si>
  <si>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</si>
  <si>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</si>
  <si>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</si>
  <si>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</si>
  <si>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</si>
  <si>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</si>
  <si>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</si>
  <si>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</si>
  <si>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</si>
  <si>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</si>
  <si>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</si>
  <si>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</si>
  <si>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</si>
  <si>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</si>
  <si>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</si>
  <si>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</si>
  <si>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</si>
  <si>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</si>
  <si>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</si>
  <si>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</si>
  <si>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</si>
  <si>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</si>
  <si>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</si>
  <si>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</si>
  <si>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</si>
  <si>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</si>
  <si>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</si>
  <si>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</si>
  <si>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</si>
  <si>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</si>
  <si>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</si>
  <si>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</si>
  <si>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</si>
  <si>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</si>
  <si>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</si>
  <si>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</si>
  <si>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</si>
  <si>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</si>
  <si>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</si>
  <si>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</si>
  <si>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</si>
  <si>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</si>
  <si>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</si>
  <si>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</si>
  <si>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</si>
  <si>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</si>
  <si>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</si>
  <si>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</si>
  <si>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</si>
  <si>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</si>
  <si>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</si>
  <si>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</si>
  <si>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</si>
  <si>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</si>
  <si>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</si>
  <si>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</si>
  <si>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</si>
  <si>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</si>
  <si>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</si>
  <si>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</si>
  <si>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</si>
  <si>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</si>
  <si>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</si>
  <si>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</si>
  <si>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</si>
  <si>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</si>
  <si>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</si>
  <si>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</si>
  <si>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</si>
  <si>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</si>
  <si>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</si>
  <si>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</si>
  <si>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</si>
  <si>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</si>
  <si>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</si>
  <si>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</si>
  <si>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</si>
  <si>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</si>
  <si>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</si>
  <si>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</si>
  <si>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</si>
  <si>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</si>
  <si>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</si>
  <si>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</si>
  <si>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</si>
  <si>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</si>
  <si>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</si>
  <si>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</si>
  <si>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</si>
  <si>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</si>
  <si>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</si>
  <si>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</si>
  <si>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</si>
  <si>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</si>
  <si>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</si>
  <si>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</si>
  <si>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</si>
  <si>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</si>
  <si>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</si>
  <si>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</si>
  <si>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</si>
  <si>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</si>
  <si>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</si>
  <si>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</si>
  <si>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</si>
  <si>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</si>
  <si>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</si>
  <si>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</si>
  <si>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</si>
  <si>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</si>
  <si>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</si>
  <si>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</si>
  <si>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</si>
  <si>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</si>
  <si>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</si>
  <si>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</si>
  <si>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</si>
  <si>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</si>
  <si>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</si>
  <si>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</si>
  <si>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</si>
  <si>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</si>
  <si>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</si>
  <si>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</si>
  <si>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</si>
  <si>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</si>
  <si>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</si>
  <si>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</si>
  <si>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</si>
  <si>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</si>
  <si>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</si>
  <si>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</si>
  <si>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</si>
  <si>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</si>
  <si>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</si>
  <si>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</si>
  <si>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</si>
  <si>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</si>
  <si>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</si>
  <si>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</si>
  <si>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</si>
  <si>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</si>
  <si>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</si>
  <si>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</si>
  <si>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</si>
  <si>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</si>
  <si>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</si>
  <si>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</si>
  <si>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</si>
  <si>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</si>
  <si>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</si>
  <si>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</si>
  <si>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</si>
  <si>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</si>
  <si>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</si>
  <si>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</si>
  <si>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</si>
  <si>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</si>
  <si>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</si>
  <si>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</si>
  <si>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</si>
  <si>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</si>
  <si>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</si>
  <si>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</si>
  <si>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</si>
  <si>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</si>
  <si>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</si>
  <si>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</si>
  <si>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</si>
  <si>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</si>
  <si>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</si>
  <si>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</si>
  <si>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</si>
  <si>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</si>
  <si>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</si>
  <si>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</si>
  <si>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</si>
  <si>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</si>
  <si>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</si>
  <si>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</si>
  <si>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</si>
  <si>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</si>
  <si>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</si>
  <si>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</si>
  <si>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</si>
  <si>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</si>
  <si>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</si>
  <si>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</si>
  <si>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</si>
  <si>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</si>
  <si>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</si>
  <si>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</si>
  <si>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</si>
  <si>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</si>
  <si>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</si>
  <si>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</si>
  <si>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</si>
  <si>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</si>
  <si>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</si>
  <si>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</si>
  <si>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</si>
  <si>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</si>
  <si>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</si>
  <si>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</si>
  <si>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</si>
  <si>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</si>
  <si>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</si>
  <si>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</si>
  <si>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</si>
  <si>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</si>
  <si>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</si>
  <si>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</si>
  <si>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</si>
  <si>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</si>
  <si>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</si>
  <si>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</si>
  <si>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</si>
  <si>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</si>
  <si>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</si>
  <si>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</si>
  <si>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</si>
  <si>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</si>
  <si>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</si>
  <si>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</si>
  <si>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</si>
  <si>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</si>
  <si>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</si>
  <si>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</si>
  <si>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</si>
  <si>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</si>
  <si>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</si>
  <si>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</si>
  <si>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</si>
  <si>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</si>
  <si>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</si>
  <si>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</si>
  <si>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</si>
  <si>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</si>
  <si>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</si>
  <si>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</si>
  <si>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</si>
  <si>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</si>
  <si>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</si>
  <si>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</si>
  <si>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</si>
  <si>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</si>
  <si>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</si>
  <si>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</si>
  <si>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</si>
  <si>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</si>
  <si>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</si>
  <si>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</si>
  <si>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</si>
  <si>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</si>
  <si>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</si>
  <si>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</si>
  <si>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</si>
  <si>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</si>
  <si>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</si>
  <si>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</si>
  <si>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</si>
  <si>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</si>
  <si>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</si>
  <si>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</si>
  <si>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</si>
  <si>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</si>
  <si>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</si>
  <si>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</si>
  <si>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</si>
  <si>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</si>
  <si>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</si>
  <si>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</si>
  <si>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</si>
  <si>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</si>
  <si>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</si>
  <si>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</si>
  <si>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</si>
  <si>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</si>
  <si>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</si>
  <si>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</si>
  <si>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</si>
  <si>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</si>
  <si>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</si>
  <si>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</si>
  <si>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</si>
  <si>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</si>
  <si>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</si>
  <si>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</si>
  <si>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</si>
  <si>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</si>
  <si>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</si>
  <si>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</si>
  <si>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</si>
  <si>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</si>
  <si>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</si>
  <si>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</si>
  <si>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</si>
  <si>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</si>
  <si>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</si>
  <si>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</si>
  <si>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</si>
  <si>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</si>
  <si>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</si>
  <si>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</si>
  <si>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</si>
  <si>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</si>
  <si>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</si>
  <si>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</si>
  <si>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</si>
  <si>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</si>
  <si>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</si>
  <si>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</si>
  <si>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</si>
  <si>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</si>
  <si>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</si>
  <si>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</si>
  <si>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</si>
  <si>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</si>
  <si>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</si>
  <si>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</si>
  <si>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</si>
  <si>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</si>
  <si>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</si>
  <si>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</si>
  <si>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</si>
  <si>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</si>
  <si>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</si>
  <si>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</si>
  <si>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</si>
  <si>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</si>
  <si>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</si>
  <si>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</si>
  <si>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</si>
  <si>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 xml:space="preserve">2016 General Obligation Bonds </t>
  </si>
  <si>
    <t>Page 10, Line 87: Rentals - Other:</t>
  </si>
  <si>
    <t>Page 11, Line 107: Other Local Revenue:</t>
  </si>
  <si>
    <t>Educational:</t>
  </si>
  <si>
    <t>Operations &amp; Maintenance:</t>
  </si>
  <si>
    <t>Clinton</t>
  </si>
  <si>
    <t>306 S Washington</t>
  </si>
  <si>
    <t>Bartelso</t>
  </si>
  <si>
    <t>sschulte@bsd57.org</t>
  </si>
  <si>
    <t>Tom Siegler</t>
  </si>
  <si>
    <t>tsiegler@bsd57.org</t>
  </si>
  <si>
    <t>618-765-2164</t>
  </si>
  <si>
    <t>618-765-2712</t>
  </si>
  <si>
    <t>Douglas A. Ess, CPA</t>
  </si>
  <si>
    <t>618-532-5684</t>
  </si>
  <si>
    <t>066-004976</t>
  </si>
  <si>
    <t>Glass &amp; Shuffett, Ltd.</t>
  </si>
  <si>
    <t>Kevin Barbaro Productions</t>
  </si>
  <si>
    <t>Dacom</t>
  </si>
  <si>
    <t>Varel Bus Service</t>
  </si>
  <si>
    <t>40-2550-300</t>
  </si>
  <si>
    <t>10-1000-300</t>
  </si>
  <si>
    <t>Education-Instruction-Purchased Service</t>
  </si>
  <si>
    <t>Transportation-Pupil Transportation-Purchased Service</t>
  </si>
  <si>
    <t>10-2660-300</t>
  </si>
  <si>
    <t>Education-Data Processing-Purchased Service</t>
  </si>
  <si>
    <t>Kaskaskia Special Education District</t>
  </si>
  <si>
    <t>Central Community High School District #71</t>
  </si>
  <si>
    <t>Technology Rentals</t>
  </si>
  <si>
    <t>Building Rentals</t>
  </si>
  <si>
    <t>Library Grant</t>
  </si>
  <si>
    <t>Box Tops</t>
  </si>
  <si>
    <t>Clinton County Electric</t>
  </si>
  <si>
    <t>Milk Caps</t>
  </si>
  <si>
    <t>Others &lt; $500</t>
  </si>
  <si>
    <t>20-2540-300</t>
  </si>
  <si>
    <t>JM Outdoor</t>
  </si>
  <si>
    <t>O&amp;M-O&amp;M Services-Purchased Services</t>
  </si>
  <si>
    <t>Bartelso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</si>
</sst>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1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64" fillId="0" borderId="0" xfId="0" applyNumberFormat="1" applyFont="1"/>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181" fontId="56" fillId="0" borderId="166" xfId="19" applyNumberFormat="1" applyFont="1" applyBorder="1"/>
    <xf numFmtId="181" fontId="56" fillId="0" borderId="0" xfId="0" applyNumberFormat="1" applyFont="1"/>
    <xf numFmtId="181" fontId="56" fillId="0" borderId="0" xfId="19" applyNumberFormat="1" applyFont="1" applyBorder="1"/>
    <xf numFmtId="181" fontId="56" fillId="0" borderId="78" xfId="19" applyNumberFormat="1" applyFont="1" applyBorder="1"/>
    <xf numFmtId="181" fontId="56" fillId="0" borderId="167" xfId="19"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47625</xdr:rowOff>
        </xdr:from>
        <xdr:to>
          <xdr:col>1</xdr:col>
          <xdr:colOff>914400</xdr:colOff>
          <xdr:row>10</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11" t="s">
        <v>423</v>
      </c>
      <c r="J1" s="2012"/>
      <c r="K1" s="2012"/>
      <c r="L1" s="2012"/>
      <c r="M1" s="2012"/>
      <c r="N1" s="2012"/>
      <c r="O1" s="2012"/>
      <c r="P1" s="2012"/>
      <c r="Q1" s="2012"/>
      <c r="R1" s="2012"/>
      <c r="S1" s="2012"/>
    </row>
    <row r="2" spans="1:28" ht="12" customHeight="1" x14ac:dyDescent="0.2">
      <c r="A2" s="47" t="s">
        <v>1682</v>
      </c>
      <c r="D2" s="48"/>
      <c r="I2" s="2013" t="s">
        <v>1034</v>
      </c>
      <c r="J2" s="2012"/>
      <c r="K2" s="2012"/>
      <c r="L2" s="2012"/>
      <c r="M2" s="2012"/>
      <c r="N2" s="2012"/>
      <c r="O2" s="2012"/>
      <c r="P2" s="2012"/>
      <c r="Q2" s="2012"/>
      <c r="R2" s="2012"/>
      <c r="S2" s="2012"/>
    </row>
    <row r="3" spans="1:28" ht="12" customHeight="1" x14ac:dyDescent="0.2">
      <c r="A3" s="155" t="s">
        <v>1683</v>
      </c>
      <c r="B3" s="156"/>
      <c r="C3" s="156"/>
      <c r="D3" s="157"/>
      <c r="I3" s="2013" t="s">
        <v>54</v>
      </c>
      <c r="J3" s="2012"/>
      <c r="K3" s="2012"/>
      <c r="L3" s="2012"/>
      <c r="M3" s="2012"/>
      <c r="N3" s="2012"/>
      <c r="O3" s="2012"/>
      <c r="P3" s="2012"/>
      <c r="Q3" s="2012"/>
      <c r="R3" s="2012"/>
      <c r="S3" s="2012"/>
    </row>
    <row r="4" spans="1:28" ht="12" customHeight="1" x14ac:dyDescent="0.2">
      <c r="A4" s="37"/>
      <c r="I4" s="2013" t="s">
        <v>543</v>
      </c>
      <c r="J4" s="2012"/>
      <c r="K4" s="2012"/>
      <c r="L4" s="2012"/>
      <c r="M4" s="2012"/>
      <c r="N4" s="2012"/>
      <c r="O4" s="2012"/>
      <c r="P4" s="2012"/>
      <c r="Q4" s="2012"/>
      <c r="R4" s="2012"/>
      <c r="S4" s="2012"/>
    </row>
    <row r="5" spans="1:28" ht="14.1" customHeight="1" x14ac:dyDescent="0.2">
      <c r="B5" s="104" t="s">
        <v>2075</v>
      </c>
      <c r="C5" s="26" t="s">
        <v>964</v>
      </c>
      <c r="D5" s="84"/>
      <c r="E5" s="84"/>
      <c r="H5" s="38"/>
      <c r="I5" s="2021" t="s">
        <v>699</v>
      </c>
      <c r="J5" s="2020"/>
      <c r="K5" s="2020"/>
      <c r="L5" s="2020"/>
      <c r="M5" s="2020"/>
      <c r="N5" s="2020"/>
      <c r="O5" s="2020"/>
      <c r="P5" s="2020"/>
      <c r="Q5" s="2020"/>
      <c r="R5" s="2020"/>
      <c r="S5" s="2020"/>
    </row>
    <row r="6" spans="1:28" ht="14.1" customHeight="1" x14ac:dyDescent="0.2">
      <c r="B6" s="104"/>
      <c r="C6" s="26" t="s">
        <v>965</v>
      </c>
      <c r="D6" s="84"/>
      <c r="E6" s="84"/>
      <c r="I6" s="2019" t="s">
        <v>936</v>
      </c>
      <c r="J6" s="2020"/>
      <c r="K6" s="2020"/>
      <c r="L6" s="2020"/>
      <c r="M6" s="2020"/>
      <c r="N6" s="2020"/>
      <c r="O6" s="2020"/>
      <c r="P6" s="2020"/>
      <c r="Q6" s="2020"/>
      <c r="R6" s="2020"/>
      <c r="S6" s="2020"/>
    </row>
    <row r="7" spans="1:28" ht="12.2" customHeight="1" x14ac:dyDescent="0.2">
      <c r="I7" s="2014">
        <v>43281</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693</v>
      </c>
      <c r="J9" s="2017"/>
      <c r="K9" s="2017"/>
      <c r="L9" s="2017"/>
      <c r="M9" s="2017"/>
      <c r="N9" s="2017"/>
      <c r="O9" s="2017"/>
      <c r="P9" s="2017"/>
      <c r="Q9" s="2017"/>
      <c r="R9" s="2017"/>
      <c r="S9" s="2018"/>
      <c r="T9" s="2032" t="s">
        <v>552</v>
      </c>
      <c r="U9" s="2033"/>
      <c r="V9" s="2033"/>
      <c r="W9" s="2033"/>
      <c r="X9" s="2033"/>
      <c r="Y9" s="2033"/>
      <c r="Z9" s="2033"/>
      <c r="AA9" s="2034"/>
    </row>
    <row r="10" spans="1:28" ht="13.5" customHeight="1" x14ac:dyDescent="0.2">
      <c r="A10" s="2039" t="s">
        <v>694</v>
      </c>
      <c r="B10" s="2040"/>
      <c r="C10" s="2040"/>
      <c r="D10" s="2040"/>
      <c r="E10" s="2040"/>
      <c r="F10" s="2040"/>
      <c r="G10" s="2040"/>
      <c r="H10" s="2041"/>
      <c r="I10" s="29"/>
      <c r="J10" s="30"/>
      <c r="K10" s="28"/>
      <c r="R10" s="30"/>
      <c r="S10" s="30"/>
      <c r="T10" s="2035"/>
      <c r="U10" s="2020"/>
      <c r="V10" s="2020"/>
      <c r="W10" s="2020"/>
      <c r="X10" s="2020"/>
      <c r="Y10" s="2020"/>
      <c r="Z10" s="2020"/>
      <c r="AA10" s="2026"/>
    </row>
    <row r="11" spans="1:28" ht="14.25" customHeight="1" x14ac:dyDescent="0.2">
      <c r="A11" s="2042" t="s">
        <v>1010</v>
      </c>
      <c r="B11" s="2043"/>
      <c r="C11" s="2043"/>
      <c r="D11" s="2043"/>
      <c r="E11" s="2043"/>
      <c r="F11" s="2043"/>
      <c r="G11" s="2043"/>
      <c r="H11" s="2044"/>
      <c r="I11" s="27"/>
      <c r="J11" s="74"/>
      <c r="K11" s="27"/>
      <c r="O11" s="148" t="s">
        <v>2075</v>
      </c>
      <c r="P11" s="100" t="s">
        <v>210</v>
      </c>
      <c r="Q11" s="30"/>
      <c r="R11" s="28"/>
      <c r="S11" s="27"/>
      <c r="T11" s="2036"/>
      <c r="U11" s="2037"/>
      <c r="V11" s="2037"/>
      <c r="W11" s="2037"/>
      <c r="X11" s="2037"/>
      <c r="Y11" s="2037"/>
      <c r="Z11" s="2037"/>
      <c r="AA11" s="2038"/>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46">
        <v>13014057002</v>
      </c>
      <c r="B13" s="2047"/>
      <c r="C13" s="2047"/>
      <c r="D13" s="2047"/>
      <c r="E13" s="2047"/>
      <c r="F13" s="2047"/>
      <c r="G13" s="2047"/>
      <c r="H13" s="2048"/>
      <c r="I13" s="31"/>
      <c r="J13" s="30"/>
      <c r="K13" s="28"/>
      <c r="L13" s="30"/>
      <c r="M13" s="30"/>
      <c r="N13" s="30"/>
      <c r="O13" s="30"/>
      <c r="P13" s="30"/>
      <c r="Q13" s="30"/>
      <c r="R13" s="30"/>
      <c r="S13" s="30"/>
      <c r="T13" s="2051" t="s">
        <v>2076</v>
      </c>
      <c r="U13" s="2052"/>
      <c r="V13" s="2052"/>
      <c r="W13" s="2052"/>
      <c r="X13" s="2052"/>
      <c r="Y13" s="2053"/>
      <c r="Z13" s="2053"/>
      <c r="AA13" s="2054"/>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45" t="s">
        <v>2087</v>
      </c>
      <c r="B15" s="2049"/>
      <c r="C15" s="2049"/>
      <c r="D15" s="2049"/>
      <c r="E15" s="2049"/>
      <c r="F15" s="2049"/>
      <c r="G15" s="2049"/>
      <c r="H15" s="2050"/>
      <c r="T15" s="2055" t="s">
        <v>2095</v>
      </c>
      <c r="U15" s="1999"/>
      <c r="V15" s="1999"/>
      <c r="W15" s="1999"/>
      <c r="X15" s="1999"/>
      <c r="Y15" s="2056"/>
      <c r="Z15" s="2056"/>
      <c r="AA15" s="2057"/>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2005" t="s">
        <v>2120</v>
      </c>
      <c r="B17" s="2006"/>
      <c r="C17" s="2006"/>
      <c r="D17" s="2006"/>
      <c r="E17" s="2006"/>
      <c r="F17" s="2006"/>
      <c r="G17" s="2006"/>
      <c r="H17" s="2031"/>
      <c r="T17" s="2062" t="s">
        <v>2077</v>
      </c>
      <c r="U17" s="2063"/>
      <c r="V17" s="2063"/>
      <c r="W17" s="2063"/>
      <c r="X17" s="2063"/>
      <c r="Y17" s="2063"/>
      <c r="Z17" s="2063"/>
      <c r="AA17" s="2064"/>
    </row>
    <row r="18" spans="1:27" ht="13.5" customHeight="1" x14ac:dyDescent="0.2">
      <c r="A18" s="85" t="s">
        <v>549</v>
      </c>
      <c r="B18" s="76"/>
      <c r="C18" s="72"/>
      <c r="D18" s="76"/>
      <c r="E18" s="76"/>
      <c r="F18" s="76"/>
      <c r="G18" s="76"/>
      <c r="H18" s="56"/>
      <c r="I18" s="2030" t="s">
        <v>695</v>
      </c>
      <c r="J18" s="1981"/>
      <c r="K18" s="1981"/>
      <c r="L18" s="1981"/>
      <c r="M18" s="1981"/>
      <c r="N18" s="1981"/>
      <c r="O18" s="1981"/>
      <c r="P18" s="1981"/>
      <c r="Q18" s="1981"/>
      <c r="R18" s="1981"/>
      <c r="S18" s="1982"/>
      <c r="T18" s="85" t="s">
        <v>733</v>
      </c>
      <c r="U18" s="51"/>
      <c r="V18" s="72"/>
      <c r="W18" s="50"/>
      <c r="X18" s="85" t="s">
        <v>282</v>
      </c>
      <c r="Y18" s="81"/>
      <c r="Z18" s="159" t="s">
        <v>696</v>
      </c>
      <c r="AA18" s="46"/>
    </row>
    <row r="19" spans="1:27" ht="13.5" customHeight="1" x14ac:dyDescent="0.2">
      <c r="A19" s="2045" t="s">
        <v>2088</v>
      </c>
      <c r="B19" s="1991"/>
      <c r="C19" s="1991"/>
      <c r="D19" s="1991"/>
      <c r="E19" s="1991"/>
      <c r="F19" s="1991"/>
      <c r="G19" s="1991"/>
      <c r="H19" s="1971"/>
      <c r="I19" s="30"/>
      <c r="J19" s="99"/>
      <c r="K19" s="40"/>
      <c r="L19" s="38"/>
      <c r="M19" s="112" t="s">
        <v>331</v>
      </c>
      <c r="P19" s="27"/>
      <c r="Q19" s="27"/>
      <c r="R19" s="27"/>
      <c r="S19" s="31"/>
      <c r="T19" s="2045" t="s">
        <v>2078</v>
      </c>
      <c r="U19" s="1970"/>
      <c r="V19" s="1970"/>
      <c r="W19" s="1971"/>
      <c r="X19" s="2060" t="s">
        <v>2079</v>
      </c>
      <c r="Y19" s="2061"/>
      <c r="Z19" s="2058">
        <v>62801</v>
      </c>
      <c r="AA19" s="2059"/>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9" t="s">
        <v>2089</v>
      </c>
      <c r="B21" s="1970"/>
      <c r="C21" s="1970"/>
      <c r="D21" s="1970"/>
      <c r="E21" s="1970"/>
      <c r="F21" s="1970"/>
      <c r="G21" s="1970"/>
      <c r="H21" s="1971"/>
      <c r="I21" s="2025" t="s">
        <v>697</v>
      </c>
      <c r="J21" s="2020"/>
      <c r="K21" s="2020"/>
      <c r="L21" s="2020"/>
      <c r="M21" s="2020"/>
      <c r="N21" s="2020"/>
      <c r="O21" s="2020"/>
      <c r="P21" s="2020"/>
      <c r="Q21" s="2020"/>
      <c r="R21" s="2020"/>
      <c r="S21" s="2026"/>
      <c r="T21" s="2069" t="s">
        <v>2080</v>
      </c>
      <c r="U21" s="2070"/>
      <c r="V21" s="2070"/>
      <c r="W21" s="2070"/>
      <c r="X21" s="2075" t="s">
        <v>2096</v>
      </c>
      <c r="Y21" s="2076"/>
      <c r="Z21" s="2076"/>
      <c r="AA21" s="2077"/>
    </row>
    <row r="22" spans="1:27" ht="13.5" customHeight="1" x14ac:dyDescent="0.2">
      <c r="A22" s="87" t="s">
        <v>550</v>
      </c>
      <c r="B22" s="59"/>
      <c r="C22" s="59"/>
      <c r="D22" s="59"/>
      <c r="E22" s="59"/>
      <c r="F22" s="59"/>
      <c r="G22" s="59"/>
      <c r="H22" s="60"/>
      <c r="I22" s="2027" t="s">
        <v>1502</v>
      </c>
      <c r="J22" s="2028"/>
      <c r="K22" s="2028"/>
      <c r="L22" s="2028"/>
      <c r="M22" s="2028"/>
      <c r="N22" s="2028"/>
      <c r="O22" s="2028"/>
      <c r="P22" s="2028"/>
      <c r="Q22" s="2028"/>
      <c r="R22" s="2028"/>
      <c r="S22" s="2029"/>
      <c r="T22" s="85" t="s">
        <v>1594</v>
      </c>
      <c r="U22" s="51"/>
      <c r="V22" s="72"/>
      <c r="W22" s="51"/>
      <c r="X22" s="160" t="s">
        <v>1383</v>
      </c>
      <c r="Z22" s="45"/>
      <c r="AA22" s="46"/>
    </row>
    <row r="23" spans="1:27" ht="13.5" customHeight="1" x14ac:dyDescent="0.2">
      <c r="A23" s="2022" t="s">
        <v>2090</v>
      </c>
      <c r="B23" s="2023"/>
      <c r="C23" s="2023"/>
      <c r="D23" s="2023"/>
      <c r="E23" s="2023"/>
      <c r="F23" s="2023"/>
      <c r="G23" s="2023"/>
      <c r="H23" s="2024"/>
      <c r="T23" s="2005" t="s">
        <v>2097</v>
      </c>
      <c r="U23" s="2068"/>
      <c r="V23" s="2068"/>
      <c r="W23" s="2068"/>
      <c r="X23" s="2072">
        <v>43434</v>
      </c>
      <c r="Y23" s="2073"/>
      <c r="Z23" s="2073"/>
      <c r="AA23" s="2074"/>
    </row>
    <row r="24" spans="1:27" ht="14.1" customHeight="1" x14ac:dyDescent="0.2">
      <c r="A24" s="88" t="s">
        <v>696</v>
      </c>
      <c r="B24" s="49"/>
      <c r="C24" s="49"/>
      <c r="D24" s="49"/>
      <c r="E24" s="49"/>
      <c r="F24" s="49"/>
      <c r="G24" s="49"/>
      <c r="H24" s="61"/>
      <c r="J24" s="1992">
        <f>IF(B5="x",IF(AUDITCHECK!D29="AFR form Incomplete.","",IF(AUDITCHECK!D29="Deficit reduction plan is required.","School District must complete a deficit reduction plan in the 2018-2019 Budget",)),"")</f>
        <v>0</v>
      </c>
      <c r="K24" s="1992"/>
      <c r="L24" s="1992"/>
      <c r="M24" s="1992"/>
      <c r="N24" s="1992"/>
      <c r="O24" s="1992"/>
      <c r="P24" s="1992"/>
      <c r="Q24" s="1992"/>
      <c r="R24" s="1992"/>
      <c r="S24" s="1993"/>
      <c r="T24" s="105" t="s">
        <v>550</v>
      </c>
      <c r="U24" s="106"/>
      <c r="V24" s="106"/>
      <c r="W24" s="106"/>
      <c r="X24" s="107"/>
      <c r="Y24" s="107"/>
      <c r="Z24" s="107"/>
      <c r="AA24" s="108"/>
    </row>
    <row r="25" spans="1:27" ht="14.1" customHeight="1" x14ac:dyDescent="0.2">
      <c r="A25" s="1969">
        <v>62218</v>
      </c>
      <c r="B25" s="1970"/>
      <c r="C25" s="1970"/>
      <c r="D25" s="1970"/>
      <c r="E25" s="1970"/>
      <c r="F25" s="1970"/>
      <c r="G25" s="1970"/>
      <c r="H25" s="1971"/>
      <c r="I25" s="113"/>
      <c r="J25" s="1994"/>
      <c r="K25" s="1994"/>
      <c r="L25" s="1994"/>
      <c r="M25" s="1994"/>
      <c r="N25" s="1994"/>
      <c r="O25" s="1994"/>
      <c r="P25" s="1994"/>
      <c r="Q25" s="1994"/>
      <c r="R25" s="1994"/>
      <c r="S25" s="1995"/>
      <c r="T25" s="2065" t="s">
        <v>2081</v>
      </c>
      <c r="U25" s="2066"/>
      <c r="V25" s="2066"/>
      <c r="W25" s="2066"/>
      <c r="X25" s="2066"/>
      <c r="Y25" s="2066"/>
      <c r="Z25" s="2066"/>
      <c r="AA25" s="20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80" t="s">
        <v>1589</v>
      </c>
      <c r="J27" s="1981"/>
      <c r="K27" s="1981"/>
      <c r="L27" s="1981"/>
      <c r="M27" s="1981"/>
      <c r="N27" s="1981"/>
      <c r="O27" s="1981"/>
      <c r="P27" s="1981"/>
      <c r="Q27" s="1981"/>
      <c r="R27" s="1981"/>
      <c r="S27" s="1982"/>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91"/>
      <c r="Q35" s="1970"/>
      <c r="R35" s="197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2005" t="s">
        <v>2091</v>
      </c>
      <c r="B38" s="2006"/>
      <c r="C38" s="2006"/>
      <c r="D38" s="2006"/>
      <c r="E38" s="2006"/>
      <c r="F38" s="1970"/>
      <c r="G38" s="1970"/>
      <c r="H38" s="1971"/>
      <c r="I38" s="1998"/>
      <c r="J38" s="1999"/>
      <c r="K38" s="1999"/>
      <c r="L38" s="1999"/>
      <c r="M38" s="1999"/>
      <c r="N38" s="1999"/>
      <c r="O38" s="1999"/>
      <c r="P38" s="2000"/>
      <c r="Q38" s="2000"/>
      <c r="R38" s="2000"/>
      <c r="S38" s="2001"/>
      <c r="T38" s="2055"/>
      <c r="U38" s="1999"/>
      <c r="V38" s="1999"/>
      <c r="W38" s="1999"/>
      <c r="X38" s="2000"/>
      <c r="Y38" s="2000"/>
      <c r="Z38" s="2000"/>
      <c r="AA38" s="2001"/>
    </row>
    <row r="39" spans="1:27" ht="12" customHeight="1" x14ac:dyDescent="0.2">
      <c r="A39" s="1975" t="s">
        <v>550</v>
      </c>
      <c r="B39" s="1976"/>
      <c r="C39" s="72"/>
      <c r="D39" s="69"/>
      <c r="E39" s="69"/>
      <c r="F39" s="79"/>
      <c r="G39" s="69"/>
      <c r="H39" s="56"/>
      <c r="I39" s="1975" t="s">
        <v>550</v>
      </c>
      <c r="J39" s="1976"/>
      <c r="K39" s="1976"/>
      <c r="L39" s="1976"/>
      <c r="M39" s="1976"/>
      <c r="N39" s="67"/>
      <c r="O39" s="72"/>
      <c r="P39" s="72"/>
      <c r="Q39" s="78"/>
      <c r="R39" s="72"/>
      <c r="S39" s="56"/>
      <c r="T39" s="72" t="s">
        <v>550</v>
      </c>
      <c r="U39" s="51"/>
      <c r="V39" s="72"/>
      <c r="W39" s="50"/>
      <c r="X39" s="78"/>
      <c r="Y39" s="45"/>
      <c r="Z39" s="45"/>
      <c r="AA39" s="46"/>
    </row>
    <row r="40" spans="1:27" ht="13.5" customHeight="1" x14ac:dyDescent="0.2">
      <c r="A40" s="1983" t="s">
        <v>2092</v>
      </c>
      <c r="B40" s="1984"/>
      <c r="C40" s="1985"/>
      <c r="D40" s="1985"/>
      <c r="E40" s="1985"/>
      <c r="F40" s="1986"/>
      <c r="G40" s="1986"/>
      <c r="H40" s="1987"/>
      <c r="I40" s="2008"/>
      <c r="J40" s="2009"/>
      <c r="K40" s="2009"/>
      <c r="L40" s="2009"/>
      <c r="M40" s="2009"/>
      <c r="N40" s="2009"/>
      <c r="O40" s="2009"/>
      <c r="P40" s="2009"/>
      <c r="Q40" s="2009"/>
      <c r="R40" s="2009"/>
      <c r="S40" s="2010"/>
      <c r="T40" s="2008"/>
      <c r="U40" s="2071"/>
      <c r="V40" s="2009"/>
      <c r="W40" s="2009"/>
      <c r="X40" s="2009"/>
      <c r="Y40" s="2009"/>
      <c r="Z40" s="2009"/>
      <c r="AA40" s="2010"/>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7" t="s">
        <v>2093</v>
      </c>
      <c r="B42" s="1989"/>
      <c r="C42" s="1990"/>
      <c r="D42" s="1988" t="s">
        <v>2094</v>
      </c>
      <c r="E42" s="1989"/>
      <c r="F42" s="1989"/>
      <c r="G42" s="1989"/>
      <c r="H42" s="1990"/>
      <c r="I42" s="1972"/>
      <c r="J42" s="1973"/>
      <c r="K42" s="1973"/>
      <c r="L42" s="1973"/>
      <c r="M42" s="1973"/>
      <c r="N42" s="1973"/>
      <c r="O42" s="1974"/>
      <c r="P42" s="2007"/>
      <c r="Q42" s="1973"/>
      <c r="R42" s="1973"/>
      <c r="S42" s="1974"/>
      <c r="T42" s="1972"/>
      <c r="U42" s="1973"/>
      <c r="V42" s="1973"/>
      <c r="W42" s="1974"/>
      <c r="X42" s="2007"/>
      <c r="Y42" s="1973"/>
      <c r="Z42" s="1973"/>
      <c r="AA42" s="1974"/>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02"/>
      <c r="B44" s="2003"/>
      <c r="C44" s="2003"/>
      <c r="D44" s="2003"/>
      <c r="E44" s="2003"/>
      <c r="F44" s="2003"/>
      <c r="G44" s="2003"/>
      <c r="H44" s="2004"/>
      <c r="I44" s="1977"/>
      <c r="J44" s="1978"/>
      <c r="K44" s="1978"/>
      <c r="L44" s="1978"/>
      <c r="M44" s="1978"/>
      <c r="N44" s="1978"/>
      <c r="O44" s="1978"/>
      <c r="P44" s="1978"/>
      <c r="Q44" s="1978"/>
      <c r="R44" s="1978"/>
      <c r="S44" s="1979"/>
      <c r="T44" s="1977"/>
      <c r="U44" s="1996"/>
      <c r="V44" s="1996"/>
      <c r="W44" s="1996"/>
      <c r="X44" s="1996"/>
      <c r="Y44" s="1996"/>
      <c r="Z44" s="1978"/>
      <c r="AA44" s="1979"/>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9" t="s">
        <v>1707</v>
      </c>
    </row>
    <row r="23" spans="1:5" x14ac:dyDescent="0.2">
      <c r="A23" s="168"/>
      <c r="B23" s="162" t="s">
        <v>1967</v>
      </c>
      <c r="D23" s="167" t="s">
        <v>656</v>
      </c>
      <c r="E23" s="1859"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81" t="s">
        <v>1123</v>
      </c>
      <c r="B35" s="2081"/>
      <c r="C35" s="2081"/>
      <c r="D35" s="2081"/>
      <c r="E35" s="208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8" t="s">
        <v>713</v>
      </c>
      <c r="B40" s="2078"/>
      <c r="C40" s="2078"/>
      <c r="D40" s="2078"/>
      <c r="E40" s="2078"/>
    </row>
    <row r="41" spans="1:5" x14ac:dyDescent="0.2">
      <c r="A41" s="2079" t="s">
        <v>1704</v>
      </c>
      <c r="B41" s="2079"/>
      <c r="C41" s="2079"/>
      <c r="D41" s="2079"/>
      <c r="E41" s="2079"/>
    </row>
    <row r="42" spans="1:5" ht="12.75" customHeight="1" x14ac:dyDescent="0.2">
      <c r="A42" s="2080" t="s">
        <v>1078</v>
      </c>
      <c r="B42" s="2080"/>
      <c r="C42" s="2080"/>
      <c r="D42" s="2080"/>
      <c r="E42" s="2080"/>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2" t="s">
        <v>1228</v>
      </c>
      <c r="B2" s="2082"/>
      <c r="C2" s="2082"/>
      <c r="D2" s="2082"/>
      <c r="E2" s="2082"/>
      <c r="F2" s="2082"/>
      <c r="G2" s="2082"/>
      <c r="H2" s="2082"/>
      <c r="I2" s="2082"/>
      <c r="J2" s="2082"/>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6" t="s">
        <v>1729</v>
      </c>
      <c r="B35" s="2097"/>
      <c r="C35" s="2097"/>
      <c r="D35" s="2097"/>
      <c r="E35" s="2098"/>
      <c r="F35" s="2098"/>
      <c r="G35" s="2098"/>
      <c r="H35" s="2098"/>
      <c r="I35" s="2098"/>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6" t="s">
        <v>329</v>
      </c>
      <c r="B47" s="2099"/>
      <c r="C47" s="2099"/>
      <c r="D47" s="2099"/>
      <c r="E47" s="2100"/>
      <c r="F47" s="2100"/>
      <c r="G47" s="2100"/>
      <c r="H47" s="2100"/>
      <c r="I47" s="2100"/>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3"/>
      <c r="C57" s="2104"/>
      <c r="D57" s="2104"/>
      <c r="E57" s="2104"/>
      <c r="F57" s="2104"/>
      <c r="G57" s="2104"/>
      <c r="H57" s="2104"/>
      <c r="I57" s="2104"/>
      <c r="J57" s="2105"/>
    </row>
    <row r="58" spans="1:10" s="181" customFormat="1" x14ac:dyDescent="0.2">
      <c r="A58" s="253"/>
      <c r="B58" s="2106"/>
      <c r="C58" s="2107"/>
      <c r="D58" s="2107"/>
      <c r="E58" s="2107"/>
      <c r="F58" s="2107"/>
      <c r="G58" s="2107"/>
      <c r="H58" s="2107"/>
      <c r="I58" s="2107"/>
      <c r="J58" s="2108"/>
    </row>
    <row r="59" spans="1:10" s="181" customFormat="1" x14ac:dyDescent="0.2">
      <c r="A59" s="253"/>
      <c r="B59" s="2106"/>
      <c r="C59" s="2107"/>
      <c r="D59" s="2107"/>
      <c r="E59" s="2107"/>
      <c r="F59" s="2107"/>
      <c r="G59" s="2107"/>
      <c r="H59" s="2107"/>
      <c r="I59" s="2107"/>
      <c r="J59" s="2108"/>
    </row>
    <row r="60" spans="1:10" s="181" customFormat="1" x14ac:dyDescent="0.2">
      <c r="A60" s="253"/>
      <c r="B60" s="2106"/>
      <c r="C60" s="2107"/>
      <c r="D60" s="2107"/>
      <c r="E60" s="2107"/>
      <c r="F60" s="2107"/>
      <c r="G60" s="2107"/>
      <c r="H60" s="2107"/>
      <c r="I60" s="2107"/>
      <c r="J60" s="2108"/>
    </row>
    <row r="61" spans="1:10" s="181" customFormat="1" x14ac:dyDescent="0.2">
      <c r="A61" s="253"/>
      <c r="B61" s="2106"/>
      <c r="C61" s="2107"/>
      <c r="D61" s="2107"/>
      <c r="E61" s="2107"/>
      <c r="F61" s="2107"/>
      <c r="G61" s="2107"/>
      <c r="H61" s="2107"/>
      <c r="I61" s="2107"/>
      <c r="J61" s="2108"/>
    </row>
    <row r="62" spans="1:10" s="181" customFormat="1" x14ac:dyDescent="0.2">
      <c r="A62" s="253"/>
      <c r="B62" s="2106"/>
      <c r="C62" s="2107"/>
      <c r="D62" s="2107"/>
      <c r="E62" s="2107"/>
      <c r="F62" s="2107"/>
      <c r="G62" s="2107"/>
      <c r="H62" s="2107"/>
      <c r="I62" s="2107"/>
      <c r="J62" s="2108"/>
    </row>
    <row r="63" spans="1:10" s="181" customFormat="1" x14ac:dyDescent="0.2">
      <c r="A63" s="253"/>
      <c r="B63" s="2106"/>
      <c r="C63" s="2107"/>
      <c r="D63" s="2107"/>
      <c r="E63" s="2107"/>
      <c r="F63" s="2107"/>
      <c r="G63" s="2107"/>
      <c r="H63" s="2107"/>
      <c r="I63" s="2107"/>
      <c r="J63" s="2108"/>
    </row>
    <row r="64" spans="1:10" s="181" customFormat="1" x14ac:dyDescent="0.2">
      <c r="A64" s="253"/>
      <c r="B64" s="2106"/>
      <c r="C64" s="2107"/>
      <c r="D64" s="2107"/>
      <c r="E64" s="2107"/>
      <c r="F64" s="2107"/>
      <c r="G64" s="2107"/>
      <c r="H64" s="2107"/>
      <c r="I64" s="2107"/>
      <c r="J64" s="2108"/>
    </row>
    <row r="65" spans="1:10" s="181" customFormat="1" x14ac:dyDescent="0.2">
      <c r="A65" s="253"/>
      <c r="B65" s="2106"/>
      <c r="C65" s="2107"/>
      <c r="D65" s="2107"/>
      <c r="E65" s="2107"/>
      <c r="F65" s="2107"/>
      <c r="G65" s="2107"/>
      <c r="H65" s="2107"/>
      <c r="I65" s="2107"/>
      <c r="J65" s="2108"/>
    </row>
    <row r="66" spans="1:10" s="181" customFormat="1" x14ac:dyDescent="0.2">
      <c r="A66" s="253"/>
      <c r="B66" s="2106"/>
      <c r="C66" s="2107"/>
      <c r="D66" s="2107"/>
      <c r="E66" s="2107"/>
      <c r="F66" s="2107"/>
      <c r="G66" s="2107"/>
      <c r="H66" s="2107"/>
      <c r="I66" s="2107"/>
      <c r="J66" s="2108"/>
    </row>
    <row r="67" spans="1:10" s="181" customFormat="1" ht="9" customHeight="1" x14ac:dyDescent="0.2">
      <c r="A67" s="254"/>
      <c r="B67" s="2109"/>
      <c r="C67" s="2110"/>
      <c r="D67" s="2110"/>
      <c r="E67" s="2110"/>
      <c r="F67" s="2110"/>
      <c r="G67" s="2110"/>
      <c r="H67" s="2110"/>
      <c r="I67" s="2110"/>
      <c r="J67" s="211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6" t="s">
        <v>1388</v>
      </c>
      <c r="B70" s="2099"/>
      <c r="C70" s="2099"/>
      <c r="D70" s="2099"/>
      <c r="E70" s="2100"/>
      <c r="F70" s="2100"/>
      <c r="G70" s="2100"/>
      <c r="H70" s="2100"/>
      <c r="I70" s="2100"/>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1" t="s">
        <v>1385</v>
      </c>
      <c r="B83" s="2101"/>
      <c r="C83" s="2101"/>
      <c r="D83" s="2102"/>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3"/>
      <c r="C102" s="2084"/>
      <c r="D102" s="2084"/>
      <c r="E102" s="2084"/>
      <c r="F102" s="2084"/>
      <c r="G102" s="2084"/>
      <c r="H102" s="2084"/>
      <c r="I102" s="2085"/>
    </row>
    <row r="103" spans="1:9" s="181" customFormat="1" ht="11.25" customHeight="1" x14ac:dyDescent="0.2">
      <c r="A103" s="316"/>
      <c r="B103" s="2086"/>
      <c r="C103" s="2087"/>
      <c r="D103" s="2087"/>
      <c r="E103" s="2087"/>
      <c r="F103" s="2087"/>
      <c r="G103" s="2087"/>
      <c r="H103" s="2087"/>
      <c r="I103" s="2088"/>
    </row>
    <row r="104" spans="1:9" s="181" customFormat="1" ht="11.25" customHeight="1" x14ac:dyDescent="0.2">
      <c r="A104" s="316"/>
      <c r="B104" s="2086"/>
      <c r="C104" s="2087"/>
      <c r="D104" s="2087"/>
      <c r="E104" s="2087"/>
      <c r="F104" s="2087"/>
      <c r="G104" s="2087"/>
      <c r="H104" s="2087"/>
      <c r="I104" s="2088"/>
    </row>
    <row r="105" spans="1:9" s="181" customFormat="1" x14ac:dyDescent="0.2">
      <c r="A105" s="316"/>
      <c r="B105" s="2086"/>
      <c r="C105" s="2087"/>
      <c r="D105" s="2087"/>
      <c r="E105" s="2087"/>
      <c r="F105" s="2087"/>
      <c r="G105" s="2087"/>
      <c r="H105" s="2087"/>
      <c r="I105" s="2088"/>
    </row>
    <row r="106" spans="1:9" s="181" customFormat="1" ht="11.25" customHeight="1" x14ac:dyDescent="0.2">
      <c r="A106" s="316"/>
      <c r="B106" s="2086"/>
      <c r="C106" s="2087"/>
      <c r="D106" s="2087"/>
      <c r="E106" s="2087"/>
      <c r="F106" s="2087"/>
      <c r="G106" s="2087"/>
      <c r="H106" s="2087"/>
      <c r="I106" s="2088"/>
    </row>
    <row r="107" spans="1:9" s="181" customFormat="1" ht="11.25" customHeight="1" x14ac:dyDescent="0.2">
      <c r="A107" s="316"/>
      <c r="B107" s="2086"/>
      <c r="C107" s="2087"/>
      <c r="D107" s="2087"/>
      <c r="E107" s="2087"/>
      <c r="F107" s="2087"/>
      <c r="G107" s="2087"/>
      <c r="H107" s="2087"/>
      <c r="I107" s="2088"/>
    </row>
    <row r="108" spans="1:9" s="181" customFormat="1" ht="11.25" customHeight="1" x14ac:dyDescent="0.2">
      <c r="A108" s="316"/>
      <c r="B108" s="2086"/>
      <c r="C108" s="2087"/>
      <c r="D108" s="2087"/>
      <c r="E108" s="2087"/>
      <c r="F108" s="2087"/>
      <c r="G108" s="2087"/>
      <c r="H108" s="2087"/>
      <c r="I108" s="2088"/>
    </row>
    <row r="109" spans="1:9" s="181" customFormat="1" ht="11.25" customHeight="1" x14ac:dyDescent="0.2">
      <c r="A109" s="316"/>
      <c r="B109" s="2086"/>
      <c r="C109" s="2087"/>
      <c r="D109" s="2087"/>
      <c r="E109" s="2087"/>
      <c r="F109" s="2087"/>
      <c r="G109" s="2087"/>
      <c r="H109" s="2087"/>
      <c r="I109" s="2088"/>
    </row>
    <row r="110" spans="1:9" s="181" customFormat="1" ht="11.25" customHeight="1" x14ac:dyDescent="0.2">
      <c r="A110" s="316"/>
      <c r="B110" s="2086"/>
      <c r="C110" s="2087"/>
      <c r="D110" s="2087"/>
      <c r="E110" s="2087"/>
      <c r="F110" s="2087"/>
      <c r="G110" s="2087"/>
      <c r="H110" s="2087"/>
      <c r="I110" s="2088"/>
    </row>
    <row r="111" spans="1:9" s="181" customFormat="1" ht="11.25" customHeight="1" x14ac:dyDescent="0.2">
      <c r="A111" s="316"/>
      <c r="B111" s="2086"/>
      <c r="C111" s="2087"/>
      <c r="D111" s="2087"/>
      <c r="E111" s="2087"/>
      <c r="F111" s="2087"/>
      <c r="G111" s="2087"/>
      <c r="H111" s="2087"/>
      <c r="I111" s="2088"/>
    </row>
    <row r="112" spans="1:9" s="181" customFormat="1" ht="11.25" customHeight="1" x14ac:dyDescent="0.2">
      <c r="A112" s="316"/>
      <c r="B112" s="2089"/>
      <c r="C112" s="2090"/>
      <c r="D112" s="2090"/>
      <c r="E112" s="2090"/>
      <c r="F112" s="2090"/>
      <c r="G112" s="2090"/>
      <c r="H112" s="2090"/>
      <c r="I112" s="209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2" t="s">
        <v>2098</v>
      </c>
      <c r="D114" s="2092"/>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3" t="s">
        <v>1395</v>
      </c>
      <c r="D117" s="2094"/>
      <c r="E117" s="2095"/>
      <c r="F117" s="2095"/>
      <c r="G117" s="2095"/>
      <c r="H117" s="209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2" t="s">
        <v>402</v>
      </c>
      <c r="B1" s="2112"/>
      <c r="C1" s="2112"/>
      <c r="D1" s="2112"/>
      <c r="E1" s="2112"/>
      <c r="F1" s="2112"/>
      <c r="G1" s="2112"/>
      <c r="H1" s="2112"/>
      <c r="I1" s="2112"/>
      <c r="J1" s="2112"/>
      <c r="K1" s="2112"/>
      <c r="L1" s="2112"/>
      <c r="M1" s="2112"/>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24529370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1.0999999999999999E-2</v>
      </c>
      <c r="E10" s="356" t="s">
        <v>1060</v>
      </c>
      <c r="F10" s="355">
        <v>2.5000000000000001E-3</v>
      </c>
      <c r="G10" s="356" t="s">
        <v>1060</v>
      </c>
      <c r="H10" s="355">
        <v>1.1999999999999999E-3</v>
      </c>
      <c r="I10" s="356" t="s">
        <v>1061</v>
      </c>
      <c r="J10" s="1754">
        <f>ROUND(D10+F10+H10,5)</f>
        <v>1.47E-2</v>
      </c>
      <c r="K10" s="222"/>
      <c r="L10" s="355">
        <v>5.0000000000000001E-4</v>
      </c>
      <c r="M10" s="222"/>
    </row>
    <row r="11" spans="1:14" ht="7.5" customHeight="1" x14ac:dyDescent="0.2">
      <c r="B11" s="222"/>
      <c r="C11" s="222"/>
      <c r="D11" s="2122" t="str">
        <f>IF(SUM(J10)&lt;=0.0999999,"","Enter the Tax Rates by moving the decimal two places to the left.")</f>
        <v/>
      </c>
      <c r="E11" s="2123"/>
      <c r="F11" s="2123"/>
      <c r="G11" s="2123"/>
      <c r="H11" s="2123"/>
      <c r="I11" s="2123"/>
      <c r="J11" s="212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5">
        <f>SUM('Acct Summary 7-8'!C8,'Acct Summary 7-8'!D8,'Acct Summary 7-8'!F8,'Acct Summary 7-8'!I8)</f>
        <v>1063041</v>
      </c>
      <c r="E16" s="356"/>
      <c r="F16" s="1755">
        <f>SUM('Acct Summary 7-8'!C17,'Acct Summary 7-8'!D17,'Acct Summary 7-8'!F17)</f>
        <v>1087063</v>
      </c>
      <c r="G16" s="356"/>
      <c r="H16" s="1755">
        <f>SUM(D16-F16)</f>
        <v>-24022</v>
      </c>
      <c r="I16" s="222"/>
      <c r="J16" s="1755">
        <f>SUM('Acct Summary 7-8'!C81,'Acct Summary 7-8'!D81,'Acct Summary 7-8'!F81,'Acct Summary 7-8'!I81)</f>
        <v>1590443</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605</v>
      </c>
      <c r="D31" s="237" t="s">
        <v>1130</v>
      </c>
      <c r="E31" s="222"/>
      <c r="F31" s="222"/>
      <c r="G31" s="363"/>
      <c r="H31" s="1757">
        <f>IF(B31="X",(J7*0.069),IF(B32="X",(J7*0.138),"Enter x in a.or b."))</f>
        <v>1692526.53</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6">
        <f>'Assets-Liab 5-6'!N36</f>
        <v>637000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3"/>
      <c r="C54" s="2114"/>
      <c r="D54" s="2114"/>
      <c r="E54" s="2114"/>
      <c r="F54" s="2114"/>
      <c r="G54" s="2114"/>
      <c r="H54" s="2114"/>
      <c r="I54" s="2114"/>
      <c r="J54" s="2114"/>
      <c r="K54" s="2114"/>
      <c r="L54" s="2115"/>
      <c r="M54" s="380"/>
    </row>
    <row r="55" spans="1:13" ht="12.75" customHeight="1" x14ac:dyDescent="0.2">
      <c r="B55" s="2116"/>
      <c r="C55" s="2117"/>
      <c r="D55" s="2117"/>
      <c r="E55" s="2117"/>
      <c r="F55" s="2117"/>
      <c r="G55" s="2117"/>
      <c r="H55" s="2117"/>
      <c r="I55" s="2117"/>
      <c r="J55" s="2117"/>
      <c r="K55" s="2117"/>
      <c r="L55" s="2118"/>
      <c r="M55" s="380"/>
    </row>
    <row r="56" spans="1:13" ht="12.75" customHeight="1" x14ac:dyDescent="0.2">
      <c r="B56" s="2116"/>
      <c r="C56" s="2117"/>
      <c r="D56" s="2117"/>
      <c r="E56" s="2117"/>
      <c r="F56" s="2117"/>
      <c r="G56" s="2117"/>
      <c r="H56" s="2117"/>
      <c r="I56" s="2117"/>
      <c r="J56" s="2117"/>
      <c r="K56" s="2117"/>
      <c r="L56" s="2118"/>
      <c r="M56" s="222"/>
    </row>
    <row r="57" spans="1:13" ht="12.75" customHeight="1" x14ac:dyDescent="0.2">
      <c r="B57" s="2116"/>
      <c r="C57" s="2117"/>
      <c r="D57" s="2117"/>
      <c r="E57" s="2117"/>
      <c r="F57" s="2117"/>
      <c r="G57" s="2117"/>
      <c r="H57" s="2117"/>
      <c r="I57" s="2117"/>
      <c r="J57" s="2117"/>
      <c r="K57" s="2117"/>
      <c r="L57" s="2118"/>
      <c r="M57" s="222"/>
    </row>
    <row r="58" spans="1:13" x14ac:dyDescent="0.2">
      <c r="B58" s="2119"/>
      <c r="C58" s="2120"/>
      <c r="D58" s="2120"/>
      <c r="E58" s="2120"/>
      <c r="F58" s="2120"/>
      <c r="G58" s="2120"/>
      <c r="H58" s="2120"/>
      <c r="I58" s="2120"/>
      <c r="J58" s="2120"/>
      <c r="K58" s="2120"/>
      <c r="L58" s="212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4"/>
      <c r="D61" s="212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B22"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7"/>
      <c r="B1" s="2128"/>
      <c r="C1" s="2128"/>
      <c r="D1" s="384"/>
      <c r="E1" s="384"/>
      <c r="F1" s="384"/>
      <c r="G1" s="384"/>
      <c r="H1" s="384"/>
      <c r="I1" s="384"/>
      <c r="J1" s="384"/>
      <c r="K1" s="384"/>
      <c r="L1" s="384"/>
      <c r="M1" s="384"/>
      <c r="N1" s="384"/>
      <c r="O1" s="2127"/>
      <c r="P1" s="2128"/>
      <c r="Q1" s="2128"/>
    </row>
    <row r="2" spans="1:18" ht="15" x14ac:dyDescent="0.2">
      <c r="A2" s="2131" t="s">
        <v>575</v>
      </c>
      <c r="B2" s="2131"/>
      <c r="C2" s="2131"/>
      <c r="D2" s="2131"/>
      <c r="E2" s="2131"/>
      <c r="F2" s="2131"/>
      <c r="G2" s="2131"/>
      <c r="H2" s="2131"/>
      <c r="I2" s="2131"/>
      <c r="J2" s="2131"/>
      <c r="K2" s="2131"/>
      <c r="L2" s="2131"/>
      <c r="M2" s="2131"/>
      <c r="N2" s="2131"/>
      <c r="O2" s="2131"/>
      <c r="P2" s="2131"/>
      <c r="Q2" s="2131"/>
      <c r="R2" s="2131"/>
    </row>
    <row r="3" spans="1:18" ht="12.75" x14ac:dyDescent="0.2">
      <c r="A3" s="2132" t="s">
        <v>1478</v>
      </c>
      <c r="B3" s="2132"/>
      <c r="C3" s="2132"/>
      <c r="D3" s="2132"/>
      <c r="E3" s="2132"/>
      <c r="F3" s="2132"/>
      <c r="G3" s="2132"/>
      <c r="H3" s="2132"/>
      <c r="I3" s="2132"/>
      <c r="J3" s="2132"/>
      <c r="K3" s="2132"/>
      <c r="L3" s="2132"/>
      <c r="M3" s="2132"/>
      <c r="N3" s="2132"/>
      <c r="O3" s="2132"/>
      <c r="P3" s="2132"/>
      <c r="Q3" s="2132"/>
      <c r="R3" s="2132"/>
    </row>
    <row r="4" spans="1:18" x14ac:dyDescent="0.2">
      <c r="A4" s="2133" t="s">
        <v>1633</v>
      </c>
      <c r="B4" s="2133"/>
      <c r="C4" s="2133"/>
      <c r="D4" s="2133"/>
      <c r="E4" s="2133"/>
      <c r="F4" s="2133"/>
      <c r="G4" s="2133"/>
      <c r="H4" s="2133"/>
      <c r="I4" s="2133"/>
      <c r="J4" s="2133"/>
      <c r="K4" s="2133"/>
      <c r="L4" s="2133"/>
      <c r="M4" s="2133"/>
      <c r="N4" s="2133"/>
      <c r="O4" s="2133"/>
      <c r="P4" s="2133"/>
      <c r="Q4" s="2133"/>
      <c r="R4" s="213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Bartelso SD 57</v>
      </c>
      <c r="E7" s="391"/>
      <c r="G7" s="252"/>
      <c r="H7" s="387"/>
      <c r="I7" s="387"/>
      <c r="J7" s="387"/>
      <c r="K7" s="387"/>
      <c r="L7" s="329"/>
      <c r="M7" s="329"/>
      <c r="N7" s="329"/>
      <c r="O7" s="329"/>
      <c r="P7" s="329"/>
    </row>
    <row r="8" spans="1:18" ht="12.75" x14ac:dyDescent="0.2">
      <c r="A8" s="329"/>
      <c r="B8" s="329"/>
      <c r="C8" s="389" t="s">
        <v>1185</v>
      </c>
      <c r="D8" s="392">
        <f>COVER!A13</f>
        <v>13014057002</v>
      </c>
      <c r="E8" s="393"/>
      <c r="G8" s="329"/>
      <c r="H8" s="329"/>
      <c r="I8" s="329"/>
      <c r="J8" s="329"/>
      <c r="K8" s="329"/>
      <c r="L8" s="329"/>
      <c r="M8" s="329"/>
      <c r="N8" s="329"/>
      <c r="O8" s="329"/>
      <c r="P8" s="329"/>
    </row>
    <row r="9" spans="1:18" ht="12.75" x14ac:dyDescent="0.2">
      <c r="A9" s="329"/>
      <c r="B9" s="329"/>
      <c r="C9" s="389" t="s">
        <v>735</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1590443</v>
      </c>
      <c r="I12" s="404"/>
      <c r="J12" s="404"/>
      <c r="K12" s="405">
        <f>TRUNC((H12/H13*100000),5)/100000</f>
        <v>1.4961257373000001</v>
      </c>
      <c r="L12" s="406"/>
      <c r="M12" s="360" t="s">
        <v>1204</v>
      </c>
      <c r="N12" s="360"/>
      <c r="O12" s="407">
        <v>0.35</v>
      </c>
      <c r="P12" s="218"/>
      <c r="Q12" s="218"/>
    </row>
    <row r="13" spans="1:18" s="408" customFormat="1" ht="12.75" x14ac:dyDescent="0.2">
      <c r="A13" s="218"/>
      <c r="B13" s="401"/>
      <c r="C13" s="2129" t="s">
        <v>1389</v>
      </c>
      <c r="D13" s="2130"/>
      <c r="E13" s="218"/>
      <c r="F13" s="409" t="s">
        <v>824</v>
      </c>
      <c r="G13" s="402"/>
      <c r="H13" s="403">
        <f>SUM('Acct Summary 7-8'!C8+'Acct Summary 7-8'!D8+'Acct Summary 7-8'!F8+'Acct Summary 7-8'!I8)+H14</f>
        <v>1063041</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t="str">
        <f>IF(K17&gt;1.2,"1",IF(K17&gt;1.1,"2",IF(K17&gt;1,"3",4)))</f>
        <v>3</v>
      </c>
      <c r="P16" s="216"/>
      <c r="R16" s="384"/>
    </row>
    <row r="17" spans="1:18" s="408" customFormat="1" ht="11.25" x14ac:dyDescent="0.2">
      <c r="A17" s="218"/>
      <c r="B17" s="401"/>
      <c r="C17" s="218" t="s">
        <v>828</v>
      </c>
      <c r="D17" s="218"/>
      <c r="E17" s="218"/>
      <c r="F17" s="218" t="s">
        <v>462</v>
      </c>
      <c r="G17" s="402"/>
      <c r="H17" s="403">
        <f>SUM('Acct Summary 7-8'!C17+'Acct Summary 7-8'!D17+'Acct Summary 7-8'!F17)</f>
        <v>1087063</v>
      </c>
      <c r="I17" s="404"/>
      <c r="J17" s="416"/>
      <c r="K17" s="405">
        <f>TRUNC((H17/H18*100000),5)/100000</f>
        <v>1.022597435</v>
      </c>
      <c r="L17" s="406"/>
      <c r="M17" s="417" t="s">
        <v>1231</v>
      </c>
      <c r="O17" s="418" t="str">
        <f>IF(AND(O16="2", J20 &gt; 2),"1",IF(AND(O16 = "1", J20 &gt; 2),"2",IF(AND(O16="1", J20 &gt;1),"1","0")))</f>
        <v>0</v>
      </c>
      <c r="P17" s="218"/>
    </row>
    <row r="18" spans="1:18" s="408" customFormat="1" ht="11.25" x14ac:dyDescent="0.2">
      <c r="A18" s="218"/>
      <c r="B18" s="401"/>
      <c r="C18" s="2129" t="s">
        <v>1382</v>
      </c>
      <c r="D18" s="2130"/>
      <c r="E18" s="218"/>
      <c r="F18" s="419" t="s">
        <v>825</v>
      </c>
      <c r="G18" s="402"/>
      <c r="H18" s="403">
        <f>SUM('Acct Summary 7-8'!C8+'Acct Summary 7-8'!D8+'Acct Summary 7-8'!F8+'Acct Summary 7-8'!I8)+H19</f>
        <v>1063041</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f>IF(K17&lt;=1,"0",TRUNC(((K12-0.1)/(K17-1)*100),5)/100)</f>
        <v>61.782487099999997</v>
      </c>
      <c r="K20" s="405" t="str">
        <f>IF(K17&lt;=1,"0",IF(AND(O16="2", J20 &gt; 2),TRUNC(((K12-0.1)/(K17-1)*100),5)/100,IF(AND(O16 = "1", J20 &gt; 2),TRUNC(((K12-0.1)/(K17-1)*100),5)/100,IF(AND(O16="1", J20 &gt;1),TRUNC(((K12-0.1)/(K17-1)*100),5)/100,""))))</f>
        <v/>
      </c>
      <c r="L20" s="218"/>
      <c r="M20" s="360" t="s">
        <v>1205</v>
      </c>
      <c r="N20" s="360"/>
      <c r="O20" s="411">
        <f>(O16+O17)*O18</f>
        <v>1.0499999999999998</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26" t="s">
        <v>1477</v>
      </c>
      <c r="D24" s="2126"/>
      <c r="E24" s="218"/>
      <c r="F24" s="218" t="s">
        <v>463</v>
      </c>
      <c r="G24" s="402"/>
      <c r="H24" s="403">
        <f>SUM('Assets-Liab 5-6'!C4+'Assets-Liab 5-6'!D4+'Assets-Liab 5-6'!F4+'Assets-Liab 5-6'!I4+'Assets-Liab 5-6'!C5+'Assets-Liab 5-6'!D5+'Assets-Liab 5-6'!F5+'Assets-Liab 5-6'!I5)</f>
        <v>1590579</v>
      </c>
      <c r="I24" s="422"/>
      <c r="J24" s="422"/>
      <c r="K24" s="423">
        <f>TRUNC(((H24/H25*100000)/100000),2)</f>
        <v>526.74</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3019.6194399999999</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306494.47814999998</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3</v>
      </c>
      <c r="P31" s="216"/>
    </row>
    <row r="32" spans="1:18" s="408" customFormat="1" ht="11.25" x14ac:dyDescent="0.2">
      <c r="A32" s="218"/>
      <c r="B32" s="401"/>
      <c r="C32" s="218" t="s">
        <v>900</v>
      </c>
      <c r="D32" s="218"/>
      <c r="E32" s="218"/>
      <c r="F32" s="218"/>
      <c r="G32" s="402"/>
      <c r="H32" s="403">
        <f>'FP Info 3'!H37</f>
        <v>637000</v>
      </c>
      <c r="I32" s="420"/>
      <c r="J32" s="420"/>
      <c r="K32" s="423">
        <f>TRUNC(100-((((H32/H33*100))*100)/100),2)</f>
        <v>62.36</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1692526.53</v>
      </c>
      <c r="I33" s="420"/>
      <c r="J33" s="420"/>
      <c r="K33" s="403"/>
      <c r="L33" s="218"/>
      <c r="M33" s="435" t="s">
        <v>1205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0" colorId="8" zoomScale="110" zoomScaleNormal="110" workbookViewId="0">
      <selection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4"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5"/>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6" t="s">
        <v>1028</v>
      </c>
      <c r="B3" s="2137"/>
      <c r="C3" s="1581"/>
      <c r="D3" s="1582"/>
      <c r="E3" s="1582"/>
      <c r="F3" s="1582"/>
      <c r="G3" s="1582"/>
      <c r="H3" s="1582"/>
      <c r="I3" s="1582"/>
      <c r="J3" s="1582"/>
      <c r="K3" s="1582"/>
      <c r="L3" s="1582"/>
      <c r="M3" s="1583"/>
      <c r="N3" s="1584"/>
    </row>
    <row r="4" spans="1:14" ht="13.5" customHeight="1" x14ac:dyDescent="0.2">
      <c r="A4" s="463" t="s">
        <v>1748</v>
      </c>
      <c r="B4" s="464"/>
      <c r="C4" s="465">
        <v>559321</v>
      </c>
      <c r="D4" s="466">
        <v>36311</v>
      </c>
      <c r="E4" s="466"/>
      <c r="F4" s="466">
        <v>73486</v>
      </c>
      <c r="G4" s="466">
        <v>46393</v>
      </c>
      <c r="H4" s="466"/>
      <c r="I4" s="466">
        <v>220182</v>
      </c>
      <c r="J4" s="467">
        <v>184566</v>
      </c>
      <c r="K4" s="466">
        <v>53085</v>
      </c>
      <c r="L4" s="466"/>
      <c r="M4" s="468"/>
      <c r="N4" s="469"/>
    </row>
    <row r="5" spans="1:14" x14ac:dyDescent="0.2">
      <c r="A5" s="463" t="s">
        <v>1047</v>
      </c>
      <c r="B5" s="470">
        <v>120</v>
      </c>
      <c r="C5" s="465">
        <v>701279</v>
      </c>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8" t="s">
        <v>663</v>
      </c>
      <c r="B13" s="1731"/>
      <c r="C13" s="1759">
        <f>SUM(C4:C12)</f>
        <v>1260600</v>
      </c>
      <c r="D13" s="1759">
        <f t="shared" ref="D13:L13" si="0">SUM(D4:D12)</f>
        <v>36311</v>
      </c>
      <c r="E13" s="1759">
        <f t="shared" si="0"/>
        <v>0</v>
      </c>
      <c r="F13" s="1759">
        <f t="shared" si="0"/>
        <v>73486</v>
      </c>
      <c r="G13" s="1759">
        <f t="shared" si="0"/>
        <v>46393</v>
      </c>
      <c r="H13" s="1759">
        <f t="shared" si="0"/>
        <v>0</v>
      </c>
      <c r="I13" s="1759">
        <f t="shared" si="0"/>
        <v>220182</v>
      </c>
      <c r="J13" s="1759">
        <f t="shared" si="0"/>
        <v>184566</v>
      </c>
      <c r="K13" s="1759">
        <f t="shared" si="0"/>
        <v>53085</v>
      </c>
      <c r="L13" s="1759">
        <f t="shared" si="0"/>
        <v>0</v>
      </c>
      <c r="M13" s="468"/>
      <c r="N13" s="469"/>
    </row>
    <row r="14" spans="1:14" ht="18" customHeight="1" thickTop="1" x14ac:dyDescent="0.2">
      <c r="A14" s="2138" t="s">
        <v>149</v>
      </c>
      <c r="B14" s="2139"/>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c r="N17" s="484"/>
    </row>
    <row r="18" spans="1:14" s="485" customFormat="1" ht="12.75" customHeight="1" x14ac:dyDescent="0.2">
      <c r="A18" s="482" t="s">
        <v>1469</v>
      </c>
      <c r="B18" s="483">
        <v>240</v>
      </c>
      <c r="C18" s="477"/>
      <c r="D18" s="477"/>
      <c r="E18" s="477"/>
      <c r="F18" s="477"/>
      <c r="G18" s="477"/>
      <c r="H18" s="477"/>
      <c r="I18" s="477"/>
      <c r="J18" s="477"/>
      <c r="K18" s="477"/>
      <c r="L18" s="477"/>
      <c r="M18" s="467">
        <v>85673</v>
      </c>
      <c r="N18" s="484"/>
    </row>
    <row r="19" spans="1:14" s="485" customFormat="1" ht="12.75" customHeight="1" x14ac:dyDescent="0.2">
      <c r="A19" s="482" t="s">
        <v>1470</v>
      </c>
      <c r="B19" s="483">
        <v>250</v>
      </c>
      <c r="C19" s="477"/>
      <c r="D19" s="477"/>
      <c r="E19" s="477"/>
      <c r="F19" s="477"/>
      <c r="G19" s="477"/>
      <c r="H19" s="477"/>
      <c r="I19" s="477"/>
      <c r="J19" s="477"/>
      <c r="K19" s="477"/>
      <c r="L19" s="477"/>
      <c r="M19" s="467">
        <v>516545</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637000</v>
      </c>
    </row>
    <row r="23" spans="1:14" ht="13.5" customHeight="1" thickBot="1" x14ac:dyDescent="0.25">
      <c r="A23" s="1758" t="s">
        <v>662</v>
      </c>
      <c r="B23" s="1763"/>
      <c r="C23" s="468"/>
      <c r="D23" s="468"/>
      <c r="E23" s="468"/>
      <c r="F23" s="468"/>
      <c r="G23" s="468"/>
      <c r="H23" s="468"/>
      <c r="I23" s="468"/>
      <c r="J23" s="468"/>
      <c r="K23" s="468"/>
      <c r="L23" s="468"/>
      <c r="M23" s="1710">
        <f>SUM(M15:M22)</f>
        <v>602218</v>
      </c>
      <c r="N23" s="1710">
        <f>SUM(N21:N22)</f>
        <v>637000</v>
      </c>
    </row>
    <row r="24" spans="1:14" ht="18" customHeight="1" thickTop="1" x14ac:dyDescent="0.2">
      <c r="A24" s="2140" t="s">
        <v>617</v>
      </c>
      <c r="B24" s="2141"/>
      <c r="C24" s="1590"/>
      <c r="D24" s="1587"/>
      <c r="E24" s="1587"/>
      <c r="F24" s="1587"/>
      <c r="G24" s="1587"/>
      <c r="H24" s="1587"/>
      <c r="I24" s="1587"/>
      <c r="J24" s="1587"/>
      <c r="K24" s="1587"/>
      <c r="L24" s="1587"/>
      <c r="M24" s="1586"/>
      <c r="N24" s="1591"/>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v>136</v>
      </c>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c r="M33" s="468"/>
      <c r="N33" s="469"/>
    </row>
    <row r="34" spans="1:14" ht="13.5" customHeight="1" thickBot="1" x14ac:dyDescent="0.25">
      <c r="A34" s="1760" t="s">
        <v>673</v>
      </c>
      <c r="B34" s="1761"/>
      <c r="C34" s="1762">
        <f>SUM(C25:C33)</f>
        <v>136</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42" t="s">
        <v>548</v>
      </c>
      <c r="B35" s="214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637000</v>
      </c>
    </row>
    <row r="37" spans="1:14" ht="13.5" thickBot="1" x14ac:dyDescent="0.25">
      <c r="A37" s="1758" t="s">
        <v>672</v>
      </c>
      <c r="B37" s="1763"/>
      <c r="C37" s="477"/>
      <c r="D37" s="477"/>
      <c r="E37" s="477"/>
      <c r="F37" s="477"/>
      <c r="G37" s="477"/>
      <c r="H37" s="477"/>
      <c r="I37" s="477"/>
      <c r="J37" s="477"/>
      <c r="K37" s="477"/>
      <c r="L37" s="480"/>
      <c r="M37" s="468"/>
      <c r="N37" s="1710">
        <f>SUM(N36:N36)</f>
        <v>637000</v>
      </c>
    </row>
    <row r="38" spans="1:14" s="329" customFormat="1" ht="13.5" customHeight="1" thickTop="1" x14ac:dyDescent="0.2">
      <c r="A38" s="496" t="s">
        <v>438</v>
      </c>
      <c r="B38" s="483">
        <v>714</v>
      </c>
      <c r="C38" s="466">
        <v>21128</v>
      </c>
      <c r="D38" s="466"/>
      <c r="E38" s="466"/>
      <c r="F38" s="466"/>
      <c r="G38" s="466">
        <v>1085</v>
      </c>
      <c r="H38" s="466"/>
      <c r="I38" s="466"/>
      <c r="J38" s="467"/>
      <c r="K38" s="466"/>
      <c r="L38" s="481"/>
      <c r="M38" s="497"/>
      <c r="N38" s="497"/>
    </row>
    <row r="39" spans="1:14" s="329" customFormat="1" ht="13.5" customHeight="1" x14ac:dyDescent="0.2">
      <c r="A39" s="496" t="s">
        <v>358</v>
      </c>
      <c r="B39" s="483">
        <v>730</v>
      </c>
      <c r="C39" s="466">
        <v>1239336</v>
      </c>
      <c r="D39" s="466">
        <v>36311</v>
      </c>
      <c r="E39" s="466">
        <f>'Acct Summary 7-8'!E81</f>
        <v>0</v>
      </c>
      <c r="F39" s="466">
        <v>73486</v>
      </c>
      <c r="G39" s="466">
        <v>45308</v>
      </c>
      <c r="H39" s="466">
        <f>'Acct Summary 7-8'!H81</f>
        <v>0</v>
      </c>
      <c r="I39" s="466">
        <v>220182</v>
      </c>
      <c r="J39" s="467">
        <v>184566</v>
      </c>
      <c r="K39" s="466">
        <v>53085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602218</v>
      </c>
      <c r="N40" s="497"/>
    </row>
    <row r="41" spans="1:14" ht="13.5" customHeight="1" thickBot="1" x14ac:dyDescent="0.25">
      <c r="A41" s="1758" t="s">
        <v>674</v>
      </c>
      <c r="B41" s="1728"/>
      <c r="C41" s="1710">
        <f>(SUM(C34,C37,C38,C39))</f>
        <v>1260600</v>
      </c>
      <c r="D41" s="1710">
        <f t="shared" ref="D41:L41" si="2">SUM(D34,D37,D38:D39)</f>
        <v>36311</v>
      </c>
      <c r="E41" s="1710">
        <f t="shared" si="2"/>
        <v>0</v>
      </c>
      <c r="F41" s="1710">
        <f t="shared" si="2"/>
        <v>73486</v>
      </c>
      <c r="G41" s="1710">
        <f t="shared" si="2"/>
        <v>46393</v>
      </c>
      <c r="H41" s="1710">
        <f t="shared" si="2"/>
        <v>0</v>
      </c>
      <c r="I41" s="1710">
        <f t="shared" si="2"/>
        <v>220182</v>
      </c>
      <c r="J41" s="1710">
        <f t="shared" si="2"/>
        <v>184566</v>
      </c>
      <c r="K41" s="1710">
        <f t="shared" si="2"/>
        <v>53085</v>
      </c>
      <c r="L41" s="1710">
        <f t="shared" si="2"/>
        <v>0</v>
      </c>
      <c r="M41" s="1710">
        <f>SUM(M40)</f>
        <v>602218</v>
      </c>
      <c r="N41" s="1710">
        <f>SUM(N37)</f>
        <v>637000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4" colorId="8" zoomScaleNormal="110" zoomScaleSheetLayoutView="100" workbookViewId="0">
      <selection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2"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3"/>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4" t="s">
        <v>1235</v>
      </c>
      <c r="B3" s="2165"/>
      <c r="C3" s="1595"/>
      <c r="D3" s="1596"/>
      <c r="E3" s="1596"/>
      <c r="F3" s="1596"/>
      <c r="G3" s="1596"/>
      <c r="H3" s="1596"/>
      <c r="I3" s="1596"/>
      <c r="J3" s="1596"/>
      <c r="K3" s="1597"/>
      <c r="L3" s="506"/>
    </row>
    <row r="4" spans="1:13" ht="15.75" customHeight="1" x14ac:dyDescent="0.2">
      <c r="A4" s="1954" t="s">
        <v>1577</v>
      </c>
      <c r="B4" s="1955">
        <v>1000</v>
      </c>
      <c r="C4" s="1764">
        <f>'Revenues 9-14'!C109</f>
        <v>410471</v>
      </c>
      <c r="D4" s="1764">
        <f>'Revenues 9-14'!D109</f>
        <v>62080</v>
      </c>
      <c r="E4" s="1764">
        <f>'Revenues 9-14'!E109</f>
        <v>165318</v>
      </c>
      <c r="F4" s="1764">
        <f>'Revenues 9-14'!F109</f>
        <v>38142</v>
      </c>
      <c r="G4" s="1764">
        <f>'Revenues 9-14'!G109</f>
        <v>35249</v>
      </c>
      <c r="H4" s="1764">
        <f>'Revenues 9-14'!H109</f>
        <v>0</v>
      </c>
      <c r="I4" s="1764">
        <f>'Revenues 9-14'!I109</f>
        <v>11717</v>
      </c>
      <c r="J4" s="1764">
        <f>'Revenues 9-14'!J109</f>
        <v>99860</v>
      </c>
      <c r="K4" s="1764">
        <f>'Revenues 9-14'!K109</f>
        <v>11717</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452029</v>
      </c>
      <c r="D6" s="1765">
        <f>'Revenues 9-14'!D173</f>
        <v>0</v>
      </c>
      <c r="E6" s="1765">
        <f>'Revenues 9-14'!E173</f>
        <v>0</v>
      </c>
      <c r="F6" s="1765">
        <f>'Revenues 9-14'!F173</f>
        <v>26691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61911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924411</v>
      </c>
      <c r="D8" s="1710">
        <f t="shared" ref="D8:K8" si="0">SUM(D4:D7)</f>
        <v>62080</v>
      </c>
      <c r="E8" s="1710">
        <f t="shared" si="0"/>
        <v>165318</v>
      </c>
      <c r="F8" s="1710">
        <f t="shared" si="0"/>
        <v>64833</v>
      </c>
      <c r="G8" s="1710">
        <f t="shared" si="0"/>
        <v>35249</v>
      </c>
      <c r="H8" s="1710">
        <f t="shared" si="0"/>
        <v>0</v>
      </c>
      <c r="I8" s="1710">
        <f t="shared" si="0"/>
        <v>11717</v>
      </c>
      <c r="J8" s="1710">
        <f t="shared" si="0"/>
        <v>99860</v>
      </c>
      <c r="K8" s="1710">
        <f t="shared" si="0"/>
        <v>11717</v>
      </c>
      <c r="L8" s="347"/>
    </row>
    <row r="9" spans="1:13" ht="15.75" thickTop="1" x14ac:dyDescent="0.2">
      <c r="A9" s="514" t="s">
        <v>1750</v>
      </c>
      <c r="B9" s="515">
        <v>3998</v>
      </c>
      <c r="C9" s="481">
        <v>257402</v>
      </c>
      <c r="D9" s="516"/>
      <c r="E9" s="481"/>
      <c r="F9" s="481"/>
      <c r="G9" s="517"/>
      <c r="H9" s="481"/>
      <c r="I9" s="509" t="s">
        <v>1229</v>
      </c>
      <c r="J9" s="478"/>
      <c r="K9" s="481"/>
      <c r="L9" s="347"/>
    </row>
    <row r="10" spans="1:13" s="519" customFormat="1" ht="13.5" thickBot="1" x14ac:dyDescent="0.25">
      <c r="A10" s="1758" t="s">
        <v>1233</v>
      </c>
      <c r="B10" s="1731"/>
      <c r="C10" s="1710">
        <f>SUM(C8:C9)</f>
        <v>1181813</v>
      </c>
      <c r="D10" s="1710">
        <f t="shared" ref="D10:K10" si="1">SUM(D8:D9)</f>
        <v>62080</v>
      </c>
      <c r="E10" s="1710">
        <f t="shared" si="1"/>
        <v>165318</v>
      </c>
      <c r="F10" s="1710">
        <f t="shared" si="1"/>
        <v>64833</v>
      </c>
      <c r="G10" s="1710">
        <f t="shared" si="1"/>
        <v>35249</v>
      </c>
      <c r="H10" s="1710">
        <f t="shared" si="1"/>
        <v>0</v>
      </c>
      <c r="I10" s="1710">
        <f t="shared" si="1"/>
        <v>11717</v>
      </c>
      <c r="J10" s="1710">
        <f t="shared" si="1"/>
        <v>99860</v>
      </c>
      <c r="K10" s="1710">
        <f t="shared" si="1"/>
        <v>11717</v>
      </c>
      <c r="L10" s="518"/>
    </row>
    <row r="11" spans="1:13" s="519" customFormat="1" ht="16.7" customHeight="1" thickTop="1" x14ac:dyDescent="0.2">
      <c r="A11" s="2138" t="s">
        <v>1236</v>
      </c>
      <c r="B11" s="2139"/>
      <c r="C11" s="1592"/>
      <c r="D11" s="1593"/>
      <c r="E11" s="1593"/>
      <c r="F11" s="1593"/>
      <c r="G11" s="1593"/>
      <c r="H11" s="1593"/>
      <c r="I11" s="1593"/>
      <c r="J11" s="1593"/>
      <c r="K11" s="1594"/>
      <c r="L11" s="518"/>
    </row>
    <row r="12" spans="1:13" ht="15.75" customHeight="1" x14ac:dyDescent="0.2">
      <c r="A12" s="1598" t="s">
        <v>474</v>
      </c>
      <c r="B12" s="1600">
        <v>1000</v>
      </c>
      <c r="C12" s="1764">
        <f>'Expenditures 15-22'!K33</f>
        <v>640008</v>
      </c>
      <c r="D12" s="520" t="s">
        <v>1229</v>
      </c>
      <c r="E12" s="468" t="s">
        <v>1229</v>
      </c>
      <c r="F12" s="468" t="s">
        <v>1229</v>
      </c>
      <c r="G12" s="1764">
        <f>'Expenditures 15-22'!K229</f>
        <v>9930</v>
      </c>
      <c r="H12" s="521"/>
      <c r="I12" s="468" t="s">
        <v>1229</v>
      </c>
      <c r="J12" s="468" t="s">
        <v>1229</v>
      </c>
      <c r="K12" s="521" t="s">
        <v>1229</v>
      </c>
      <c r="L12" s="347"/>
    </row>
    <row r="13" spans="1:13" ht="15.75" customHeight="1" x14ac:dyDescent="0.2">
      <c r="A13" s="1598" t="s">
        <v>475</v>
      </c>
      <c r="B13" s="1600">
        <v>2000</v>
      </c>
      <c r="C13" s="1765">
        <f>'Expenditures 15-22'!K74</f>
        <v>221494</v>
      </c>
      <c r="D13" s="1765">
        <f>'Expenditures 15-22'!K129</f>
        <v>140133</v>
      </c>
      <c r="E13" s="469" t="s">
        <v>1229</v>
      </c>
      <c r="F13" s="1765">
        <f>'Expenditures 15-22'!K184</f>
        <v>64589</v>
      </c>
      <c r="G13" s="1765">
        <f>'Expenditures 15-22'!K279</f>
        <v>20132</v>
      </c>
      <c r="H13" s="1765">
        <f>'Expenditures 15-22'!K303</f>
        <v>0</v>
      </c>
      <c r="I13" s="468" t="s">
        <v>1229</v>
      </c>
      <c r="J13" s="1765">
        <f>'Expenditures 15-22'!K330</f>
        <v>72583</v>
      </c>
      <c r="K13" s="1769">
        <f>'Expenditures 15-22'!K352</f>
        <v>5394</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20839</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165318</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882341</v>
      </c>
      <c r="D17" s="1710">
        <f t="shared" si="2"/>
        <v>140133</v>
      </c>
      <c r="E17" s="1710">
        <f t="shared" si="2"/>
        <v>165318</v>
      </c>
      <c r="F17" s="1710">
        <f t="shared" si="2"/>
        <v>64589</v>
      </c>
      <c r="G17" s="1710">
        <f t="shared" si="2"/>
        <v>30062</v>
      </c>
      <c r="H17" s="1710">
        <f t="shared" si="2"/>
        <v>0</v>
      </c>
      <c r="I17" s="468"/>
      <c r="J17" s="1710">
        <f>SUM(J12:J16)</f>
        <v>72583</v>
      </c>
      <c r="K17" s="1710">
        <f>SUM(K12:K16)</f>
        <v>5394</v>
      </c>
      <c r="L17" s="347"/>
    </row>
    <row r="18" spans="1:12" ht="15" customHeight="1" thickTop="1" x14ac:dyDescent="0.2">
      <c r="A18" s="1766" t="s">
        <v>1751</v>
      </c>
      <c r="B18" s="1767">
        <v>4180</v>
      </c>
      <c r="C18" s="1764">
        <f t="shared" ref="C18:H18" si="3">C9</f>
        <v>257402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1139743</v>
      </c>
      <c r="D19" s="1710">
        <f t="shared" si="4"/>
        <v>140133</v>
      </c>
      <c r="E19" s="1710">
        <f t="shared" si="4"/>
        <v>165318</v>
      </c>
      <c r="F19" s="1710">
        <f t="shared" si="4"/>
        <v>64589</v>
      </c>
      <c r="G19" s="1710">
        <f t="shared" si="4"/>
        <v>30062</v>
      </c>
      <c r="H19" s="1710">
        <f t="shared" si="4"/>
        <v>0</v>
      </c>
      <c r="I19" s="468"/>
      <c r="J19" s="1710">
        <f>SUM(J17:J18)</f>
        <v>72583</v>
      </c>
      <c r="K19" s="1710">
        <f>SUM(K17:K18)</f>
        <v>5394</v>
      </c>
      <c r="L19" s="347"/>
    </row>
    <row r="20" spans="1:12" ht="16.5" thickTop="1" thickBot="1" x14ac:dyDescent="0.25">
      <c r="A20" s="2154" t="s">
        <v>1752</v>
      </c>
      <c r="B20" s="2155"/>
      <c r="C20" s="1768">
        <f>C8-C17</f>
        <v>42070</v>
      </c>
      <c r="D20" s="1768">
        <f t="shared" ref="D20:K20" si="5">D8-D17</f>
        <v>-78053</v>
      </c>
      <c r="E20" s="1768">
        <f t="shared" si="5"/>
        <v>0</v>
      </c>
      <c r="F20" s="1768">
        <f t="shared" si="5"/>
        <v>244</v>
      </c>
      <c r="G20" s="1768">
        <f t="shared" si="5"/>
        <v>5187</v>
      </c>
      <c r="H20" s="1768">
        <f t="shared" si="5"/>
        <v>0</v>
      </c>
      <c r="I20" s="1768">
        <f t="shared" si="5"/>
        <v>11717</v>
      </c>
      <c r="J20" s="1768">
        <f t="shared" si="5"/>
        <v>27277</v>
      </c>
      <c r="K20" s="1768">
        <f t="shared" si="5"/>
        <v>6323</v>
      </c>
      <c r="L20" s="347"/>
    </row>
    <row r="21" spans="1:12" ht="16.7" customHeight="1" thickTop="1" x14ac:dyDescent="0.2">
      <c r="A21" s="2166" t="s">
        <v>614</v>
      </c>
      <c r="B21" s="2167"/>
      <c r="C21" s="1592"/>
      <c r="D21" s="1593"/>
      <c r="E21" s="1593"/>
      <c r="F21" s="1593"/>
      <c r="G21" s="1593"/>
      <c r="H21" s="1593"/>
      <c r="I21" s="1593"/>
      <c r="J21" s="1593"/>
      <c r="K21" s="1594"/>
      <c r="L21" s="524"/>
    </row>
    <row r="22" spans="1:12" ht="15.75" customHeight="1" collapsed="1" x14ac:dyDescent="0.2">
      <c r="A22" s="2162" t="s">
        <v>615</v>
      </c>
      <c r="B22" s="2163"/>
      <c r="C22" s="477"/>
      <c r="D22" s="477"/>
      <c r="E22" s="477"/>
      <c r="F22" s="477"/>
      <c r="G22" s="477"/>
      <c r="H22" s="477"/>
      <c r="I22" s="477"/>
      <c r="J22" s="477"/>
      <c r="K22" s="477"/>
      <c r="L22" s="347"/>
    </row>
    <row r="23" spans="1:12" s="485" customFormat="1" ht="15.75" customHeight="1" x14ac:dyDescent="0.2">
      <c r="A23" s="2158" t="s">
        <v>309</v>
      </c>
      <c r="B23" s="2159"/>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c r="D25" s="467">
        <v>20000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1463</v>
      </c>
      <c r="B28" s="483">
        <v>7140</v>
      </c>
      <c r="C28" s="467"/>
      <c r="D28" s="467"/>
      <c r="E28" s="467"/>
      <c r="F28" s="467"/>
      <c r="G28" s="467"/>
      <c r="H28" s="467"/>
      <c r="I28" s="467"/>
      <c r="J28" s="467"/>
      <c r="K28" s="467"/>
      <c r="L28" s="524"/>
    </row>
    <row r="29" spans="1:12" s="485" customFormat="1" ht="13.5"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60" t="s">
        <v>1036</v>
      </c>
      <c r="B32" s="2161"/>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5" customHeight="1" x14ac:dyDescent="0.2">
      <c r="A40" s="1511" t="s">
        <v>661</v>
      </c>
      <c r="B40" s="483">
        <v>7700</v>
      </c>
      <c r="C40" s="477"/>
      <c r="D40" s="477"/>
      <c r="E40" s="1765">
        <f>SUM(C66:D69)</f>
        <v>0</v>
      </c>
      <c r="F40" s="477"/>
      <c r="G40" s="477"/>
      <c r="H40" s="480"/>
      <c r="I40" s="477"/>
      <c r="J40" s="477"/>
      <c r="K40" s="477"/>
      <c r="L40" s="524"/>
    </row>
    <row r="41" spans="1:12" s="485" customFormat="1" ht="13.5" customHeight="1" x14ac:dyDescent="0.2">
      <c r="A41" s="1511" t="s">
        <v>659</v>
      </c>
      <c r="B41" s="483">
        <v>7800</v>
      </c>
      <c r="C41" s="480"/>
      <c r="D41" s="480"/>
      <c r="E41" s="526"/>
      <c r="F41" s="480"/>
      <c r="G41" s="480"/>
      <c r="H41" s="1765">
        <f>SUM(C70:D73)</f>
        <v>0</v>
      </c>
      <c r="I41" s="477"/>
      <c r="J41" s="477"/>
      <c r="K41" s="480"/>
      <c r="L41" s="524"/>
    </row>
    <row r="42" spans="1:12" s="485" customFormat="1" ht="13.5" customHeight="1" x14ac:dyDescent="0.2">
      <c r="A42" s="1511" t="s">
        <v>660</v>
      </c>
      <c r="B42" s="483">
        <v>7900</v>
      </c>
      <c r="C42" s="467"/>
      <c r="D42" s="467"/>
      <c r="E42" s="467"/>
      <c r="F42" s="467"/>
      <c r="G42" s="467"/>
      <c r="H42" s="467"/>
      <c r="I42" s="480"/>
      <c r="J42" s="480"/>
      <c r="K42" s="467"/>
      <c r="L42" s="524"/>
    </row>
    <row r="43" spans="1:12" s="485" customFormat="1" ht="13.5" customHeight="1" x14ac:dyDescent="0.2">
      <c r="A43" s="1511" t="s">
        <v>389</v>
      </c>
      <c r="B43" s="483">
        <v>7990</v>
      </c>
      <c r="C43" s="467"/>
      <c r="D43" s="467"/>
      <c r="E43" s="467"/>
      <c r="F43" s="467"/>
      <c r="G43" s="467"/>
      <c r="H43" s="467"/>
      <c r="I43" s="467"/>
      <c r="J43" s="467"/>
      <c r="K43" s="467"/>
      <c r="L43" s="524"/>
    </row>
    <row r="44" spans="1:12" s="485" customFormat="1" ht="13.5" customHeight="1" thickBot="1" x14ac:dyDescent="0.25">
      <c r="A44" s="2168" t="s">
        <v>390</v>
      </c>
      <c r="B44" s="2169"/>
      <c r="C44" s="1725">
        <f>SUM(C24:C43)</f>
        <v>0</v>
      </c>
      <c r="D44" s="1725">
        <f t="shared" ref="D44:K44" si="6">SUM(D24:D43)</f>
        <v>20000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2" t="s">
        <v>110</v>
      </c>
      <c r="B45" s="2163"/>
      <c r="C45" s="528"/>
      <c r="D45" s="528"/>
      <c r="E45" s="528"/>
      <c r="F45" s="528"/>
      <c r="G45" s="528"/>
      <c r="H45" s="528"/>
      <c r="I45" s="528"/>
      <c r="J45" s="528"/>
      <c r="K45" s="528"/>
      <c r="L45" s="347"/>
    </row>
    <row r="46" spans="1:12" s="485" customFormat="1" ht="15.75" customHeight="1" x14ac:dyDescent="0.2">
      <c r="A46" s="2170" t="s">
        <v>111</v>
      </c>
      <c r="B46" s="2171"/>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20000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5"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5"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44" t="s">
        <v>458</v>
      </c>
      <c r="B76" s="2145"/>
      <c r="C76" s="1725">
        <f t="shared" ref="C76:K76" si="7">SUM(C47:C75)</f>
        <v>0</v>
      </c>
      <c r="D76" s="1725">
        <f t="shared" si="7"/>
        <v>0</v>
      </c>
      <c r="E76" s="1725">
        <f t="shared" si="7"/>
        <v>0</v>
      </c>
      <c r="F76" s="1725">
        <f t="shared" si="7"/>
        <v>0</v>
      </c>
      <c r="G76" s="1725">
        <f t="shared" si="7"/>
        <v>0</v>
      </c>
      <c r="H76" s="1725">
        <f t="shared" si="7"/>
        <v>0</v>
      </c>
      <c r="I76" s="1725">
        <f t="shared" si="7"/>
        <v>20000</v>
      </c>
      <c r="J76" s="1725">
        <f t="shared" si="7"/>
        <v>0</v>
      </c>
      <c r="K76" s="1725">
        <f t="shared" si="7"/>
        <v>0</v>
      </c>
      <c r="L76" s="524"/>
    </row>
    <row r="77" spans="1:12" ht="14.25" thickTop="1" thickBot="1" x14ac:dyDescent="0.25">
      <c r="A77" s="2146" t="s">
        <v>1237</v>
      </c>
      <c r="B77" s="2147"/>
      <c r="C77" s="1725">
        <f t="shared" ref="C77:K77" si="8">C44-C76</f>
        <v>0</v>
      </c>
      <c r="D77" s="1725">
        <f t="shared" si="8"/>
        <v>20000</v>
      </c>
      <c r="E77" s="1725">
        <f t="shared" si="8"/>
        <v>0</v>
      </c>
      <c r="F77" s="1725">
        <f t="shared" si="8"/>
        <v>0</v>
      </c>
      <c r="G77" s="1725">
        <f t="shared" si="8"/>
        <v>0</v>
      </c>
      <c r="H77" s="1725">
        <f t="shared" si="8"/>
        <v>0</v>
      </c>
      <c r="I77" s="1725">
        <f t="shared" si="8"/>
        <v>-20000</v>
      </c>
      <c r="J77" s="1725">
        <f t="shared" si="8"/>
        <v>0</v>
      </c>
      <c r="K77" s="1725">
        <f t="shared" si="8"/>
        <v>0</v>
      </c>
      <c r="L77" s="347"/>
    </row>
    <row r="78" spans="1:12" ht="21.75" customHeight="1" thickTop="1" thickBot="1" x14ac:dyDescent="0.25">
      <c r="A78" s="2150" t="s">
        <v>616</v>
      </c>
      <c r="B78" s="2151"/>
      <c r="C78" s="1724">
        <f t="shared" ref="C78:K78" si="9">C20+C77</f>
        <v>42070</v>
      </c>
      <c r="D78" s="1724">
        <f t="shared" si="9"/>
        <v>-58053</v>
      </c>
      <c r="E78" s="1724">
        <f t="shared" si="9"/>
        <v>0</v>
      </c>
      <c r="F78" s="1724">
        <f t="shared" si="9"/>
        <v>244</v>
      </c>
      <c r="G78" s="1724">
        <f t="shared" si="9"/>
        <v>5187</v>
      </c>
      <c r="H78" s="1724">
        <f t="shared" si="9"/>
        <v>0</v>
      </c>
      <c r="I78" s="1724">
        <f t="shared" si="9"/>
        <v>-8283</v>
      </c>
      <c r="J78" s="1724">
        <f t="shared" si="9"/>
        <v>27277</v>
      </c>
      <c r="K78" s="1724">
        <f t="shared" si="9"/>
        <v>6323</v>
      </c>
      <c r="L78" s="533"/>
    </row>
    <row r="79" spans="1:12" ht="13.5" thickTop="1" x14ac:dyDescent="0.2">
      <c r="A79" s="1516" t="s">
        <v>2071</v>
      </c>
      <c r="B79" s="534"/>
      <c r="C79" s="478">
        <v>1218394</v>
      </c>
      <c r="D79" s="535">
        <v>94364</v>
      </c>
      <c r="E79" s="535"/>
      <c r="F79" s="535">
        <v>73242</v>
      </c>
      <c r="G79" s="535">
        <v>41206</v>
      </c>
      <c r="H79" s="535"/>
      <c r="I79" s="535">
        <v>228465</v>
      </c>
      <c r="J79" s="535">
        <v>157289</v>
      </c>
      <c r="K79" s="535">
        <v>46762</v>
      </c>
      <c r="L79" s="347"/>
    </row>
    <row r="80" spans="1:12" x14ac:dyDescent="0.2">
      <c r="A80" s="2156" t="s">
        <v>1896</v>
      </c>
      <c r="B80" s="2157"/>
      <c r="C80" s="467"/>
      <c r="D80" s="467"/>
      <c r="E80" s="467"/>
      <c r="F80" s="467"/>
      <c r="G80" s="467"/>
      <c r="H80" s="467"/>
      <c r="I80" s="467"/>
      <c r="J80" s="467"/>
      <c r="K80" s="467"/>
      <c r="L80" s="347"/>
    </row>
    <row r="81" spans="1:12" ht="13.5" thickBot="1" x14ac:dyDescent="0.25">
      <c r="A81" s="2148" t="s">
        <v>2072</v>
      </c>
      <c r="B81" s="2149"/>
      <c r="C81" s="1710">
        <f>(SUM(C78:C80))</f>
        <v>1260464</v>
      </c>
      <c r="D81" s="1710">
        <f>SUM(D78:D80)</f>
        <v>36311</v>
      </c>
      <c r="E81" s="1710">
        <f t="shared" ref="E81:K81" si="10">SUM(E78:E80)</f>
        <v>0</v>
      </c>
      <c r="F81" s="1710">
        <f t="shared" si="10"/>
        <v>73486</v>
      </c>
      <c r="G81" s="1710">
        <f t="shared" si="10"/>
        <v>46393</v>
      </c>
      <c r="H81" s="1710">
        <f t="shared" si="10"/>
        <v>0</v>
      </c>
      <c r="I81" s="1710">
        <f t="shared" si="10"/>
        <v>220182</v>
      </c>
      <c r="J81" s="1710">
        <f t="shared" si="10"/>
        <v>184566</v>
      </c>
      <c r="K81" s="1710">
        <f t="shared" si="10"/>
        <v>53085</v>
      </c>
      <c r="L81" s="347"/>
    </row>
    <row r="82" spans="1:12" ht="0.75" customHeight="1" thickTop="1" thickBot="1" x14ac:dyDescent="0.25">
      <c r="A82" s="536" t="s">
        <v>359</v>
      </c>
      <c r="B82" s="537"/>
      <c r="C82" s="538">
        <f>(C81-C79)</f>
        <v>42070</v>
      </c>
      <c r="D82" s="538">
        <f t="shared" ref="D82:K82" si="11">(D81-D79)</f>
        <v>-58053</v>
      </c>
      <c r="E82" s="538">
        <f t="shared" si="11"/>
        <v>0</v>
      </c>
      <c r="F82" s="538">
        <f t="shared" si="11"/>
        <v>244</v>
      </c>
      <c r="G82" s="538">
        <f t="shared" si="11"/>
        <v>5187</v>
      </c>
      <c r="H82" s="538">
        <f t="shared" si="11"/>
        <v>0</v>
      </c>
      <c r="I82" s="538">
        <f t="shared" si="11"/>
        <v>-8283</v>
      </c>
      <c r="J82" s="538">
        <f t="shared" si="11"/>
        <v>27277</v>
      </c>
      <c r="K82" s="538">
        <f t="shared" si="11"/>
        <v>6323</v>
      </c>
    </row>
    <row r="83" spans="1:12" ht="14.25" hidden="1" thickTop="1" thickBot="1" x14ac:dyDescent="0.25">
      <c r="A83" s="539" t="s">
        <v>360</v>
      </c>
      <c r="B83" s="464"/>
      <c r="C83" s="540">
        <f>C82/C81</f>
        <v>3.3376597824293273E-2</v>
      </c>
      <c r="D83" s="540">
        <f t="shared" ref="D83:K83" si="12">D82/D81</f>
        <v>-1.5987717220676929</v>
      </c>
      <c r="E83" s="540" t="e">
        <f t="shared" si="12"/>
        <v>#DIV/0!</v>
      </c>
      <c r="F83" s="540">
        <f t="shared" si="12"/>
        <v>3.3203603407451761E-3</v>
      </c>
      <c r="G83" s="540">
        <f t="shared" si="12"/>
        <v>0.11180566033668872</v>
      </c>
      <c r="H83" s="540" t="e">
        <f t="shared" si="12"/>
        <v>#DIV/0!</v>
      </c>
      <c r="I83" s="540">
        <f t="shared" si="12"/>
        <v>-3.7618878927432757E-2</v>
      </c>
      <c r="J83" s="540">
        <f t="shared" si="12"/>
        <v>0.14778995047841964</v>
      </c>
      <c r="K83" s="540">
        <f t="shared" si="12"/>
        <v>0.11911085994160309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2" t="s">
        <v>1903</v>
      </c>
      <c r="B1" s="452"/>
      <c r="C1" s="453" t="s">
        <v>443</v>
      </c>
      <c r="D1" s="453" t="s">
        <v>444</v>
      </c>
      <c r="E1" s="453" t="s">
        <v>445</v>
      </c>
      <c r="F1" s="453" t="s">
        <v>446</v>
      </c>
      <c r="G1" s="453" t="s">
        <v>447</v>
      </c>
      <c r="H1" s="453" t="s">
        <v>448</v>
      </c>
      <c r="I1" s="453" t="s">
        <v>449</v>
      </c>
      <c r="J1" s="453" t="s">
        <v>450</v>
      </c>
      <c r="K1" s="453" t="s">
        <v>778</v>
      </c>
    </row>
    <row r="2" spans="1:12" ht="36" x14ac:dyDescent="0.2">
      <c r="A2" s="2153"/>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v>257707</v>
      </c>
      <c r="D5" s="481">
        <v>58570</v>
      </c>
      <c r="E5" s="466">
        <v>165303</v>
      </c>
      <c r="F5" s="548">
        <v>28114</v>
      </c>
      <c r="G5" s="466">
        <v>16472</v>
      </c>
      <c r="H5" s="466"/>
      <c r="I5" s="466">
        <v>11714</v>
      </c>
      <c r="J5" s="467">
        <v>99834</v>
      </c>
      <c r="K5" s="466">
        <v>11714</v>
      </c>
    </row>
    <row r="6" spans="1:12" ht="15" x14ac:dyDescent="0.2">
      <c r="A6" s="463" t="s">
        <v>1759</v>
      </c>
      <c r="B6" s="470">
        <v>1130</v>
      </c>
      <c r="C6" s="466">
        <v>11717</v>
      </c>
      <c r="D6" s="466"/>
      <c r="E6" s="475"/>
      <c r="F6" s="475"/>
      <c r="G6" s="468"/>
      <c r="H6" s="468"/>
      <c r="I6" s="468"/>
      <c r="J6" s="468"/>
      <c r="K6" s="468"/>
    </row>
    <row r="7" spans="1:12" x14ac:dyDescent="0.2">
      <c r="A7" s="463" t="s">
        <v>112</v>
      </c>
      <c r="B7" s="549">
        <v>1140</v>
      </c>
      <c r="C7" s="466">
        <v>4687</v>
      </c>
      <c r="D7" s="466"/>
      <c r="E7" s="468"/>
      <c r="F7" s="467"/>
      <c r="G7" s="467"/>
      <c r="H7" s="467"/>
      <c r="I7" s="468"/>
      <c r="J7" s="468"/>
      <c r="K7" s="468"/>
    </row>
    <row r="8" spans="1:12" x14ac:dyDescent="0.2">
      <c r="A8" s="463" t="s">
        <v>431</v>
      </c>
      <c r="B8" s="470">
        <v>1150</v>
      </c>
      <c r="C8" s="475"/>
      <c r="D8" s="475"/>
      <c r="E8" s="477"/>
      <c r="F8" s="477"/>
      <c r="G8" s="481">
        <v>18473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274111</v>
      </c>
      <c r="D12" s="1729">
        <f t="shared" si="0"/>
        <v>58570</v>
      </c>
      <c r="E12" s="1729">
        <f t="shared" si="0"/>
        <v>165303</v>
      </c>
      <c r="F12" s="1729">
        <f t="shared" si="0"/>
        <v>28114</v>
      </c>
      <c r="G12" s="1729">
        <f t="shared" si="0"/>
        <v>34945</v>
      </c>
      <c r="H12" s="1729">
        <f t="shared" si="0"/>
        <v>0</v>
      </c>
      <c r="I12" s="1729">
        <f t="shared" si="0"/>
        <v>11714</v>
      </c>
      <c r="J12" s="1729">
        <f t="shared" si="0"/>
        <v>99834</v>
      </c>
      <c r="K12" s="1710">
        <f t="shared" si="0"/>
        <v>11714</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v>71</v>
      </c>
      <c r="D14" s="466">
        <v>16</v>
      </c>
      <c r="E14" s="466">
        <v>15</v>
      </c>
      <c r="F14" s="466">
        <v>8</v>
      </c>
      <c r="G14" s="466">
        <v>4</v>
      </c>
      <c r="H14" s="466"/>
      <c r="I14" s="466">
        <v>3</v>
      </c>
      <c r="J14" s="467">
        <v>26</v>
      </c>
      <c r="K14" s="466">
        <v>3</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5171</v>
      </c>
      <c r="D16" s="466"/>
      <c r="E16" s="466"/>
      <c r="F16" s="466"/>
      <c r="G16" s="466">
        <v>300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5242</v>
      </c>
      <c r="D18" s="1732">
        <f t="shared" ref="D18:K18" si="1">SUM(D14:D17)</f>
        <v>16</v>
      </c>
      <c r="E18" s="1732">
        <f t="shared" si="1"/>
        <v>15</v>
      </c>
      <c r="F18" s="1732">
        <f t="shared" si="1"/>
        <v>8</v>
      </c>
      <c r="G18" s="1732">
        <f t="shared" si="1"/>
        <v>304</v>
      </c>
      <c r="H18" s="1732">
        <f t="shared" si="1"/>
        <v>0</v>
      </c>
      <c r="I18" s="1732">
        <f t="shared" si="1"/>
        <v>3</v>
      </c>
      <c r="J18" s="1732">
        <f t="shared" si="1"/>
        <v>26</v>
      </c>
      <c r="K18" s="1733">
        <f t="shared" si="1"/>
        <v>3</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0</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v>9940</v>
      </c>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9940</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v>17147</v>
      </c>
      <c r="D65" s="466"/>
      <c r="E65" s="466"/>
      <c r="F65" s="467"/>
      <c r="G65" s="466"/>
      <c r="H65" s="466"/>
      <c r="I65" s="466"/>
      <c r="J65" s="467"/>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17147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v>54879</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439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567</v>
      </c>
      <c r="B75" s="1731"/>
      <c r="C75" s="1710">
        <f>SUM(C69:C74)</f>
        <v>55318</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v>7825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1850</v>
      </c>
      <c r="D79" s="466"/>
      <c r="E79" s="468"/>
      <c r="F79" s="468"/>
      <c r="G79" s="468"/>
      <c r="H79" s="468"/>
      <c r="I79" s="468"/>
      <c r="J79" s="468"/>
      <c r="K79" s="468"/>
    </row>
    <row r="80" spans="1:11" ht="12.75" customHeight="1" x14ac:dyDescent="0.2">
      <c r="A80" s="463" t="s">
        <v>570</v>
      </c>
      <c r="B80" s="470">
        <v>1730</v>
      </c>
      <c r="C80" s="551">
        <v>187</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9862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v>8280</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v>3675</v>
      </c>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11955</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v>125</v>
      </c>
      <c r="D95" s="551"/>
      <c r="E95" s="521"/>
      <c r="F95" s="521"/>
      <c r="G95" s="521"/>
      <c r="H95" s="521"/>
      <c r="I95" s="521"/>
      <c r="J95" s="521"/>
      <c r="K95" s="521"/>
    </row>
    <row r="96" spans="1:11" ht="12.75" customHeight="1" x14ac:dyDescent="0.2">
      <c r="A96" s="463" t="s">
        <v>407</v>
      </c>
      <c r="B96" s="470">
        <v>1920</v>
      </c>
      <c r="C96" s="551">
        <v>32059</v>
      </c>
      <c r="D96" s="551">
        <v>400</v>
      </c>
      <c r="E96" s="479"/>
      <c r="F96" s="478">
        <v>80</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v>1594</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4652</v>
      </c>
      <c r="D107" s="466">
        <v>1500</v>
      </c>
      <c r="E107" s="466"/>
      <c r="F107" s="466"/>
      <c r="G107" s="466"/>
      <c r="H107" s="466"/>
      <c r="I107" s="466"/>
      <c r="J107" s="467"/>
      <c r="K107" s="466"/>
    </row>
    <row r="108" spans="1:12" ht="12.75" customHeight="1" thickBot="1" x14ac:dyDescent="0.25">
      <c r="A108" s="1730" t="s">
        <v>506</v>
      </c>
      <c r="B108" s="1734"/>
      <c r="C108" s="1729">
        <f>SUM(C95:C107)</f>
        <v>36836</v>
      </c>
      <c r="D108" s="1729">
        <f t="shared" ref="D108:K108" si="3">SUM(D95:D107)</f>
        <v>3494</v>
      </c>
      <c r="E108" s="1729">
        <f t="shared" si="3"/>
        <v>0</v>
      </c>
      <c r="F108" s="1729">
        <f t="shared" si="3"/>
        <v>80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589</v>
      </c>
      <c r="C109" s="1737">
        <f t="shared" ref="C109:K109" si="4">SUM(C12,C18,C40,C63,C67,C75,C82,C93,C108,)</f>
        <v>410471</v>
      </c>
      <c r="D109" s="1737">
        <f t="shared" si="4"/>
        <v>62080</v>
      </c>
      <c r="E109" s="1737">
        <f t="shared" si="4"/>
        <v>165318</v>
      </c>
      <c r="F109" s="1737">
        <f t="shared" si="4"/>
        <v>38142</v>
      </c>
      <c r="G109" s="1737">
        <f t="shared" si="4"/>
        <v>35249</v>
      </c>
      <c r="H109" s="1737">
        <f t="shared" si="4"/>
        <v>0</v>
      </c>
      <c r="I109" s="1737">
        <f t="shared" si="4"/>
        <v>11717</v>
      </c>
      <c r="J109" s="1737">
        <f t="shared" si="4"/>
        <v>99860</v>
      </c>
      <c r="K109" s="1724">
        <f t="shared" si="4"/>
        <v>11717</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0</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438693</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438693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9340</v>
      </c>
      <c r="D125" s="561"/>
      <c r="E125" s="468"/>
      <c r="F125" s="466"/>
      <c r="G125" s="468"/>
      <c r="H125" s="468"/>
      <c r="I125" s="468"/>
      <c r="J125" s="468"/>
      <c r="K125" s="468"/>
    </row>
    <row r="126" spans="1:11" ht="12.75" customHeight="1" x14ac:dyDescent="0.2">
      <c r="A126" s="463" t="s">
        <v>920</v>
      </c>
      <c r="B126" s="562">
        <v>3110</v>
      </c>
      <c r="C126" s="551">
        <v>3857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13197</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0</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v>139</v>
      </c>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v>26691</v>
      </c>
      <c r="G151" s="467"/>
      <c r="H151" s="468"/>
      <c r="I151" s="468"/>
      <c r="J151" s="468"/>
      <c r="K151" s="468"/>
    </row>
    <row r="152" spans="1:11" ht="12.75" customHeight="1" x14ac:dyDescent="0.2">
      <c r="A152" s="463" t="s">
        <v>1115</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26691</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72" t="s">
        <v>416</v>
      </c>
      <c r="B172" s="2173"/>
      <c r="C172" s="1744">
        <f t="shared" ref="C172:K172" si="6">SUM(C131,C140,C144,C145:C149,C154,C155:C170,C171)</f>
        <v>13336</v>
      </c>
      <c r="D172" s="1744">
        <f t="shared" si="6"/>
        <v>0</v>
      </c>
      <c r="E172" s="1744">
        <f t="shared" si="6"/>
        <v>0</v>
      </c>
      <c r="F172" s="1744">
        <f t="shared" si="6"/>
        <v>26691</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452029</v>
      </c>
      <c r="D173" s="1737">
        <f>SUM(D121,D172)</f>
        <v>0</v>
      </c>
      <c r="E173" s="1737">
        <f>SUM(E121,E172)</f>
        <v>0</v>
      </c>
      <c r="F173" s="1737">
        <f t="shared" ref="F173:K173" si="7">SUM(F121,F172)</f>
        <v>26691</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74" t="s">
        <v>1570</v>
      </c>
      <c r="B175" s="2175"/>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8" t="s">
        <v>1762</v>
      </c>
      <c r="B178" s="217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2" t="s">
        <v>1761</v>
      </c>
      <c r="B179" s="2183"/>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80" t="s">
        <v>816</v>
      </c>
      <c r="B184" s="218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6" t="s">
        <v>1904</v>
      </c>
      <c r="B185" s="2177"/>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17480</v>
      </c>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17480</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16831</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16831</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v>18460</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18460</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0</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5251</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5251</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3232</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657</v>
      </c>
      <c r="D270" s="576"/>
      <c r="E270" s="468"/>
      <c r="F270" s="576"/>
      <c r="G270" s="576"/>
      <c r="H270" s="468"/>
      <c r="I270" s="468"/>
      <c r="J270" s="468"/>
      <c r="K270" s="468"/>
    </row>
    <row r="271" spans="1:11" ht="12.75" customHeight="1" thickTop="1" thickBot="1" x14ac:dyDescent="0.25">
      <c r="A271" s="463" t="s">
        <v>393</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61911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61911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924411</v>
      </c>
      <c r="D275" s="1737">
        <f t="shared" si="12"/>
        <v>62080</v>
      </c>
      <c r="E275" s="1737">
        <f t="shared" si="12"/>
        <v>165318</v>
      </c>
      <c r="F275" s="1737">
        <f t="shared" si="12"/>
        <v>64833</v>
      </c>
      <c r="G275" s="1737">
        <f t="shared" si="12"/>
        <v>35249</v>
      </c>
      <c r="H275" s="1737">
        <f t="shared" si="12"/>
        <v>0</v>
      </c>
      <c r="I275" s="1737">
        <f t="shared" si="12"/>
        <v>11717</v>
      </c>
      <c r="J275" s="1737">
        <f t="shared" si="12"/>
        <v>99860</v>
      </c>
      <c r="K275" s="1724">
        <f t="shared" si="12"/>
        <v>11717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68"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12" colorId="8" zoomScale="110" zoomScaleNormal="110" workbookViewId="0">
      <selection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2"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6"/>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92" t="s">
        <v>313</v>
      </c>
      <c r="B3" s="2193"/>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v>424378</v>
      </c>
      <c r="D5" s="466">
        <v>53669</v>
      </c>
      <c r="E5" s="466">
        <v>15977</v>
      </c>
      <c r="F5" s="466">
        <v>14704</v>
      </c>
      <c r="G5" s="466">
        <v>21078</v>
      </c>
      <c r="H5" s="466"/>
      <c r="I5" s="467"/>
      <c r="J5" s="467"/>
      <c r="K5" s="1693">
        <f>SUM(C5:J5)</f>
        <v>529806</v>
      </c>
      <c r="L5" s="466">
        <v>539500</v>
      </c>
    </row>
    <row r="6" spans="1:14" x14ac:dyDescent="0.2">
      <c r="A6" s="1526" t="s">
        <v>1506</v>
      </c>
      <c r="B6" s="615" t="s">
        <v>1504</v>
      </c>
      <c r="C6" s="477"/>
      <c r="D6" s="477"/>
      <c r="E6" s="466"/>
      <c r="F6" s="477"/>
      <c r="G6" s="477"/>
      <c r="H6" s="477"/>
      <c r="I6" s="477"/>
      <c r="J6" s="477"/>
      <c r="K6" s="1693">
        <f>SUM(C6,E6)</f>
        <v>0</v>
      </c>
      <c r="L6" s="466"/>
    </row>
    <row r="7" spans="1:14" x14ac:dyDescent="0.2">
      <c r="A7" s="1526" t="s">
        <v>165</v>
      </c>
      <c r="B7" s="615" t="s">
        <v>1022</v>
      </c>
      <c r="C7" s="467"/>
      <c r="D7" s="467"/>
      <c r="E7" s="467"/>
      <c r="F7" s="467"/>
      <c r="G7" s="467"/>
      <c r="H7" s="467"/>
      <c r="I7" s="467"/>
      <c r="J7" s="467"/>
      <c r="K7" s="1693">
        <f t="shared" ref="K7:K32" si="0">SUM(C7:J7)</f>
        <v>0</v>
      </c>
      <c r="L7" s="466"/>
    </row>
    <row r="8" spans="1:14" x14ac:dyDescent="0.2">
      <c r="A8" s="1526" t="s">
        <v>166</v>
      </c>
      <c r="B8" s="615">
        <v>1200</v>
      </c>
      <c r="C8" s="466">
        <v>27068</v>
      </c>
      <c r="D8" s="466">
        <v>4851</v>
      </c>
      <c r="E8" s="466"/>
      <c r="F8" s="466"/>
      <c r="G8" s="466"/>
      <c r="H8" s="466"/>
      <c r="I8" s="467"/>
      <c r="J8" s="467"/>
      <c r="K8" s="1693">
        <f t="shared" si="0"/>
        <v>31919</v>
      </c>
      <c r="L8" s="466">
        <v>33300</v>
      </c>
    </row>
    <row r="9" spans="1:14" x14ac:dyDescent="0.2">
      <c r="A9" s="1526" t="s">
        <v>743</v>
      </c>
      <c r="B9" s="615" t="s">
        <v>1023</v>
      </c>
      <c r="C9" s="467"/>
      <c r="D9" s="467"/>
      <c r="E9" s="467"/>
      <c r="F9" s="467"/>
      <c r="G9" s="467"/>
      <c r="H9" s="467"/>
      <c r="I9" s="467"/>
      <c r="J9" s="467"/>
      <c r="K9" s="1693">
        <f t="shared" si="0"/>
        <v>0</v>
      </c>
      <c r="L9" s="466"/>
    </row>
    <row r="10" spans="1:14" x14ac:dyDescent="0.2">
      <c r="A10" s="1526" t="s">
        <v>744</v>
      </c>
      <c r="B10" s="615">
        <v>1250</v>
      </c>
      <c r="C10" s="466">
        <v>14038</v>
      </c>
      <c r="D10" s="466"/>
      <c r="E10" s="466">
        <v>2300</v>
      </c>
      <c r="F10" s="466"/>
      <c r="G10" s="466"/>
      <c r="H10" s="466"/>
      <c r="I10" s="467"/>
      <c r="J10" s="467"/>
      <c r="K10" s="1693">
        <f t="shared" si="0"/>
        <v>16338</v>
      </c>
      <c r="L10" s="466">
        <v>10100</v>
      </c>
    </row>
    <row r="11" spans="1:14" x14ac:dyDescent="0.2">
      <c r="A11" s="1526" t="s">
        <v>1190</v>
      </c>
      <c r="B11" s="615" t="s">
        <v>163</v>
      </c>
      <c r="C11" s="467"/>
      <c r="D11" s="467"/>
      <c r="E11" s="467"/>
      <c r="F11" s="467"/>
      <c r="G11" s="467"/>
      <c r="H11" s="467"/>
      <c r="I11" s="467"/>
      <c r="J11" s="467"/>
      <c r="K11" s="1693">
        <f t="shared" si="0"/>
        <v>0</v>
      </c>
      <c r="L11" s="466"/>
    </row>
    <row r="12" spans="1:14" x14ac:dyDescent="0.2">
      <c r="A12" s="1526" t="s">
        <v>1017</v>
      </c>
      <c r="B12" s="615">
        <v>1300</v>
      </c>
      <c r="C12" s="466"/>
      <c r="D12" s="466"/>
      <c r="E12" s="466"/>
      <c r="F12" s="466"/>
      <c r="G12" s="466"/>
      <c r="H12" s="466"/>
      <c r="I12" s="467"/>
      <c r="J12" s="467"/>
      <c r="K12" s="1693">
        <f t="shared" si="0"/>
        <v>0</v>
      </c>
      <c r="L12" s="466"/>
    </row>
    <row r="13" spans="1:14" x14ac:dyDescent="0.2">
      <c r="A13" s="1526" t="s">
        <v>745</v>
      </c>
      <c r="B13" s="615">
        <v>1400</v>
      </c>
      <c r="C13" s="466"/>
      <c r="D13" s="466"/>
      <c r="E13" s="466"/>
      <c r="F13" s="466"/>
      <c r="G13" s="466"/>
      <c r="H13" s="466"/>
      <c r="I13" s="467"/>
      <c r="J13" s="467"/>
      <c r="K13" s="1693">
        <f t="shared" si="0"/>
        <v>0</v>
      </c>
      <c r="L13" s="466"/>
    </row>
    <row r="14" spans="1:14" x14ac:dyDescent="0.2">
      <c r="A14" s="1526" t="s">
        <v>1018</v>
      </c>
      <c r="B14" s="615">
        <v>1500</v>
      </c>
      <c r="C14" s="466">
        <f>9780+140</f>
        <v>9920</v>
      </c>
      <c r="D14" s="466"/>
      <c r="E14" s="466">
        <v>6544</v>
      </c>
      <c r="F14" s="466"/>
      <c r="G14" s="466"/>
      <c r="H14" s="466"/>
      <c r="I14" s="467"/>
      <c r="J14" s="467"/>
      <c r="K14" s="1693">
        <f t="shared" si="0"/>
        <v>16464</v>
      </c>
      <c r="L14" s="466">
        <v>17500</v>
      </c>
    </row>
    <row r="15" spans="1:14" x14ac:dyDescent="0.2">
      <c r="A15" s="1526" t="s">
        <v>1019</v>
      </c>
      <c r="B15" s="615">
        <v>1600</v>
      </c>
      <c r="C15" s="466"/>
      <c r="D15" s="466"/>
      <c r="E15" s="466"/>
      <c r="F15" s="466"/>
      <c r="G15" s="466"/>
      <c r="H15" s="466"/>
      <c r="I15" s="467"/>
      <c r="J15" s="467"/>
      <c r="K15" s="1693">
        <f t="shared" si="0"/>
        <v>0</v>
      </c>
      <c r="L15" s="466"/>
    </row>
    <row r="16" spans="1:14" x14ac:dyDescent="0.2">
      <c r="A16" s="1526" t="s">
        <v>1042</v>
      </c>
      <c r="B16" s="615" t="s">
        <v>442</v>
      </c>
      <c r="C16" s="466">
        <v>40127</v>
      </c>
      <c r="D16" s="466">
        <v>5154</v>
      </c>
      <c r="E16" s="466"/>
      <c r="F16" s="466"/>
      <c r="G16" s="466"/>
      <c r="H16" s="466"/>
      <c r="I16" s="467"/>
      <c r="J16" s="467"/>
      <c r="K16" s="1693">
        <f t="shared" si="0"/>
        <v>45281</v>
      </c>
      <c r="L16" s="466">
        <v>45400</v>
      </c>
    </row>
    <row r="17" spans="1:12" x14ac:dyDescent="0.2">
      <c r="A17" s="1526" t="s">
        <v>746</v>
      </c>
      <c r="B17" s="615" t="s">
        <v>164</v>
      </c>
      <c r="C17" s="467"/>
      <c r="D17" s="467"/>
      <c r="E17" s="467"/>
      <c r="F17" s="467"/>
      <c r="G17" s="467"/>
      <c r="H17" s="467"/>
      <c r="I17" s="467"/>
      <c r="J17" s="467"/>
      <c r="K17" s="1693">
        <f t="shared" si="0"/>
        <v>0</v>
      </c>
      <c r="L17" s="466"/>
    </row>
    <row r="18" spans="1:12" x14ac:dyDescent="0.2">
      <c r="A18" s="1526" t="s">
        <v>1146</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v>200</v>
      </c>
      <c r="I19" s="467"/>
      <c r="J19" s="467"/>
      <c r="K19" s="1693">
        <f t="shared" si="0"/>
        <v>200</v>
      </c>
      <c r="L19" s="466"/>
    </row>
    <row r="20" spans="1:12" x14ac:dyDescent="0.2">
      <c r="A20" s="1527" t="s">
        <v>760</v>
      </c>
      <c r="B20" s="603" t="s">
        <v>747</v>
      </c>
      <c r="C20" s="477"/>
      <c r="D20" s="477"/>
      <c r="E20" s="477"/>
      <c r="F20" s="477"/>
      <c r="G20" s="477"/>
      <c r="H20" s="474"/>
      <c r="I20" s="617"/>
      <c r="J20" s="475"/>
      <c r="K20" s="1693">
        <f t="shared" si="0"/>
        <v>0</v>
      </c>
      <c r="L20" s="471"/>
    </row>
    <row r="21" spans="1:12" x14ac:dyDescent="0.2">
      <c r="A21" s="1527" t="s">
        <v>761</v>
      </c>
      <c r="B21" s="603" t="s">
        <v>748</v>
      </c>
      <c r="C21" s="477"/>
      <c r="D21" s="477"/>
      <c r="E21" s="477"/>
      <c r="F21" s="477"/>
      <c r="G21" s="477"/>
      <c r="H21" s="474"/>
      <c r="I21" s="617"/>
      <c r="J21" s="477"/>
      <c r="K21" s="1693">
        <f t="shared" si="0"/>
        <v>0</v>
      </c>
      <c r="L21" s="471"/>
    </row>
    <row r="22" spans="1:12" x14ac:dyDescent="0.2">
      <c r="A22" s="1527" t="s">
        <v>762</v>
      </c>
      <c r="B22" s="603" t="s">
        <v>749</v>
      </c>
      <c r="C22" s="477"/>
      <c r="D22" s="477"/>
      <c r="E22" s="477"/>
      <c r="F22" s="477"/>
      <c r="G22" s="477"/>
      <c r="H22" s="474"/>
      <c r="I22" s="617"/>
      <c r="J22" s="477"/>
      <c r="K22" s="1693">
        <f t="shared" si="0"/>
        <v>0</v>
      </c>
      <c r="L22" s="471"/>
    </row>
    <row r="23" spans="1:12" x14ac:dyDescent="0.2">
      <c r="A23" s="1527" t="s">
        <v>763</v>
      </c>
      <c r="B23" s="603" t="s">
        <v>750</v>
      </c>
      <c r="C23" s="477"/>
      <c r="D23" s="477"/>
      <c r="E23" s="477"/>
      <c r="F23" s="477"/>
      <c r="G23" s="477"/>
      <c r="H23" s="474"/>
      <c r="I23" s="617"/>
      <c r="J23" s="477"/>
      <c r="K23" s="1693">
        <f t="shared" si="0"/>
        <v>0</v>
      </c>
      <c r="L23" s="471"/>
    </row>
    <row r="24" spans="1:12" ht="12.75" customHeight="1" x14ac:dyDescent="0.2">
      <c r="A24" s="1527" t="s">
        <v>764</v>
      </c>
      <c r="B24" s="603" t="s">
        <v>751</v>
      </c>
      <c r="C24" s="477"/>
      <c r="D24" s="477"/>
      <c r="E24" s="477"/>
      <c r="F24" s="477"/>
      <c r="G24" s="477"/>
      <c r="H24" s="474"/>
      <c r="I24" s="617"/>
      <c r="J24" s="477"/>
      <c r="K24" s="1693">
        <f t="shared" si="0"/>
        <v>0</v>
      </c>
      <c r="L24" s="471"/>
    </row>
    <row r="25" spans="1:12" ht="12.75" customHeight="1" x14ac:dyDescent="0.2">
      <c r="A25" s="1527" t="s">
        <v>833</v>
      </c>
      <c r="B25" s="603" t="s">
        <v>752</v>
      </c>
      <c r="C25" s="477"/>
      <c r="D25" s="477"/>
      <c r="E25" s="477"/>
      <c r="F25" s="477"/>
      <c r="G25" s="477"/>
      <c r="H25" s="474"/>
      <c r="I25" s="617"/>
      <c r="J25" s="477"/>
      <c r="K25" s="1693">
        <f t="shared" si="0"/>
        <v>0</v>
      </c>
      <c r="L25" s="471"/>
    </row>
    <row r="26" spans="1:12" x14ac:dyDescent="0.2">
      <c r="A26" s="1527" t="s">
        <v>641</v>
      </c>
      <c r="B26" s="603" t="s">
        <v>753</v>
      </c>
      <c r="C26" s="477"/>
      <c r="D26" s="477"/>
      <c r="E26" s="477"/>
      <c r="F26" s="477"/>
      <c r="G26" s="477"/>
      <c r="H26" s="474"/>
      <c r="I26" s="617"/>
      <c r="J26" s="477"/>
      <c r="K26" s="1693">
        <f t="shared" si="0"/>
        <v>0</v>
      </c>
      <c r="L26" s="471"/>
    </row>
    <row r="27" spans="1:12" x14ac:dyDescent="0.2">
      <c r="A27" s="1527" t="s">
        <v>642</v>
      </c>
      <c r="B27" s="603" t="s">
        <v>754</v>
      </c>
      <c r="C27" s="477"/>
      <c r="D27" s="477"/>
      <c r="E27" s="477"/>
      <c r="F27" s="477"/>
      <c r="G27" s="477"/>
      <c r="H27" s="474"/>
      <c r="I27" s="617"/>
      <c r="J27" s="477"/>
      <c r="K27" s="1693">
        <f t="shared" si="0"/>
        <v>0</v>
      </c>
      <c r="L27" s="471"/>
    </row>
    <row r="28" spans="1:12" x14ac:dyDescent="0.2">
      <c r="A28" s="1527" t="s">
        <v>152</v>
      </c>
      <c r="B28" s="603" t="s">
        <v>755</v>
      </c>
      <c r="C28" s="477"/>
      <c r="D28" s="477"/>
      <c r="E28" s="477"/>
      <c r="F28" s="477"/>
      <c r="G28" s="477"/>
      <c r="H28" s="474"/>
      <c r="I28" s="617"/>
      <c r="J28" s="477"/>
      <c r="K28" s="1693">
        <f t="shared" si="0"/>
        <v>0</v>
      </c>
      <c r="L28" s="471"/>
    </row>
    <row r="29" spans="1:12" x14ac:dyDescent="0.2">
      <c r="A29" s="1527" t="s">
        <v>153</v>
      </c>
      <c r="B29" s="603" t="s">
        <v>756</v>
      </c>
      <c r="C29" s="477"/>
      <c r="D29" s="477"/>
      <c r="E29" s="477"/>
      <c r="F29" s="477"/>
      <c r="G29" s="477"/>
      <c r="H29" s="474"/>
      <c r="I29" s="617"/>
      <c r="J29" s="477"/>
      <c r="K29" s="1693">
        <f t="shared" si="0"/>
        <v>0</v>
      </c>
      <c r="L29" s="471"/>
    </row>
    <row r="30" spans="1:12" x14ac:dyDescent="0.2">
      <c r="A30" s="1527" t="s">
        <v>154</v>
      </c>
      <c r="B30" s="603" t="s">
        <v>757</v>
      </c>
      <c r="C30" s="477"/>
      <c r="D30" s="477"/>
      <c r="E30" s="477"/>
      <c r="F30" s="477"/>
      <c r="G30" s="477"/>
      <c r="H30" s="474"/>
      <c r="I30" s="617"/>
      <c r="J30" s="477"/>
      <c r="K30" s="1693">
        <f t="shared" si="0"/>
        <v>0</v>
      </c>
      <c r="L30" s="471"/>
    </row>
    <row r="31" spans="1:12" x14ac:dyDescent="0.2">
      <c r="A31" s="1527" t="s">
        <v>155</v>
      </c>
      <c r="B31" s="603" t="s">
        <v>758</v>
      </c>
      <c r="C31" s="477"/>
      <c r="D31" s="477"/>
      <c r="E31" s="477"/>
      <c r="F31" s="477"/>
      <c r="G31" s="477"/>
      <c r="H31" s="474"/>
      <c r="I31" s="617"/>
      <c r="J31" s="477"/>
      <c r="K31" s="1693">
        <f t="shared" si="0"/>
        <v>0</v>
      </c>
      <c r="L31" s="471"/>
    </row>
    <row r="32" spans="1:12" x14ac:dyDescent="0.2">
      <c r="A32" s="1528" t="s">
        <v>1189</v>
      </c>
      <c r="B32" s="615" t="s">
        <v>759</v>
      </c>
      <c r="C32" s="477"/>
      <c r="D32" s="477"/>
      <c r="E32" s="477"/>
      <c r="F32" s="477"/>
      <c r="G32" s="477"/>
      <c r="H32" s="474"/>
      <c r="I32" s="617"/>
      <c r="J32" s="480"/>
      <c r="K32" s="1693">
        <f t="shared" si="0"/>
        <v>0</v>
      </c>
      <c r="L32" s="471"/>
    </row>
    <row r="33" spans="1:14" ht="12.75" customHeight="1" thickBot="1" x14ac:dyDescent="0.25">
      <c r="A33" s="1690" t="s">
        <v>1765</v>
      </c>
      <c r="B33" s="1691" t="s">
        <v>589</v>
      </c>
      <c r="C33" s="1692">
        <f>SUM(C5:C32)</f>
        <v>515531</v>
      </c>
      <c r="D33" s="1692">
        <f t="shared" ref="D33:L33" si="1">SUM(D5:D32)</f>
        <v>63674</v>
      </c>
      <c r="E33" s="1692">
        <f t="shared" si="1"/>
        <v>24821</v>
      </c>
      <c r="F33" s="1692">
        <f t="shared" si="1"/>
        <v>14704</v>
      </c>
      <c r="G33" s="1692">
        <f t="shared" si="1"/>
        <v>21078</v>
      </c>
      <c r="H33" s="1692">
        <f t="shared" si="1"/>
        <v>200</v>
      </c>
      <c r="I33" s="1692">
        <f t="shared" si="1"/>
        <v>0</v>
      </c>
      <c r="J33" s="1692">
        <f t="shared" si="1"/>
        <v>0</v>
      </c>
      <c r="K33" s="1692">
        <f t="shared" si="1"/>
        <v>640008</v>
      </c>
      <c r="L33" s="1692">
        <f t="shared" si="1"/>
        <v>645800</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c r="D36" s="481"/>
      <c r="E36" s="481"/>
      <c r="F36" s="481"/>
      <c r="G36" s="481"/>
      <c r="H36" s="481"/>
      <c r="I36" s="467"/>
      <c r="J36" s="467"/>
      <c r="K36" s="1693">
        <f t="shared" ref="K36:K41" si="2">SUM(C36:J36)</f>
        <v>0</v>
      </c>
      <c r="L36" s="466"/>
    </row>
    <row r="37" spans="1:14" x14ac:dyDescent="0.2">
      <c r="A37" s="1526" t="s">
        <v>1149</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1766</v>
      </c>
      <c r="B41" s="615">
        <v>2190</v>
      </c>
      <c r="C41" s="466"/>
      <c r="D41" s="466"/>
      <c r="E41" s="466"/>
      <c r="F41" s="466"/>
      <c r="G41" s="466"/>
      <c r="H41" s="466"/>
      <c r="I41" s="467"/>
      <c r="J41" s="467"/>
      <c r="K41" s="1693">
        <f t="shared" si="2"/>
        <v>0</v>
      </c>
      <c r="L41" s="466"/>
    </row>
    <row r="42" spans="1:14" ht="12.75" customHeight="1" thickBot="1" x14ac:dyDescent="0.25">
      <c r="A42" s="1690" t="s">
        <v>579</v>
      </c>
      <c r="B42" s="1691" t="s">
        <v>738</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0</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v>770</v>
      </c>
      <c r="D44" s="481">
        <v>9</v>
      </c>
      <c r="E44" s="481">
        <v>2481</v>
      </c>
      <c r="F44" s="481"/>
      <c r="G44" s="481"/>
      <c r="H44" s="481"/>
      <c r="I44" s="467"/>
      <c r="J44" s="467"/>
      <c r="K44" s="1694">
        <f>SUM(C44:J44)</f>
        <v>3260</v>
      </c>
      <c r="L44" s="481">
        <v>10400</v>
      </c>
    </row>
    <row r="45" spans="1:14" x14ac:dyDescent="0.2">
      <c r="A45" s="1526" t="s">
        <v>867</v>
      </c>
      <c r="B45" s="615">
        <v>2220</v>
      </c>
      <c r="C45" s="466">
        <v>1300</v>
      </c>
      <c r="D45" s="466">
        <v>166</v>
      </c>
      <c r="E45" s="466"/>
      <c r="F45" s="466"/>
      <c r="G45" s="466"/>
      <c r="H45" s="466"/>
      <c r="I45" s="467"/>
      <c r="J45" s="467"/>
      <c r="K45" s="1694">
        <f>SUM(C45:J45)</f>
        <v>1466</v>
      </c>
      <c r="L45" s="466">
        <v>1688</v>
      </c>
    </row>
    <row r="46" spans="1:14" x14ac:dyDescent="0.2">
      <c r="A46" s="1526" t="s">
        <v>868</v>
      </c>
      <c r="B46" s="615">
        <v>2230</v>
      </c>
      <c r="C46" s="466"/>
      <c r="D46" s="466"/>
      <c r="E46" s="466">
        <v>2738</v>
      </c>
      <c r="F46" s="466"/>
      <c r="G46" s="466"/>
      <c r="H46" s="466"/>
      <c r="I46" s="467"/>
      <c r="J46" s="467"/>
      <c r="K46" s="1694">
        <f>SUM(C46:J46)</f>
        <v>2738</v>
      </c>
      <c r="L46" s="466">
        <v>2675</v>
      </c>
    </row>
    <row r="47" spans="1:14" ht="12.75" customHeight="1" thickBot="1" x14ac:dyDescent="0.25">
      <c r="A47" s="1690" t="s">
        <v>580</v>
      </c>
      <c r="B47" s="1691" t="s">
        <v>32</v>
      </c>
      <c r="C47" s="1692">
        <f>SUM(C44:C46)</f>
        <v>2070</v>
      </c>
      <c r="D47" s="1692">
        <f t="shared" ref="D47:K47" si="4">SUM(D44:D46)</f>
        <v>175</v>
      </c>
      <c r="E47" s="1692">
        <f t="shared" si="4"/>
        <v>5219</v>
      </c>
      <c r="F47" s="1692">
        <f t="shared" si="4"/>
        <v>0</v>
      </c>
      <c r="G47" s="1692">
        <f t="shared" si="4"/>
        <v>0</v>
      </c>
      <c r="H47" s="1692">
        <f t="shared" si="4"/>
        <v>0</v>
      </c>
      <c r="I47" s="1692">
        <f t="shared" si="4"/>
        <v>0</v>
      </c>
      <c r="J47" s="1692">
        <f t="shared" si="4"/>
        <v>0</v>
      </c>
      <c r="K47" s="1692">
        <f t="shared" si="4"/>
        <v>7464</v>
      </c>
      <c r="L47" s="1692">
        <f>SUM(L44:L46)</f>
        <v>14763</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v>1650</v>
      </c>
      <c r="D49" s="481"/>
      <c r="E49" s="481">
        <v>1998</v>
      </c>
      <c r="F49" s="481"/>
      <c r="G49" s="481"/>
      <c r="H49" s="481"/>
      <c r="I49" s="467"/>
      <c r="J49" s="467"/>
      <c r="K49" s="1694">
        <f>SUM(C49:J49)</f>
        <v>3648</v>
      </c>
      <c r="L49" s="481">
        <v>4300</v>
      </c>
    </row>
    <row r="50" spans="1:14" x14ac:dyDescent="0.2">
      <c r="A50" s="1526" t="s">
        <v>870</v>
      </c>
      <c r="B50" s="615">
        <v>2320</v>
      </c>
      <c r="C50" s="466">
        <v>34800</v>
      </c>
      <c r="D50" s="466">
        <v>4452</v>
      </c>
      <c r="E50" s="466"/>
      <c r="F50" s="466"/>
      <c r="G50" s="466"/>
      <c r="H50" s="466">
        <v>669</v>
      </c>
      <c r="I50" s="467"/>
      <c r="J50" s="467"/>
      <c r="K50" s="1694">
        <f>SUM(C50:J50)</f>
        <v>39921</v>
      </c>
      <c r="L50" s="466">
        <v>40650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314</v>
      </c>
      <c r="B52" s="628" t="s">
        <v>382</v>
      </c>
      <c r="C52" s="474"/>
      <c r="D52" s="474"/>
      <c r="E52" s="474"/>
      <c r="F52" s="474"/>
      <c r="G52" s="474"/>
      <c r="H52" s="474"/>
      <c r="I52" s="474"/>
      <c r="J52" s="474"/>
      <c r="K52" s="1694">
        <f>SUM(C52:J52)</f>
        <v>0</v>
      </c>
      <c r="L52" s="474"/>
    </row>
    <row r="53" spans="1:14" ht="12.75" customHeight="1" thickBot="1" x14ac:dyDescent="0.25">
      <c r="A53" s="1690" t="s">
        <v>739</v>
      </c>
      <c r="B53" s="1691" t="s">
        <v>33</v>
      </c>
      <c r="C53" s="1692">
        <f>SUM(C49:C52)</f>
        <v>36450</v>
      </c>
      <c r="D53" s="1692">
        <f t="shared" ref="D53:L53" si="5">SUM(D49:D52)</f>
        <v>4452</v>
      </c>
      <c r="E53" s="1692">
        <f t="shared" si="5"/>
        <v>1998</v>
      </c>
      <c r="F53" s="1692">
        <f t="shared" si="5"/>
        <v>0</v>
      </c>
      <c r="G53" s="1692">
        <f t="shared" si="5"/>
        <v>0</v>
      </c>
      <c r="H53" s="1692">
        <f t="shared" si="5"/>
        <v>669</v>
      </c>
      <c r="I53" s="1692">
        <f t="shared" si="5"/>
        <v>0</v>
      </c>
      <c r="J53" s="1692">
        <f t="shared" si="5"/>
        <v>0</v>
      </c>
      <c r="K53" s="1692">
        <f t="shared" si="5"/>
        <v>43569</v>
      </c>
      <c r="L53" s="1692">
        <f t="shared" si="5"/>
        <v>44950</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v>37656</v>
      </c>
      <c r="D55" s="481">
        <v>3561</v>
      </c>
      <c r="E55" s="481">
        <v>1193</v>
      </c>
      <c r="F55" s="481">
        <v>94</v>
      </c>
      <c r="G55" s="481"/>
      <c r="H55" s="481"/>
      <c r="I55" s="467"/>
      <c r="J55" s="467"/>
      <c r="K55" s="1694">
        <f>SUM(C55:J55)</f>
        <v>42504</v>
      </c>
      <c r="L55" s="481">
        <v>43000</v>
      </c>
    </row>
    <row r="56" spans="1:14" ht="12.75" customHeight="1" x14ac:dyDescent="0.2">
      <c r="A56" s="1530" t="s">
        <v>392</v>
      </c>
      <c r="B56" s="629">
        <v>2490</v>
      </c>
      <c r="C56" s="466"/>
      <c r="D56" s="466"/>
      <c r="E56" s="466"/>
      <c r="F56" s="466"/>
      <c r="G56" s="466"/>
      <c r="H56" s="466"/>
      <c r="I56" s="467"/>
      <c r="J56" s="467"/>
      <c r="K56" s="1694">
        <f>SUM(C56:J56)</f>
        <v>0</v>
      </c>
      <c r="L56" s="466"/>
    </row>
    <row r="57" spans="1:14" s="343" customFormat="1" ht="12.75" customHeight="1" thickBot="1" x14ac:dyDescent="0.25">
      <c r="A57" s="1690" t="s">
        <v>279</v>
      </c>
      <c r="B57" s="1695" t="s">
        <v>34</v>
      </c>
      <c r="C57" s="1696">
        <f>SUM(C55:C56)</f>
        <v>37656</v>
      </c>
      <c r="D57" s="1696">
        <f t="shared" ref="D57:K57" si="6">SUM(D55:D56)</f>
        <v>3561</v>
      </c>
      <c r="E57" s="1696">
        <f t="shared" si="6"/>
        <v>1193</v>
      </c>
      <c r="F57" s="1696">
        <f t="shared" si="6"/>
        <v>94</v>
      </c>
      <c r="G57" s="1696">
        <f t="shared" si="6"/>
        <v>0</v>
      </c>
      <c r="H57" s="1696">
        <f t="shared" si="6"/>
        <v>0</v>
      </c>
      <c r="I57" s="1696">
        <f t="shared" si="6"/>
        <v>0</v>
      </c>
      <c r="J57" s="1696">
        <f t="shared" si="6"/>
        <v>0</v>
      </c>
      <c r="K57" s="1696">
        <f t="shared" si="6"/>
        <v>42504</v>
      </c>
      <c r="L57" s="1692">
        <f>SUM(L55:L56)</f>
        <v>43000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481</v>
      </c>
      <c r="B60" s="615">
        <v>2520</v>
      </c>
      <c r="C60" s="466">
        <v>30978</v>
      </c>
      <c r="D60" s="466"/>
      <c r="E60" s="466">
        <v>5832</v>
      </c>
      <c r="F60" s="466">
        <v>429</v>
      </c>
      <c r="G60" s="466"/>
      <c r="H60" s="466">
        <v>263</v>
      </c>
      <c r="I60" s="467"/>
      <c r="J60" s="467"/>
      <c r="K60" s="1694">
        <f t="shared" si="7"/>
        <v>37502</v>
      </c>
      <c r="L60" s="466">
        <v>36850</v>
      </c>
      <c r="M60" s="610"/>
      <c r="N60" s="610"/>
    </row>
    <row r="61" spans="1:14" s="343" customFormat="1" x14ac:dyDescent="0.2">
      <c r="A61" s="1526" t="s">
        <v>206</v>
      </c>
      <c r="B61" s="615">
        <v>2540</v>
      </c>
      <c r="C61" s="466">
        <v>29555</v>
      </c>
      <c r="D61" s="466"/>
      <c r="E61" s="466">
        <v>163</v>
      </c>
      <c r="F61" s="466"/>
      <c r="G61" s="466"/>
      <c r="H61" s="466"/>
      <c r="I61" s="467"/>
      <c r="J61" s="467"/>
      <c r="K61" s="1694">
        <f t="shared" si="7"/>
        <v>29718</v>
      </c>
      <c r="L61" s="466">
        <v>31000</v>
      </c>
      <c r="M61" s="610"/>
      <c r="N61" s="610"/>
    </row>
    <row r="62" spans="1:14" s="343" customFormat="1" x14ac:dyDescent="0.2">
      <c r="A62" s="1526" t="s">
        <v>1008</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19597</v>
      </c>
      <c r="D63" s="466"/>
      <c r="E63" s="466">
        <v>446</v>
      </c>
      <c r="F63" s="466">
        <v>26274</v>
      </c>
      <c r="G63" s="466"/>
      <c r="H63" s="466"/>
      <c r="I63" s="467"/>
      <c r="J63" s="467"/>
      <c r="K63" s="1694">
        <f t="shared" si="7"/>
        <v>46317</v>
      </c>
      <c r="L63" s="466">
        <v>49150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741</v>
      </c>
      <c r="B65" s="1691" t="s">
        <v>35</v>
      </c>
      <c r="C65" s="1692">
        <f>SUM(C59:C64)</f>
        <v>80130</v>
      </c>
      <c r="D65" s="1692">
        <f t="shared" ref="D65:L65" si="8">SUM(D59:D64)</f>
        <v>0</v>
      </c>
      <c r="E65" s="1692">
        <f t="shared" si="8"/>
        <v>6441</v>
      </c>
      <c r="F65" s="1692">
        <f t="shared" si="8"/>
        <v>26703</v>
      </c>
      <c r="G65" s="1692">
        <f t="shared" si="8"/>
        <v>0</v>
      </c>
      <c r="H65" s="1692">
        <f t="shared" si="8"/>
        <v>263</v>
      </c>
      <c r="I65" s="1692">
        <f t="shared" si="8"/>
        <v>0</v>
      </c>
      <c r="J65" s="1692">
        <f t="shared" si="8"/>
        <v>0</v>
      </c>
      <c r="K65" s="1692">
        <f t="shared" si="8"/>
        <v>113537</v>
      </c>
      <c r="L65" s="1692">
        <f t="shared" si="8"/>
        <v>117000</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c r="M67" s="610"/>
      <c r="N67" s="610"/>
    </row>
    <row r="68" spans="1:14" s="343" customFormat="1" x14ac:dyDescent="0.2">
      <c r="A68" s="1526" t="s">
        <v>626</v>
      </c>
      <c r="B68" s="615">
        <v>2620</v>
      </c>
      <c r="C68" s="466"/>
      <c r="D68" s="466"/>
      <c r="E68" s="466"/>
      <c r="F68" s="466"/>
      <c r="G68" s="466"/>
      <c r="H68" s="466"/>
      <c r="I68" s="467"/>
      <c r="J68" s="467"/>
      <c r="K68" s="1694">
        <f>SUM(C68:J68)</f>
        <v>0</v>
      </c>
      <c r="L68" s="466"/>
      <c r="M68" s="610"/>
      <c r="N68" s="610"/>
    </row>
    <row r="69" spans="1:14" s="343" customFormat="1" x14ac:dyDescent="0.2">
      <c r="A69" s="1526" t="s">
        <v>1119</v>
      </c>
      <c r="B69" s="615">
        <v>2630</v>
      </c>
      <c r="C69" s="466"/>
      <c r="D69" s="466"/>
      <c r="E69" s="466"/>
      <c r="F69" s="466"/>
      <c r="G69" s="466"/>
      <c r="H69" s="466"/>
      <c r="I69" s="467"/>
      <c r="J69" s="467"/>
      <c r="K69" s="1694">
        <f>SUM(C69:J69)</f>
        <v>0</v>
      </c>
      <c r="L69" s="466"/>
      <c r="M69" s="610"/>
      <c r="N69" s="610"/>
    </row>
    <row r="70" spans="1:14" s="343" customFormat="1" x14ac:dyDescent="0.2">
      <c r="A70" s="1526" t="s">
        <v>421</v>
      </c>
      <c r="B70" s="615">
        <v>2640</v>
      </c>
      <c r="C70" s="466"/>
      <c r="D70" s="466"/>
      <c r="E70" s="466"/>
      <c r="F70" s="466"/>
      <c r="G70" s="466"/>
      <c r="H70" s="466"/>
      <c r="I70" s="467"/>
      <c r="J70" s="467"/>
      <c r="K70" s="1694">
        <f>SUM(C70:J70)</f>
        <v>0</v>
      </c>
      <c r="L70" s="466"/>
      <c r="M70" s="610"/>
      <c r="N70" s="610"/>
    </row>
    <row r="71" spans="1:14" s="343" customFormat="1" x14ac:dyDescent="0.2">
      <c r="A71" s="1526" t="s">
        <v>422</v>
      </c>
      <c r="B71" s="615">
        <v>2660</v>
      </c>
      <c r="C71" s="466"/>
      <c r="D71" s="466"/>
      <c r="E71" s="466">
        <v>14205</v>
      </c>
      <c r="F71" s="466">
        <v>215</v>
      </c>
      <c r="G71" s="466"/>
      <c r="H71" s="466"/>
      <c r="I71" s="467"/>
      <c r="J71" s="467"/>
      <c r="K71" s="1694">
        <f>SUM(C71:J71)</f>
        <v>14420</v>
      </c>
      <c r="L71" s="466">
        <v>19750</v>
      </c>
      <c r="M71" s="610"/>
      <c r="N71" s="610"/>
    </row>
    <row r="72" spans="1:14" s="343" customFormat="1" ht="12.75" customHeight="1" thickBot="1" x14ac:dyDescent="0.25">
      <c r="A72" s="1690" t="s">
        <v>37</v>
      </c>
      <c r="B72" s="1697" t="s">
        <v>36</v>
      </c>
      <c r="C72" s="1692">
        <f>SUM(C67:C71)</f>
        <v>0</v>
      </c>
      <c r="D72" s="1692">
        <f t="shared" ref="D72:K72" si="9">SUM(D67:D71)</f>
        <v>0</v>
      </c>
      <c r="E72" s="1692">
        <f t="shared" si="9"/>
        <v>14205</v>
      </c>
      <c r="F72" s="1692">
        <f t="shared" si="9"/>
        <v>215</v>
      </c>
      <c r="G72" s="1692">
        <f t="shared" si="9"/>
        <v>0</v>
      </c>
      <c r="H72" s="1692">
        <f t="shared" si="9"/>
        <v>0</v>
      </c>
      <c r="I72" s="1692">
        <f t="shared" si="9"/>
        <v>0</v>
      </c>
      <c r="J72" s="1692">
        <f t="shared" si="9"/>
        <v>0</v>
      </c>
      <c r="K72" s="1692">
        <f t="shared" si="9"/>
        <v>14420</v>
      </c>
      <c r="L72" s="1692">
        <f>SUM(L67:L71)</f>
        <v>19750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v>50</v>
      </c>
      <c r="M73" s="610"/>
      <c r="N73" s="610"/>
    </row>
    <row r="74" spans="1:14" ht="12.75" customHeight="1" thickTop="1" thickBot="1" x14ac:dyDescent="0.25">
      <c r="A74" s="1690" t="s">
        <v>863</v>
      </c>
      <c r="B74" s="1698">
        <v>2000</v>
      </c>
      <c r="C74" s="1699">
        <f>SUM(C42,C47,C53,C57,C65,C72,C73)</f>
        <v>156306</v>
      </c>
      <c r="D74" s="1699">
        <f t="shared" ref="D74:K74" si="10">SUM(D42,D47,D53,D57,D65,D72,D73)</f>
        <v>8188</v>
      </c>
      <c r="E74" s="1699">
        <f t="shared" si="10"/>
        <v>29056</v>
      </c>
      <c r="F74" s="1699">
        <f t="shared" si="10"/>
        <v>27012</v>
      </c>
      <c r="G74" s="1699">
        <f t="shared" si="10"/>
        <v>0</v>
      </c>
      <c r="H74" s="1699">
        <f t="shared" si="10"/>
        <v>932</v>
      </c>
      <c r="I74" s="1699">
        <f t="shared" si="10"/>
        <v>0</v>
      </c>
      <c r="J74" s="1699">
        <f t="shared" si="10"/>
        <v>0</v>
      </c>
      <c r="K74" s="1699">
        <f t="shared" si="10"/>
        <v>221494</v>
      </c>
      <c r="L74" s="1699">
        <f>SUM(L42,L47,L53,L57,L65,L72,L73)</f>
        <v>239513</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row>
    <row r="79" spans="1:14" x14ac:dyDescent="0.2">
      <c r="A79" s="1526" t="s">
        <v>320</v>
      </c>
      <c r="B79" s="615">
        <v>4120</v>
      </c>
      <c r="C79" s="617"/>
      <c r="D79" s="617"/>
      <c r="E79" s="466">
        <v>20839</v>
      </c>
      <c r="F79" s="617"/>
      <c r="G79" s="617"/>
      <c r="H79" s="466"/>
      <c r="I79" s="477"/>
      <c r="J79" s="477"/>
      <c r="K79" s="1693">
        <f t="shared" si="11"/>
        <v>20839</v>
      </c>
      <c r="L79" s="466">
        <v>19500</v>
      </c>
    </row>
    <row r="80" spans="1:14" x14ac:dyDescent="0.2">
      <c r="A80" s="1526" t="s">
        <v>321</v>
      </c>
      <c r="B80" s="615">
        <v>4130</v>
      </c>
      <c r="C80" s="617"/>
      <c r="D80" s="617"/>
      <c r="E80" s="466"/>
      <c r="F80" s="617"/>
      <c r="G80" s="617"/>
      <c r="H80" s="466"/>
      <c r="I80" s="477"/>
      <c r="J80" s="477"/>
      <c r="K80" s="1693">
        <f t="shared" si="11"/>
        <v>0</v>
      </c>
      <c r="L80" s="466"/>
    </row>
    <row r="81" spans="1:12" x14ac:dyDescent="0.2">
      <c r="A81" s="1526" t="s">
        <v>719</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720</v>
      </c>
      <c r="B83" s="629">
        <v>4190</v>
      </c>
      <c r="C83" s="617"/>
      <c r="D83" s="617"/>
      <c r="E83" s="466"/>
      <c r="F83" s="617"/>
      <c r="G83" s="617"/>
      <c r="H83" s="466"/>
      <c r="I83" s="477"/>
      <c r="J83" s="477"/>
      <c r="K83" s="1693">
        <f t="shared" si="11"/>
        <v>0</v>
      </c>
      <c r="L83" s="466"/>
    </row>
    <row r="84" spans="1:12" ht="13.5" thickBot="1" x14ac:dyDescent="0.25">
      <c r="A84" s="1690" t="s">
        <v>1563</v>
      </c>
      <c r="B84" s="1700">
        <v>4100</v>
      </c>
      <c r="C84" s="617"/>
      <c r="D84" s="617"/>
      <c r="E84" s="1692">
        <f>SUM(E78:E83)</f>
        <v>20839</v>
      </c>
      <c r="F84" s="617"/>
      <c r="G84" s="617"/>
      <c r="H84" s="1692">
        <f>SUM(H78:H83)</f>
        <v>0</v>
      </c>
      <c r="I84" s="477"/>
      <c r="J84" s="477"/>
      <c r="K84" s="1692">
        <f>SUM(K78:K83)</f>
        <v>20839</v>
      </c>
      <c r="L84" s="1692">
        <f>SUM(L78:L83)</f>
        <v>19500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721</v>
      </c>
      <c r="B86" s="638">
        <v>4220</v>
      </c>
      <c r="C86" s="617"/>
      <c r="D86" s="617"/>
      <c r="E86" s="639"/>
      <c r="F86" s="617"/>
      <c r="G86" s="617"/>
      <c r="H86" s="467"/>
      <c r="I86" s="477"/>
      <c r="J86" s="477"/>
      <c r="K86" s="1699">
        <f t="shared" ref="K86:K98" si="12">H86</f>
        <v>0</v>
      </c>
      <c r="L86" s="530"/>
    </row>
    <row r="87" spans="1:12" ht="14.25" thickTop="1" thickBot="1" x14ac:dyDescent="0.25">
      <c r="A87" s="1535" t="s">
        <v>722</v>
      </c>
      <c r="B87" s="640">
        <v>4230</v>
      </c>
      <c r="C87" s="617"/>
      <c r="D87" s="617"/>
      <c r="E87" s="639"/>
      <c r="F87" s="617"/>
      <c r="G87" s="617"/>
      <c r="H87" s="467"/>
      <c r="I87" s="477"/>
      <c r="J87" s="477"/>
      <c r="K87" s="1699">
        <f t="shared" si="12"/>
        <v>0</v>
      </c>
      <c r="L87" s="530"/>
    </row>
    <row r="88" spans="1:12" ht="12.75" customHeight="1" thickTop="1" thickBot="1" x14ac:dyDescent="0.25">
      <c r="A88" s="1535" t="s">
        <v>787</v>
      </c>
      <c r="B88" s="640">
        <v>4240</v>
      </c>
      <c r="C88" s="617"/>
      <c r="D88" s="617"/>
      <c r="E88" s="639"/>
      <c r="F88" s="617"/>
      <c r="G88" s="617"/>
      <c r="H88" s="467"/>
      <c r="I88" s="477"/>
      <c r="J88" s="477"/>
      <c r="K88" s="1699">
        <f t="shared" si="12"/>
        <v>0</v>
      </c>
      <c r="L88" s="530"/>
    </row>
    <row r="89" spans="1:12" ht="12.75" customHeight="1" thickTop="1" thickBot="1" x14ac:dyDescent="0.25">
      <c r="A89" s="1535" t="s">
        <v>723</v>
      </c>
      <c r="B89" s="640">
        <v>4270</v>
      </c>
      <c r="C89" s="617"/>
      <c r="D89" s="617"/>
      <c r="E89" s="639"/>
      <c r="F89" s="617"/>
      <c r="G89" s="617"/>
      <c r="H89" s="467"/>
      <c r="I89" s="477"/>
      <c r="J89" s="477"/>
      <c r="K89" s="1699">
        <f t="shared" si="12"/>
        <v>0</v>
      </c>
      <c r="L89" s="530"/>
    </row>
    <row r="90" spans="1:12" ht="12.75" customHeight="1" thickTop="1" thickBot="1" x14ac:dyDescent="0.25">
      <c r="A90" s="1535" t="s">
        <v>708</v>
      </c>
      <c r="B90" s="640">
        <v>4280</v>
      </c>
      <c r="C90" s="617"/>
      <c r="D90" s="617"/>
      <c r="E90" s="639"/>
      <c r="F90" s="617"/>
      <c r="G90" s="617"/>
      <c r="H90" s="467"/>
      <c r="I90" s="477"/>
      <c r="J90" s="477"/>
      <c r="K90" s="1699">
        <f t="shared" si="12"/>
        <v>0</v>
      </c>
      <c r="L90" s="530"/>
    </row>
    <row r="91" spans="1:12" ht="12.75" customHeight="1" thickTop="1" thickBot="1" x14ac:dyDescent="0.25">
      <c r="A91" s="1535" t="s">
        <v>709</v>
      </c>
      <c r="B91" s="640">
        <v>4290</v>
      </c>
      <c r="C91" s="617"/>
      <c r="D91" s="617"/>
      <c r="E91" s="639"/>
      <c r="F91" s="617"/>
      <c r="G91" s="617"/>
      <c r="H91" s="467"/>
      <c r="I91" s="477"/>
      <c r="J91" s="477"/>
      <c r="K91" s="1699">
        <f t="shared" si="12"/>
        <v>0</v>
      </c>
      <c r="L91" s="530"/>
    </row>
    <row r="92" spans="1:12" ht="14.25" thickTop="1" thickBot="1" x14ac:dyDescent="0.25">
      <c r="A92" s="1702" t="s">
        <v>1639</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710</v>
      </c>
      <c r="B93" s="641">
        <v>4310</v>
      </c>
      <c r="C93" s="617"/>
      <c r="D93" s="617"/>
      <c r="E93" s="639"/>
      <c r="F93" s="617"/>
      <c r="G93" s="617"/>
      <c r="H93" s="642"/>
      <c r="I93" s="477"/>
      <c r="J93" s="477"/>
      <c r="K93" s="1699">
        <f t="shared" si="12"/>
        <v>0</v>
      </c>
      <c r="L93" s="532"/>
    </row>
    <row r="94" spans="1:12" ht="12.75" customHeight="1" thickTop="1" thickBot="1" x14ac:dyDescent="0.25">
      <c r="A94" s="1535" t="s">
        <v>711</v>
      </c>
      <c r="B94" s="640">
        <v>4320</v>
      </c>
      <c r="C94" s="617"/>
      <c r="D94" s="617"/>
      <c r="E94" s="639"/>
      <c r="F94" s="617"/>
      <c r="G94" s="617"/>
      <c r="H94" s="467"/>
      <c r="I94" s="477"/>
      <c r="J94" s="477"/>
      <c r="K94" s="1699">
        <f t="shared" si="12"/>
        <v>0</v>
      </c>
      <c r="L94" s="530"/>
    </row>
    <row r="95" spans="1:12" ht="15" customHeight="1" thickTop="1" thickBot="1" x14ac:dyDescent="0.25">
      <c r="A95" s="1535" t="s">
        <v>1566</v>
      </c>
      <c r="B95" s="640">
        <v>4330</v>
      </c>
      <c r="C95" s="617"/>
      <c r="D95" s="617"/>
      <c r="E95" s="639"/>
      <c r="F95" s="617"/>
      <c r="G95" s="617"/>
      <c r="H95" s="467"/>
      <c r="I95" s="477"/>
      <c r="J95" s="477"/>
      <c r="K95" s="1699">
        <f t="shared" si="12"/>
        <v>0</v>
      </c>
      <c r="L95" s="530"/>
    </row>
    <row r="96" spans="1:12" ht="14.25" thickTop="1" thickBot="1" x14ac:dyDescent="0.25">
      <c r="A96" s="1535" t="s">
        <v>712</v>
      </c>
      <c r="B96" s="640">
        <v>4340</v>
      </c>
      <c r="C96" s="617"/>
      <c r="D96" s="617"/>
      <c r="E96" s="639"/>
      <c r="F96" s="617"/>
      <c r="G96" s="617"/>
      <c r="H96" s="467"/>
      <c r="I96" s="477"/>
      <c r="J96" s="477"/>
      <c r="K96" s="1699">
        <f t="shared" si="12"/>
        <v>0</v>
      </c>
      <c r="L96" s="530"/>
    </row>
    <row r="97" spans="1:14" ht="12.75" customHeight="1" thickTop="1" thickBot="1" x14ac:dyDescent="0.25">
      <c r="A97" s="1535" t="s">
        <v>785</v>
      </c>
      <c r="B97" s="640">
        <v>4370</v>
      </c>
      <c r="C97" s="617"/>
      <c r="D97" s="617"/>
      <c r="E97" s="639"/>
      <c r="F97" s="617"/>
      <c r="G97" s="617"/>
      <c r="H97" s="467"/>
      <c r="I97" s="477"/>
      <c r="J97" s="477"/>
      <c r="K97" s="1699">
        <f t="shared" si="12"/>
        <v>0</v>
      </c>
      <c r="L97" s="530"/>
    </row>
    <row r="98" spans="1:14" ht="14.25" thickTop="1" thickBot="1" x14ac:dyDescent="0.25">
      <c r="A98" s="1535" t="s">
        <v>786</v>
      </c>
      <c r="B98" s="640">
        <v>4380</v>
      </c>
      <c r="C98" s="617"/>
      <c r="D98" s="617"/>
      <c r="E98" s="643"/>
      <c r="F98" s="617"/>
      <c r="G98" s="617"/>
      <c r="H98" s="467"/>
      <c r="I98" s="477"/>
      <c r="J98" s="477"/>
      <c r="K98" s="1699">
        <f t="shared" si="12"/>
        <v>0</v>
      </c>
      <c r="L98" s="530"/>
    </row>
    <row r="99" spans="1:14" ht="14.25" thickTop="1" thickBot="1" x14ac:dyDescent="0.25">
      <c r="A99" s="1535" t="s">
        <v>383</v>
      </c>
      <c r="B99" s="640">
        <v>4390</v>
      </c>
      <c r="C99" s="617"/>
      <c r="D99" s="617"/>
      <c r="E99" s="532"/>
      <c r="F99" s="617"/>
      <c r="G99" s="617"/>
      <c r="H99" s="467"/>
      <c r="I99" s="477"/>
      <c r="J99" s="477"/>
      <c r="K99" s="1699">
        <f>SUM(E99,H99)</f>
        <v>0</v>
      </c>
      <c r="L99" s="530"/>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row>
    <row r="102" spans="1:14" ht="12.75" customHeight="1" thickTop="1" thickBot="1" x14ac:dyDescent="0.25">
      <c r="A102" s="1690" t="s">
        <v>1565</v>
      </c>
      <c r="B102" s="1700">
        <v>4000</v>
      </c>
      <c r="C102" s="617"/>
      <c r="D102" s="617"/>
      <c r="E102" s="1699">
        <f>SUM(E84,E92,E100,E101)</f>
        <v>20839</v>
      </c>
      <c r="F102" s="617"/>
      <c r="G102" s="617"/>
      <c r="H102" s="1699">
        <f>SUM(H84,H92,H100,H101)</f>
        <v>0</v>
      </c>
      <c r="I102" s="477"/>
      <c r="J102" s="477"/>
      <c r="K102" s="1699">
        <f>SUM(K84,K92,K100,K101)</f>
        <v>20839</v>
      </c>
      <c r="L102" s="1699">
        <f>SUM(L84,L92,L100,L101)</f>
        <v>19500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608</v>
      </c>
      <c r="C108" s="617"/>
      <c r="D108" s="617"/>
      <c r="E108" s="617"/>
      <c r="F108" s="617"/>
      <c r="G108" s="617"/>
      <c r="H108" s="466"/>
      <c r="I108" s="468"/>
      <c r="J108" s="468"/>
      <c r="K108" s="1693">
        <f>H108</f>
        <v>0</v>
      </c>
      <c r="L108" s="466">
        <v>1000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1000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1000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671837</v>
      </c>
      <c r="D114" s="1692">
        <f t="shared" ref="D114:K114" si="13">SUM(D33,D74,D75,D102,D112,D113)</f>
        <v>71862</v>
      </c>
      <c r="E114" s="1692">
        <f t="shared" si="13"/>
        <v>74716</v>
      </c>
      <c r="F114" s="1692">
        <f t="shared" si="13"/>
        <v>41716</v>
      </c>
      <c r="G114" s="1692">
        <f t="shared" si="13"/>
        <v>21078</v>
      </c>
      <c r="H114" s="1692">
        <f>SUM(H33,H74,H75,H102,H112,H113)</f>
        <v>1132</v>
      </c>
      <c r="I114" s="1692">
        <f t="shared" si="13"/>
        <v>0</v>
      </c>
      <c r="J114" s="1692">
        <f t="shared" si="13"/>
        <v>0</v>
      </c>
      <c r="K114" s="1692">
        <f t="shared" si="13"/>
        <v>882341</v>
      </c>
      <c r="L114" s="1692">
        <f>SUM(L33,L74,L75,L102,L112,L113)</f>
        <v>905813</v>
      </c>
    </row>
    <row r="115" spans="1:14" ht="13.5" thickTop="1" x14ac:dyDescent="0.2">
      <c r="A115" s="2184" t="s">
        <v>1051</v>
      </c>
      <c r="B115" s="2185"/>
      <c r="C115" s="619"/>
      <c r="D115" s="619"/>
      <c r="E115" s="619"/>
      <c r="F115" s="619"/>
      <c r="G115" s="619"/>
      <c r="H115" s="619"/>
      <c r="I115" s="619"/>
      <c r="J115" s="619"/>
      <c r="K115" s="1706">
        <f>'Revenues 9-14'!C275-'Expenditures 15-22'!K114</f>
        <v>42070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9" t="s">
        <v>312</v>
      </c>
      <c r="B117" s="2190"/>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16558</v>
      </c>
      <c r="D124" s="466"/>
      <c r="E124" s="466">
        <v>17183</v>
      </c>
      <c r="F124" s="466">
        <v>24938</v>
      </c>
      <c r="G124" s="466"/>
      <c r="H124" s="466">
        <v>81454</v>
      </c>
      <c r="I124" s="467"/>
      <c r="J124" s="467"/>
      <c r="K124" s="1692">
        <f>SUM(C124:J124)</f>
        <v>140133</v>
      </c>
      <c r="L124" s="466">
        <v>147054</v>
      </c>
    </row>
    <row r="125" spans="1:14" ht="14.25" thickTop="1" thickBot="1" x14ac:dyDescent="0.25">
      <c r="A125" s="1526" t="s">
        <v>1008</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741</v>
      </c>
      <c r="B127" s="1691" t="s">
        <v>35</v>
      </c>
      <c r="C127" s="1692">
        <f>SUM(C122:C126)</f>
        <v>16558</v>
      </c>
      <c r="D127" s="1692">
        <f t="shared" ref="D127:L127" si="14">SUM(D122:D126)</f>
        <v>0</v>
      </c>
      <c r="E127" s="1692">
        <f t="shared" si="14"/>
        <v>17183</v>
      </c>
      <c r="F127" s="1692">
        <f t="shared" si="14"/>
        <v>24938</v>
      </c>
      <c r="G127" s="1692">
        <f t="shared" si="14"/>
        <v>0</v>
      </c>
      <c r="H127" s="1692">
        <f t="shared" si="14"/>
        <v>81454</v>
      </c>
      <c r="I127" s="1692">
        <f t="shared" si="14"/>
        <v>0</v>
      </c>
      <c r="J127" s="1692">
        <f t="shared" si="14"/>
        <v>0</v>
      </c>
      <c r="K127" s="1692">
        <f t="shared" si="14"/>
        <v>140133</v>
      </c>
      <c r="L127" s="1692">
        <f t="shared" si="14"/>
        <v>147054</v>
      </c>
    </row>
    <row r="128" spans="1:14" ht="12.75" customHeight="1" thickTop="1" x14ac:dyDescent="0.2">
      <c r="A128" s="1533" t="s">
        <v>1035</v>
      </c>
      <c r="B128" s="656" t="s">
        <v>593</v>
      </c>
      <c r="C128" s="657"/>
      <c r="D128" s="657"/>
      <c r="E128" s="657"/>
      <c r="F128" s="657"/>
      <c r="G128" s="657"/>
      <c r="H128" s="657"/>
      <c r="I128" s="535"/>
      <c r="J128" s="535"/>
      <c r="K128" s="1707">
        <f>SUM(C128:J128)</f>
        <v>0</v>
      </c>
      <c r="L128" s="657"/>
    </row>
    <row r="129" spans="1:14" ht="12.75" customHeight="1" thickBot="1" x14ac:dyDescent="0.25">
      <c r="A129" s="1708" t="s">
        <v>863</v>
      </c>
      <c r="B129" s="1709" t="s">
        <v>588</v>
      </c>
      <c r="C129" s="1699">
        <f>SUM(C120,C127,C128)</f>
        <v>16558</v>
      </c>
      <c r="D129" s="1699">
        <f t="shared" ref="D129:L129" si="15">SUM(D120,D127,D128)</f>
        <v>0</v>
      </c>
      <c r="E129" s="1699">
        <f t="shared" si="15"/>
        <v>17183</v>
      </c>
      <c r="F129" s="1699">
        <f t="shared" si="15"/>
        <v>24938</v>
      </c>
      <c r="G129" s="1699">
        <f t="shared" si="15"/>
        <v>0</v>
      </c>
      <c r="H129" s="1699">
        <f t="shared" si="15"/>
        <v>81454</v>
      </c>
      <c r="I129" s="1699">
        <f t="shared" si="15"/>
        <v>0</v>
      </c>
      <c r="J129" s="1699">
        <f t="shared" si="15"/>
        <v>0</v>
      </c>
      <c r="K129" s="1699">
        <f t="shared" si="15"/>
        <v>140133</v>
      </c>
      <c r="L129" s="1699">
        <f t="shared" si="15"/>
        <v>147054</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2" t="s">
        <v>515</v>
      </c>
      <c r="B133" s="1864" t="s">
        <v>1955</v>
      </c>
      <c r="C133" s="468"/>
      <c r="D133" s="468"/>
      <c r="E133" s="642"/>
      <c r="F133" s="468"/>
      <c r="G133" s="468"/>
      <c r="H133" s="642"/>
      <c r="I133" s="468"/>
      <c r="J133" s="468"/>
      <c r="K133" s="1844">
        <f>SUM(E133,H133)</f>
        <v>0</v>
      </c>
      <c r="L133" s="642"/>
      <c r="M133" s="206"/>
      <c r="N133" s="206"/>
    </row>
    <row r="134" spans="1:14" x14ac:dyDescent="0.2">
      <c r="A134" s="1526" t="s">
        <v>320</v>
      </c>
      <c r="B134" s="615">
        <v>4120</v>
      </c>
      <c r="C134" s="617"/>
      <c r="D134" s="617"/>
      <c r="E134" s="478"/>
      <c r="F134" s="617"/>
      <c r="G134" s="617"/>
      <c r="H134" s="481"/>
      <c r="I134" s="477"/>
      <c r="J134" s="617"/>
      <c r="K134" s="1694">
        <f>SUM(E134,H134)</f>
        <v>0</v>
      </c>
      <c r="L134" s="481"/>
    </row>
    <row r="135" spans="1:14" x14ac:dyDescent="0.2">
      <c r="A135" s="1526" t="s">
        <v>719</v>
      </c>
      <c r="B135" s="615">
        <v>4140</v>
      </c>
      <c r="C135" s="617"/>
      <c r="D135" s="617"/>
      <c r="E135" s="467"/>
      <c r="F135" s="617"/>
      <c r="G135" s="617"/>
      <c r="H135" s="466"/>
      <c r="I135" s="477"/>
      <c r="J135" s="617"/>
      <c r="K135" s="1694">
        <f>SUM(E135,H135)</f>
        <v>0</v>
      </c>
      <c r="L135" s="466"/>
    </row>
    <row r="136" spans="1:14" x14ac:dyDescent="0.2">
      <c r="A136" s="1530" t="s">
        <v>720</v>
      </c>
      <c r="B136" s="629">
        <v>4190</v>
      </c>
      <c r="C136" s="617"/>
      <c r="D136" s="617"/>
      <c r="E136" s="467"/>
      <c r="F136" s="617"/>
      <c r="G136" s="617"/>
      <c r="H136" s="466"/>
      <c r="I136" s="477"/>
      <c r="J136" s="617"/>
      <c r="K136" s="1694">
        <f>SUM(E136,H136)</f>
        <v>0</v>
      </c>
      <c r="L136" s="466"/>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1230</v>
      </c>
      <c r="B144" s="629" t="s">
        <v>636</v>
      </c>
      <c r="C144" s="617"/>
      <c r="D144" s="617"/>
      <c r="E144" s="617"/>
      <c r="F144" s="617"/>
      <c r="G144" s="617"/>
      <c r="H144" s="466"/>
      <c r="I144" s="468"/>
      <c r="J144" s="617"/>
      <c r="K144" s="1694">
        <f>SUM(H144)</f>
        <v>0</v>
      </c>
      <c r="L144" s="466"/>
    </row>
    <row r="145" spans="1:14" x14ac:dyDescent="0.2">
      <c r="A145" s="1526" t="s">
        <v>91</v>
      </c>
      <c r="B145" s="615" t="s">
        <v>608</v>
      </c>
      <c r="C145" s="617"/>
      <c r="D145" s="617"/>
      <c r="E145" s="617"/>
      <c r="F145" s="617"/>
      <c r="G145" s="617"/>
      <c r="H145" s="466"/>
      <c r="I145" s="468"/>
      <c r="J145" s="617"/>
      <c r="K145" s="1694">
        <f>SUM(H145)</f>
        <v>0</v>
      </c>
      <c r="L145" s="466"/>
    </row>
    <row r="146" spans="1:14" ht="12.75" customHeight="1" x14ac:dyDescent="0.2">
      <c r="A146" s="1526" t="s">
        <v>638</v>
      </c>
      <c r="B146" s="615" t="s">
        <v>637</v>
      </c>
      <c r="C146" s="617"/>
      <c r="D146" s="617"/>
      <c r="E146" s="617"/>
      <c r="F146" s="617"/>
      <c r="G146" s="617"/>
      <c r="H146" s="466"/>
      <c r="I146" s="468"/>
      <c r="J146" s="617"/>
      <c r="K146" s="1694">
        <f>SUM(H146)</f>
        <v>0</v>
      </c>
      <c r="L146" s="466"/>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row>
    <row r="151" spans="1:14" ht="12.75" customHeight="1" thickTop="1" thickBot="1" x14ac:dyDescent="0.25">
      <c r="A151" s="2201" t="s">
        <v>639</v>
      </c>
      <c r="B151" s="2181"/>
      <c r="C151" s="1692">
        <f>SUM(C129,C130,C139,C149,C150)</f>
        <v>16558</v>
      </c>
      <c r="D151" s="1692">
        <f t="shared" ref="D151:K151" si="16">SUM(D129,D130,D139,D149,D150)</f>
        <v>0</v>
      </c>
      <c r="E151" s="1692">
        <f t="shared" si="16"/>
        <v>17183</v>
      </c>
      <c r="F151" s="1692">
        <f t="shared" si="16"/>
        <v>24938</v>
      </c>
      <c r="G151" s="1692">
        <f t="shared" si="16"/>
        <v>0</v>
      </c>
      <c r="H151" s="1692">
        <f t="shared" si="16"/>
        <v>81454</v>
      </c>
      <c r="I151" s="1692">
        <f t="shared" si="16"/>
        <v>0</v>
      </c>
      <c r="J151" s="1692">
        <f t="shared" si="16"/>
        <v>0</v>
      </c>
      <c r="K151" s="1692">
        <f t="shared" si="16"/>
        <v>140133</v>
      </c>
      <c r="L151" s="1692">
        <f>SUM(L129,L130,L139,L149,L150)</f>
        <v>147054</v>
      </c>
    </row>
    <row r="152" spans="1:14" ht="12.75" customHeight="1" thickTop="1" x14ac:dyDescent="0.2">
      <c r="A152" s="2204" t="s">
        <v>1238</v>
      </c>
      <c r="B152" s="2205"/>
      <c r="C152" s="619"/>
      <c r="D152" s="619"/>
      <c r="E152" s="619"/>
      <c r="F152" s="619"/>
      <c r="G152" s="619"/>
      <c r="H152" s="619"/>
      <c r="I152" s="619"/>
      <c r="J152" s="617"/>
      <c r="K152" s="1706">
        <f>'Revenues 9-14'!D275-'Expenditures 15-22'!K151</f>
        <v>-78053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9" t="s">
        <v>640</v>
      </c>
      <c r="B154" s="219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320</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577</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1230</v>
      </c>
      <c r="B165" s="615" t="s">
        <v>636</v>
      </c>
      <c r="C165" s="617"/>
      <c r="D165" s="617"/>
      <c r="E165" s="617"/>
      <c r="F165" s="617"/>
      <c r="G165" s="617"/>
      <c r="H165" s="466"/>
      <c r="I165" s="617"/>
      <c r="J165" s="617"/>
      <c r="K165" s="1693">
        <f>SUM(C165:J165)</f>
        <v>0</v>
      </c>
      <c r="L165" s="466"/>
    </row>
    <row r="166" spans="1:14" x14ac:dyDescent="0.2">
      <c r="A166" s="1526" t="s">
        <v>91</v>
      </c>
      <c r="B166" s="629" t="s">
        <v>608</v>
      </c>
      <c r="C166" s="617"/>
      <c r="D166" s="617"/>
      <c r="E166" s="617"/>
      <c r="F166" s="617"/>
      <c r="G166" s="617"/>
      <c r="H166" s="466"/>
      <c r="I166" s="617"/>
      <c r="J166" s="617"/>
      <c r="K166" s="1693">
        <f>SUM(C166:J166)</f>
        <v>0</v>
      </c>
      <c r="L166" s="466"/>
    </row>
    <row r="167" spans="1:14" ht="12.75" customHeight="1" x14ac:dyDescent="0.2">
      <c r="A167" s="1526" t="s">
        <v>638</v>
      </c>
      <c r="B167" s="615" t="s">
        <v>637</v>
      </c>
      <c r="C167" s="617"/>
      <c r="D167" s="617"/>
      <c r="E167" s="617"/>
      <c r="F167" s="617"/>
      <c r="G167" s="617"/>
      <c r="H167" s="466"/>
      <c r="I167" s="617"/>
      <c r="J167" s="617"/>
      <c r="K167" s="1693">
        <f>SUM(C167:J167)</f>
        <v>0</v>
      </c>
      <c r="L167" s="466"/>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28318</v>
      </c>
      <c r="I169" s="617"/>
      <c r="J169" s="617"/>
      <c r="K169" s="1693">
        <f>SUM(C169:H169)</f>
        <v>28318</v>
      </c>
      <c r="L169" s="657">
        <v>42581</v>
      </c>
    </row>
    <row r="170" spans="1:14" ht="33.75" customHeight="1" x14ac:dyDescent="0.2">
      <c r="A170" s="670" t="s">
        <v>1767</v>
      </c>
      <c r="B170" s="672" t="s">
        <v>31</v>
      </c>
      <c r="C170" s="617"/>
      <c r="D170" s="617"/>
      <c r="E170" s="617"/>
      <c r="F170" s="617"/>
      <c r="G170" s="617"/>
      <c r="H170" s="569">
        <v>137000</v>
      </c>
      <c r="I170" s="617"/>
      <c r="J170" s="617"/>
      <c r="K170" s="1693">
        <f>SUM(C170:J170)</f>
        <v>137000</v>
      </c>
      <c r="L170" s="569">
        <v>123000</v>
      </c>
    </row>
    <row r="171" spans="1:14" ht="15.75" customHeight="1" x14ac:dyDescent="0.2">
      <c r="A171" s="622" t="s">
        <v>788</v>
      </c>
      <c r="B171" s="673" t="s">
        <v>86</v>
      </c>
      <c r="C171" s="617"/>
      <c r="D171" s="617"/>
      <c r="E171" s="466"/>
      <c r="F171" s="617"/>
      <c r="G171" s="617"/>
      <c r="H171" s="569"/>
      <c r="I171" s="477"/>
      <c r="J171" s="617"/>
      <c r="K171" s="1693">
        <f>SUM(C171:J171)</f>
        <v>0</v>
      </c>
      <c r="L171" s="569"/>
    </row>
    <row r="172" spans="1:14" ht="12.75" customHeight="1" thickBot="1" x14ac:dyDescent="0.25">
      <c r="A172" s="1690" t="s">
        <v>657</v>
      </c>
      <c r="B172" s="1691" t="s">
        <v>511</v>
      </c>
      <c r="C172" s="617"/>
      <c r="D172" s="617"/>
      <c r="E172" s="1699">
        <f>SUM(E168,E169,E170,E171)</f>
        <v>0</v>
      </c>
      <c r="F172" s="617"/>
      <c r="G172" s="617"/>
      <c r="H172" s="1699">
        <f>SUM(H168,H169,H170,H171)</f>
        <v>165318</v>
      </c>
      <c r="I172" s="639"/>
      <c r="J172" s="617"/>
      <c r="K172" s="1699">
        <f>SUM(K168,K169,K170,K171)</f>
        <v>165318</v>
      </c>
      <c r="L172" s="1699">
        <f>SUM(L168,L169,L170,L171)</f>
        <v>165581</v>
      </c>
    </row>
    <row r="173" spans="1:14" ht="15.75" customHeight="1" thickTop="1" thickBot="1" x14ac:dyDescent="0.25">
      <c r="A173" s="1641" t="s">
        <v>87</v>
      </c>
      <c r="B173" s="1633" t="s">
        <v>914</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165318</v>
      </c>
      <c r="I174" s="639"/>
      <c r="J174" s="617"/>
      <c r="K174" s="1699">
        <f>SUM(K160,K172,K173)</f>
        <v>165318</v>
      </c>
      <c r="L174" s="1699">
        <f>SUM(L160,L172,L173)</f>
        <v>165581</v>
      </c>
    </row>
    <row r="175" spans="1:14" ht="13.5" thickTop="1" x14ac:dyDescent="0.2">
      <c r="A175" s="2184" t="s">
        <v>1051</v>
      </c>
      <c r="B175" s="2185"/>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v>8700</v>
      </c>
      <c r="D182" s="466">
        <v>1113</v>
      </c>
      <c r="E182" s="466">
        <v>54776</v>
      </c>
      <c r="F182" s="466"/>
      <c r="G182" s="466"/>
      <c r="H182" s="466"/>
      <c r="I182" s="467"/>
      <c r="J182" s="467"/>
      <c r="K182" s="1693">
        <f>SUM(C182:J182)</f>
        <v>64589</v>
      </c>
      <c r="L182" s="466">
        <v>64931</v>
      </c>
    </row>
    <row r="183" spans="1:14" ht="12.75" customHeight="1" thickBot="1" x14ac:dyDescent="0.25">
      <c r="A183" s="1531" t="s">
        <v>1035</v>
      </c>
      <c r="B183" s="678">
        <v>2900</v>
      </c>
      <c r="C183" s="573"/>
      <c r="D183" s="573"/>
      <c r="E183" s="573"/>
      <c r="F183" s="573"/>
      <c r="G183" s="573"/>
      <c r="H183" s="573"/>
      <c r="I183" s="532"/>
      <c r="J183" s="532"/>
      <c r="K183" s="1699">
        <f>SUM(C183:J183)</f>
        <v>0</v>
      </c>
      <c r="L183" s="573"/>
    </row>
    <row r="184" spans="1:14" ht="12.75" customHeight="1" thickTop="1" thickBot="1" x14ac:dyDescent="0.25">
      <c r="A184" s="1713" t="s">
        <v>863</v>
      </c>
      <c r="B184" s="1691" t="s">
        <v>588</v>
      </c>
      <c r="C184" s="1699">
        <f>SUM(C180,C182,C183)</f>
        <v>8700</v>
      </c>
      <c r="D184" s="1699">
        <f t="shared" ref="D184:J184" si="17">SUM(D180,D182,D183)</f>
        <v>1113</v>
      </c>
      <c r="E184" s="1699">
        <f t="shared" si="17"/>
        <v>54776</v>
      </c>
      <c r="F184" s="1699">
        <f t="shared" si="17"/>
        <v>0</v>
      </c>
      <c r="G184" s="1699">
        <f t="shared" si="17"/>
        <v>0</v>
      </c>
      <c r="H184" s="1699">
        <f t="shared" si="17"/>
        <v>0</v>
      </c>
      <c r="I184" s="1699">
        <f t="shared" si="17"/>
        <v>0</v>
      </c>
      <c r="J184" s="1699">
        <f t="shared" si="17"/>
        <v>0</v>
      </c>
      <c r="K184" s="1699">
        <f>SUM(K180,K182,K183)</f>
        <v>64589</v>
      </c>
      <c r="L184" s="1699">
        <f>SUM(L180, L182:L183)</f>
        <v>64931</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row>
    <row r="189" spans="1:14" x14ac:dyDescent="0.2">
      <c r="A189" s="1526" t="s">
        <v>320</v>
      </c>
      <c r="B189" s="615">
        <v>4120</v>
      </c>
      <c r="C189" s="617"/>
      <c r="D189" s="617"/>
      <c r="E189" s="466"/>
      <c r="F189" s="617"/>
      <c r="G189" s="617"/>
      <c r="H189" s="466"/>
      <c r="I189" s="477"/>
      <c r="J189" s="617"/>
      <c r="K189" s="1693">
        <f t="shared" si="18"/>
        <v>0</v>
      </c>
      <c r="L189" s="466"/>
    </row>
    <row r="190" spans="1:14" x14ac:dyDescent="0.2">
      <c r="A190" s="1526" t="s">
        <v>321</v>
      </c>
      <c r="B190" s="629">
        <v>4130</v>
      </c>
      <c r="C190" s="617"/>
      <c r="D190" s="617"/>
      <c r="E190" s="466"/>
      <c r="F190" s="617"/>
      <c r="G190" s="617"/>
      <c r="H190" s="466"/>
      <c r="I190" s="477"/>
      <c r="J190" s="617"/>
      <c r="K190" s="1693">
        <f t="shared" si="18"/>
        <v>0</v>
      </c>
      <c r="L190" s="466"/>
    </row>
    <row r="191" spans="1:14" x14ac:dyDescent="0.2">
      <c r="A191" s="1526" t="s">
        <v>719</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720</v>
      </c>
      <c r="B193" s="629">
        <v>4190</v>
      </c>
      <c r="C193" s="617"/>
      <c r="D193" s="617"/>
      <c r="E193" s="466"/>
      <c r="F193" s="617"/>
      <c r="G193" s="617"/>
      <c r="H193" s="466"/>
      <c r="I193" s="477"/>
      <c r="J193" s="617"/>
      <c r="K193" s="1693">
        <f t="shared" si="18"/>
        <v>0</v>
      </c>
      <c r="L193" s="466"/>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1230</v>
      </c>
      <c r="B201" s="629" t="s">
        <v>636</v>
      </c>
      <c r="C201" s="617"/>
      <c r="D201" s="617"/>
      <c r="E201" s="617"/>
      <c r="F201" s="617"/>
      <c r="G201" s="617"/>
      <c r="H201" s="466"/>
      <c r="I201" s="617"/>
      <c r="J201" s="617"/>
      <c r="K201" s="1693">
        <f>SUM(H201)</f>
        <v>0</v>
      </c>
      <c r="L201" s="466"/>
    </row>
    <row r="202" spans="1:14" x14ac:dyDescent="0.2">
      <c r="A202" s="1526" t="s">
        <v>91</v>
      </c>
      <c r="B202" s="615" t="s">
        <v>608</v>
      </c>
      <c r="C202" s="617"/>
      <c r="D202" s="617"/>
      <c r="E202" s="617"/>
      <c r="F202" s="617"/>
      <c r="G202" s="617"/>
      <c r="H202" s="466"/>
      <c r="I202" s="617"/>
      <c r="J202" s="617"/>
      <c r="K202" s="1693">
        <f>SUM(H202)</f>
        <v>0</v>
      </c>
      <c r="L202" s="466"/>
    </row>
    <row r="203" spans="1:14" x14ac:dyDescent="0.2">
      <c r="A203" s="1538" t="s">
        <v>638</v>
      </c>
      <c r="B203" s="615" t="s">
        <v>637</v>
      </c>
      <c r="C203" s="617"/>
      <c r="D203" s="617"/>
      <c r="E203" s="617"/>
      <c r="F203" s="617"/>
      <c r="G203" s="617"/>
      <c r="H203" s="471"/>
      <c r="I203" s="617"/>
      <c r="J203" s="617"/>
      <c r="K203" s="1693">
        <f>SUM(H203)</f>
        <v>0</v>
      </c>
      <c r="L203" s="471"/>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row>
    <row r="210" spans="1:14" ht="12.75" customHeight="1" thickTop="1" thickBot="1" x14ac:dyDescent="0.25">
      <c r="A210" s="1714" t="s">
        <v>293</v>
      </c>
      <c r="B210" s="1715"/>
      <c r="C210" s="1692">
        <f>SUM(C184,C185)</f>
        <v>8700</v>
      </c>
      <c r="D210" s="1692">
        <f>SUM(D184,D185)</f>
        <v>1113</v>
      </c>
      <c r="E210" s="1692">
        <f>SUM(E184,E185,E196)</f>
        <v>54776</v>
      </c>
      <c r="F210" s="1692">
        <f>SUM(F184,F185)</f>
        <v>0</v>
      </c>
      <c r="G210" s="1692">
        <f>SUM(G184,G185)</f>
        <v>0</v>
      </c>
      <c r="H210" s="1692">
        <f>SUM(H184,H185,H196,H208,H209)</f>
        <v>0</v>
      </c>
      <c r="I210" s="1692">
        <f>SUM(I184,I185)</f>
        <v>0</v>
      </c>
      <c r="J210" s="1692">
        <f>SUM(J184,J185)</f>
        <v>0</v>
      </c>
      <c r="K210" s="1693">
        <f>SUM(K184,K185,K196,K208,K209)</f>
        <v>64589</v>
      </c>
      <c r="L210" s="1692">
        <f>SUM(L184,L185,L196,L208,L209)</f>
        <v>64931</v>
      </c>
    </row>
    <row r="211" spans="1:14" ht="13.5" thickTop="1" x14ac:dyDescent="0.2">
      <c r="A211" s="2184" t="s">
        <v>1051</v>
      </c>
      <c r="B211" s="2185"/>
      <c r="C211" s="619"/>
      <c r="D211" s="619"/>
      <c r="E211" s="619"/>
      <c r="F211" s="619"/>
      <c r="G211" s="619"/>
      <c r="H211" s="619"/>
      <c r="I211" s="617"/>
      <c r="J211" s="617"/>
      <c r="K211" s="1706">
        <f>'Revenues 9-14'!F275-'Expenditures 15-22'!K210</f>
        <v>244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6" t="s">
        <v>1020</v>
      </c>
      <c r="B213" s="2207"/>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v>6102</v>
      </c>
      <c r="E215" s="617"/>
      <c r="F215" s="617"/>
      <c r="G215" s="617"/>
      <c r="H215" s="617"/>
      <c r="I215" s="617"/>
      <c r="J215" s="617"/>
      <c r="K215" s="1693">
        <f>D215</f>
        <v>6102</v>
      </c>
      <c r="L215" s="466">
        <v>6950</v>
      </c>
    </row>
    <row r="216" spans="1:14" x14ac:dyDescent="0.2">
      <c r="A216" s="1526" t="s">
        <v>165</v>
      </c>
      <c r="B216" s="615" t="s">
        <v>1022</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392</v>
      </c>
      <c r="E217" s="617"/>
      <c r="F217" s="617"/>
      <c r="G217" s="617"/>
      <c r="H217" s="617"/>
      <c r="I217" s="617"/>
      <c r="J217" s="617"/>
      <c r="K217" s="1693">
        <f t="shared" si="19"/>
        <v>392</v>
      </c>
      <c r="L217" s="466">
        <v>500</v>
      </c>
    </row>
    <row r="218" spans="1:14" x14ac:dyDescent="0.2">
      <c r="A218" s="1526" t="s">
        <v>294</v>
      </c>
      <c r="B218" s="615" t="s">
        <v>1023</v>
      </c>
      <c r="C218" s="617"/>
      <c r="D218" s="467"/>
      <c r="E218" s="617"/>
      <c r="F218" s="617"/>
      <c r="G218" s="617"/>
      <c r="H218" s="617"/>
      <c r="I218" s="617"/>
      <c r="J218" s="617"/>
      <c r="K218" s="1693">
        <f t="shared" si="19"/>
        <v>0</v>
      </c>
      <c r="L218" s="466"/>
    </row>
    <row r="219" spans="1:14" x14ac:dyDescent="0.2">
      <c r="A219" s="1526" t="s">
        <v>295</v>
      </c>
      <c r="B219" s="615">
        <v>1250</v>
      </c>
      <c r="C219" s="617"/>
      <c r="D219" s="466">
        <v>2106</v>
      </c>
      <c r="E219" s="617"/>
      <c r="F219" s="617"/>
      <c r="G219" s="617"/>
      <c r="H219" s="617"/>
      <c r="I219" s="617"/>
      <c r="J219" s="617"/>
      <c r="K219" s="1693">
        <f t="shared" si="19"/>
        <v>2106</v>
      </c>
      <c r="L219" s="466">
        <v>1790</v>
      </c>
    </row>
    <row r="220" spans="1:14" x14ac:dyDescent="0.2">
      <c r="A220" s="1526" t="s">
        <v>296</v>
      </c>
      <c r="B220" s="615" t="s">
        <v>163</v>
      </c>
      <c r="C220" s="617"/>
      <c r="D220" s="467"/>
      <c r="E220" s="617"/>
      <c r="F220" s="617"/>
      <c r="G220" s="617"/>
      <c r="H220" s="617"/>
      <c r="I220" s="617"/>
      <c r="J220" s="617"/>
      <c r="K220" s="1693">
        <f t="shared" si="19"/>
        <v>0</v>
      </c>
      <c r="L220" s="466"/>
    </row>
    <row r="221" spans="1:14" x14ac:dyDescent="0.2">
      <c r="A221" s="1526" t="s">
        <v>1017</v>
      </c>
      <c r="B221" s="615">
        <v>1300</v>
      </c>
      <c r="C221" s="617"/>
      <c r="D221" s="466"/>
      <c r="E221" s="617"/>
      <c r="F221" s="617"/>
      <c r="G221" s="617"/>
      <c r="H221" s="617"/>
      <c r="I221" s="617"/>
      <c r="J221" s="617"/>
      <c r="K221" s="1693">
        <f t="shared" si="19"/>
        <v>0</v>
      </c>
      <c r="L221" s="466"/>
    </row>
    <row r="222" spans="1:14" x14ac:dyDescent="0.2">
      <c r="A222" s="1526" t="s">
        <v>745</v>
      </c>
      <c r="B222" s="615">
        <v>1400</v>
      </c>
      <c r="C222" s="617"/>
      <c r="D222" s="466"/>
      <c r="E222" s="617"/>
      <c r="F222" s="617"/>
      <c r="G222" s="617"/>
      <c r="H222" s="617"/>
      <c r="I222" s="617"/>
      <c r="J222" s="617"/>
      <c r="K222" s="1693">
        <f t="shared" si="19"/>
        <v>0</v>
      </c>
      <c r="L222" s="466"/>
    </row>
    <row r="223" spans="1:14" x14ac:dyDescent="0.2">
      <c r="A223" s="1526" t="s">
        <v>1018</v>
      </c>
      <c r="B223" s="615">
        <v>1500</v>
      </c>
      <c r="C223" s="617"/>
      <c r="D223" s="466">
        <v>748</v>
      </c>
      <c r="E223" s="617"/>
      <c r="F223" s="617"/>
      <c r="G223" s="617"/>
      <c r="H223" s="617"/>
      <c r="I223" s="617"/>
      <c r="J223" s="617"/>
      <c r="K223" s="1693">
        <f t="shared" si="19"/>
        <v>748</v>
      </c>
      <c r="L223" s="466">
        <v>750</v>
      </c>
    </row>
    <row r="224" spans="1:14" x14ac:dyDescent="0.2">
      <c r="A224" s="1526" t="s">
        <v>1019</v>
      </c>
      <c r="B224" s="615">
        <v>1600</v>
      </c>
      <c r="C224" s="617"/>
      <c r="D224" s="466"/>
      <c r="E224" s="617"/>
      <c r="F224" s="617"/>
      <c r="G224" s="617"/>
      <c r="H224" s="617"/>
      <c r="I224" s="617"/>
      <c r="J224" s="617"/>
      <c r="K224" s="1693">
        <f t="shared" si="19"/>
        <v>0</v>
      </c>
      <c r="L224" s="466"/>
    </row>
    <row r="225" spans="1:12" x14ac:dyDescent="0.2">
      <c r="A225" s="1526" t="s">
        <v>1042</v>
      </c>
      <c r="B225" s="615">
        <v>1650</v>
      </c>
      <c r="C225" s="617"/>
      <c r="D225" s="466">
        <v>582</v>
      </c>
      <c r="E225" s="617"/>
      <c r="F225" s="617"/>
      <c r="G225" s="617"/>
      <c r="H225" s="617"/>
      <c r="I225" s="617"/>
      <c r="J225" s="617"/>
      <c r="K225" s="1693">
        <f t="shared" si="19"/>
        <v>582</v>
      </c>
      <c r="L225" s="466">
        <v>650</v>
      </c>
    </row>
    <row r="226" spans="1:12" x14ac:dyDescent="0.2">
      <c r="A226" s="1526" t="s">
        <v>746</v>
      </c>
      <c r="B226" s="615" t="s">
        <v>164</v>
      </c>
      <c r="C226" s="617"/>
      <c r="D226" s="467"/>
      <c r="E226" s="617"/>
      <c r="F226" s="617"/>
      <c r="G226" s="617"/>
      <c r="H226" s="617"/>
      <c r="I226" s="617"/>
      <c r="J226" s="617"/>
      <c r="K226" s="1693">
        <f t="shared" si="19"/>
        <v>0</v>
      </c>
      <c r="L226" s="466"/>
    </row>
    <row r="227" spans="1:12" x14ac:dyDescent="0.2">
      <c r="A227" s="1526" t="s">
        <v>1146</v>
      </c>
      <c r="B227" s="615">
        <v>1800</v>
      </c>
      <c r="C227" s="617"/>
      <c r="D227" s="466"/>
      <c r="E227" s="617"/>
      <c r="F227" s="617"/>
      <c r="G227" s="617"/>
      <c r="H227" s="617"/>
      <c r="I227" s="617"/>
      <c r="J227" s="617"/>
      <c r="K227" s="1693">
        <f t="shared" si="19"/>
        <v>0</v>
      </c>
      <c r="L227" s="466"/>
    </row>
    <row r="228" spans="1:12" x14ac:dyDescent="0.2">
      <c r="A228" s="1526" t="s">
        <v>1147</v>
      </c>
      <c r="B228" s="615">
        <v>1900</v>
      </c>
      <c r="C228" s="617"/>
      <c r="D228" s="466"/>
      <c r="E228" s="617"/>
      <c r="F228" s="617"/>
      <c r="G228" s="617"/>
      <c r="H228" s="617"/>
      <c r="I228" s="617"/>
      <c r="J228" s="617"/>
      <c r="K228" s="1693">
        <f t="shared" si="19"/>
        <v>0</v>
      </c>
      <c r="L228" s="466"/>
    </row>
    <row r="229" spans="1:12" ht="12.75" customHeight="1" thickBot="1" x14ac:dyDescent="0.25">
      <c r="A229" s="1690" t="s">
        <v>737</v>
      </c>
      <c r="B229" s="1697" t="s">
        <v>589</v>
      </c>
      <c r="C229" s="617"/>
      <c r="D229" s="1692">
        <f>SUM(D215:D228)</f>
        <v>9930</v>
      </c>
      <c r="E229" s="617"/>
      <c r="F229" s="617"/>
      <c r="G229" s="617"/>
      <c r="H229" s="617"/>
      <c r="I229" s="617"/>
      <c r="J229" s="617"/>
      <c r="K229" s="1692">
        <f>SUM(K215:K228)</f>
        <v>9930</v>
      </c>
      <c r="L229" s="1692">
        <f>SUM(L215:L228)</f>
        <v>10640</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c r="E232" s="617"/>
      <c r="F232" s="617"/>
      <c r="G232" s="617"/>
      <c r="H232" s="617"/>
      <c r="I232" s="617"/>
      <c r="J232" s="617"/>
      <c r="K232" s="1693">
        <f t="shared" ref="K232:K237" si="20">D232</f>
        <v>0</v>
      </c>
      <c r="L232" s="466"/>
    </row>
    <row r="233" spans="1:12" x14ac:dyDescent="0.2">
      <c r="A233" s="1526" t="s">
        <v>1149</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579</v>
      </c>
      <c r="B238" s="1697" t="s">
        <v>738</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v>11</v>
      </c>
      <c r="E240" s="617"/>
      <c r="F240" s="617"/>
      <c r="G240" s="617"/>
      <c r="H240" s="617"/>
      <c r="I240" s="617"/>
      <c r="J240" s="617"/>
      <c r="K240" s="1694">
        <f>D240</f>
        <v>11</v>
      </c>
      <c r="L240" s="481"/>
    </row>
    <row r="241" spans="1:12" x14ac:dyDescent="0.2">
      <c r="A241" s="1526" t="s">
        <v>867</v>
      </c>
      <c r="B241" s="615">
        <v>2220</v>
      </c>
      <c r="C241" s="617"/>
      <c r="D241" s="466">
        <v>19</v>
      </c>
      <c r="E241" s="617"/>
      <c r="F241" s="617"/>
      <c r="G241" s="617"/>
      <c r="H241" s="617"/>
      <c r="I241" s="617"/>
      <c r="J241" s="617"/>
      <c r="K241" s="1694">
        <f>D241</f>
        <v>19</v>
      </c>
      <c r="L241" s="466">
        <v>25</v>
      </c>
    </row>
    <row r="242" spans="1:12" x14ac:dyDescent="0.2">
      <c r="A242" s="1526" t="s">
        <v>868</v>
      </c>
      <c r="B242" s="615">
        <v>2230</v>
      </c>
      <c r="C242" s="617"/>
      <c r="D242" s="466"/>
      <c r="E242" s="617"/>
      <c r="F242" s="617"/>
      <c r="G242" s="617"/>
      <c r="H242" s="617"/>
      <c r="I242" s="617"/>
      <c r="J242" s="617"/>
      <c r="K242" s="1694">
        <f>D242</f>
        <v>0</v>
      </c>
      <c r="L242" s="466"/>
    </row>
    <row r="243" spans="1:12" ht="12.75" customHeight="1" thickBot="1" x14ac:dyDescent="0.25">
      <c r="A243" s="1716" t="s">
        <v>580</v>
      </c>
      <c r="B243" s="1717">
        <v>2200</v>
      </c>
      <c r="C243" s="617"/>
      <c r="D243" s="1692">
        <f>SUM(D240:D242)</f>
        <v>30</v>
      </c>
      <c r="E243" s="617"/>
      <c r="F243" s="617"/>
      <c r="G243" s="617"/>
      <c r="H243" s="617"/>
      <c r="I243" s="617"/>
      <c r="J243" s="617"/>
      <c r="K243" s="1692">
        <f>SUM(K240:K242)</f>
        <v>30</v>
      </c>
      <c r="L243" s="1692">
        <f>SUM(L240:L242)</f>
        <v>25</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v>161</v>
      </c>
      <c r="E245" s="617"/>
      <c r="F245" s="617"/>
      <c r="G245" s="617"/>
      <c r="H245" s="617"/>
      <c r="I245" s="617"/>
      <c r="J245" s="617"/>
      <c r="K245" s="1694">
        <f>D245</f>
        <v>161</v>
      </c>
      <c r="L245" s="481">
        <v>200</v>
      </c>
    </row>
    <row r="246" spans="1:12" x14ac:dyDescent="0.2">
      <c r="A246" s="1526" t="s">
        <v>870</v>
      </c>
      <c r="B246" s="615">
        <v>2320</v>
      </c>
      <c r="C246" s="617"/>
      <c r="D246" s="466">
        <v>504</v>
      </c>
      <c r="E246" s="617"/>
      <c r="F246" s="617"/>
      <c r="G246" s="617"/>
      <c r="H246" s="617"/>
      <c r="I246" s="617"/>
      <c r="J246" s="617"/>
      <c r="K246" s="1694">
        <f t="shared" ref="K246:K256" si="21">D246</f>
        <v>504</v>
      </c>
      <c r="L246" s="466">
        <v>600</v>
      </c>
    </row>
    <row r="247" spans="1:12" x14ac:dyDescent="0.2">
      <c r="A247" s="1526" t="s">
        <v>871</v>
      </c>
      <c r="B247" s="615">
        <v>2330</v>
      </c>
      <c r="C247" s="617"/>
      <c r="D247" s="466"/>
      <c r="E247" s="617"/>
      <c r="F247" s="617"/>
      <c r="G247" s="617"/>
      <c r="H247" s="617"/>
      <c r="I247" s="617"/>
      <c r="J247" s="617"/>
      <c r="K247" s="1694">
        <f t="shared" si="21"/>
        <v>0</v>
      </c>
      <c r="L247" s="466"/>
    </row>
    <row r="248" spans="1:12" x14ac:dyDescent="0.2">
      <c r="A248" s="1527" t="s">
        <v>315</v>
      </c>
      <c r="B248" s="603" t="s">
        <v>297</v>
      </c>
      <c r="C248" s="617"/>
      <c r="D248" s="474"/>
      <c r="E248" s="617"/>
      <c r="F248" s="617"/>
      <c r="G248" s="617"/>
      <c r="H248" s="617"/>
      <c r="I248" s="617"/>
      <c r="J248" s="617"/>
      <c r="K248" s="1694">
        <f t="shared" si="21"/>
        <v>0</v>
      </c>
      <c r="L248" s="466"/>
    </row>
    <row r="249" spans="1:12" x14ac:dyDescent="0.2">
      <c r="A249" s="1528" t="s">
        <v>1906</v>
      </c>
      <c r="B249" s="684" t="s">
        <v>298</v>
      </c>
      <c r="C249" s="617"/>
      <c r="D249" s="474"/>
      <c r="E249" s="617"/>
      <c r="F249" s="617"/>
      <c r="G249" s="617"/>
      <c r="H249" s="617"/>
      <c r="I249" s="617"/>
      <c r="J249" s="617"/>
      <c r="K249" s="1694">
        <f t="shared" si="21"/>
        <v>0</v>
      </c>
      <c r="L249" s="466"/>
    </row>
    <row r="250" spans="1:12" x14ac:dyDescent="0.2">
      <c r="A250" s="1527" t="s">
        <v>1907</v>
      </c>
      <c r="B250" s="603" t="s">
        <v>299</v>
      </c>
      <c r="C250" s="617"/>
      <c r="D250" s="474"/>
      <c r="E250" s="617"/>
      <c r="F250" s="617"/>
      <c r="G250" s="617"/>
      <c r="H250" s="617"/>
      <c r="I250" s="617"/>
      <c r="J250" s="617"/>
      <c r="K250" s="1694">
        <f t="shared" si="21"/>
        <v>0</v>
      </c>
      <c r="L250" s="466"/>
    </row>
    <row r="251" spans="1:12" x14ac:dyDescent="0.2">
      <c r="A251" s="1527" t="s">
        <v>256</v>
      </c>
      <c r="B251" s="603" t="s">
        <v>300</v>
      </c>
      <c r="C251" s="617"/>
      <c r="D251" s="474"/>
      <c r="E251" s="617"/>
      <c r="F251" s="617"/>
      <c r="G251" s="617"/>
      <c r="H251" s="617"/>
      <c r="I251" s="617"/>
      <c r="J251" s="617"/>
      <c r="K251" s="1694">
        <f t="shared" si="21"/>
        <v>0</v>
      </c>
      <c r="L251" s="466"/>
    </row>
    <row r="252" spans="1:12" x14ac:dyDescent="0.2">
      <c r="A252" s="1527" t="s">
        <v>724</v>
      </c>
      <c r="B252" s="603" t="s">
        <v>301</v>
      </c>
      <c r="C252" s="617"/>
      <c r="D252" s="474"/>
      <c r="E252" s="617"/>
      <c r="F252" s="617"/>
      <c r="G252" s="617"/>
      <c r="H252" s="617"/>
      <c r="I252" s="617"/>
      <c r="J252" s="617"/>
      <c r="K252" s="1694">
        <f t="shared" si="21"/>
        <v>0</v>
      </c>
      <c r="L252" s="466"/>
    </row>
    <row r="253" spans="1:12" x14ac:dyDescent="0.2">
      <c r="A253" s="1527" t="s">
        <v>257</v>
      </c>
      <c r="B253" s="603" t="s">
        <v>302</v>
      </c>
      <c r="C253" s="617"/>
      <c r="D253" s="474"/>
      <c r="E253" s="617"/>
      <c r="F253" s="617"/>
      <c r="G253" s="617"/>
      <c r="H253" s="617"/>
      <c r="I253" s="617"/>
      <c r="J253" s="617"/>
      <c r="K253" s="1694">
        <f t="shared" si="21"/>
        <v>0</v>
      </c>
      <c r="L253" s="466"/>
    </row>
    <row r="254" spans="1:12" ht="22.5" x14ac:dyDescent="0.2">
      <c r="A254" s="1527" t="s">
        <v>1085</v>
      </c>
      <c r="B254" s="684" t="s">
        <v>303</v>
      </c>
      <c r="C254" s="617"/>
      <c r="D254" s="474">
        <v>2499</v>
      </c>
      <c r="E254" s="617"/>
      <c r="F254" s="617"/>
      <c r="G254" s="617"/>
      <c r="H254" s="617"/>
      <c r="I254" s="617"/>
      <c r="J254" s="617"/>
      <c r="K254" s="1694">
        <f t="shared" si="21"/>
        <v>2499</v>
      </c>
      <c r="L254" s="466">
        <v>2950</v>
      </c>
    </row>
    <row r="255" spans="1:12" x14ac:dyDescent="0.2">
      <c r="A255" s="1527" t="s">
        <v>1086</v>
      </c>
      <c r="B255" s="603" t="s">
        <v>304</v>
      </c>
      <c r="C255" s="617"/>
      <c r="D255" s="474"/>
      <c r="E255" s="617"/>
      <c r="F255" s="617"/>
      <c r="G255" s="617"/>
      <c r="H255" s="617"/>
      <c r="I255" s="617"/>
      <c r="J255" s="617"/>
      <c r="K255" s="1694">
        <f t="shared" si="21"/>
        <v>0</v>
      </c>
      <c r="L255" s="466"/>
    </row>
    <row r="256" spans="1:12" x14ac:dyDescent="0.2">
      <c r="A256" s="1527" t="s">
        <v>1026</v>
      </c>
      <c r="B256" s="615" t="s">
        <v>305</v>
      </c>
      <c r="C256" s="617"/>
      <c r="D256" s="474"/>
      <c r="E256" s="617"/>
      <c r="F256" s="617"/>
      <c r="G256" s="617"/>
      <c r="H256" s="617"/>
      <c r="I256" s="617"/>
      <c r="J256" s="617"/>
      <c r="K256" s="1694">
        <f t="shared" si="21"/>
        <v>0</v>
      </c>
      <c r="L256" s="466"/>
    </row>
    <row r="257" spans="1:14" ht="12.75" customHeight="1" thickBot="1" x14ac:dyDescent="0.25">
      <c r="A257" s="1690" t="s">
        <v>739</v>
      </c>
      <c r="B257" s="1718">
        <v>2300</v>
      </c>
      <c r="C257" s="617"/>
      <c r="D257" s="1692">
        <f>SUM(D245:D256)</f>
        <v>3164</v>
      </c>
      <c r="E257" s="617"/>
      <c r="F257" s="617"/>
      <c r="G257" s="617"/>
      <c r="H257" s="617"/>
      <c r="I257" s="617"/>
      <c r="J257" s="617"/>
      <c r="K257" s="1692">
        <f>SUM(K245:K256)</f>
        <v>3164</v>
      </c>
      <c r="L257" s="1692">
        <f>SUM(L245:L256)</f>
        <v>3750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v>2122</v>
      </c>
      <c r="E259" s="617"/>
      <c r="F259" s="617"/>
      <c r="G259" s="617"/>
      <c r="H259" s="617"/>
      <c r="I259" s="617"/>
      <c r="J259" s="617"/>
      <c r="K259" s="1694">
        <f>D259</f>
        <v>2122</v>
      </c>
      <c r="L259" s="481">
        <v>2200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279</v>
      </c>
      <c r="B261" s="1719" t="s">
        <v>34</v>
      </c>
      <c r="C261" s="617"/>
      <c r="D261" s="1692">
        <f>SUM(D259:D260)</f>
        <v>2122</v>
      </c>
      <c r="E261" s="617"/>
      <c r="F261" s="617"/>
      <c r="G261" s="617"/>
      <c r="H261" s="617"/>
      <c r="I261" s="617"/>
      <c r="J261" s="617"/>
      <c r="K261" s="1692">
        <f>SUM(K259:K260)</f>
        <v>2122</v>
      </c>
      <c r="L261" s="1692">
        <f>SUM(L259:L260)</f>
        <v>2200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c r="E263" s="617"/>
      <c r="F263" s="617"/>
      <c r="G263" s="617"/>
      <c r="H263" s="617"/>
      <c r="I263" s="617"/>
      <c r="J263" s="617"/>
      <c r="K263" s="1694">
        <f>D263</f>
        <v>0</v>
      </c>
      <c r="L263" s="481"/>
    </row>
    <row r="264" spans="1:14" x14ac:dyDescent="0.2">
      <c r="A264" s="1526" t="s">
        <v>481</v>
      </c>
      <c r="B264" s="686">
        <v>2520</v>
      </c>
      <c r="C264" s="617"/>
      <c r="D264" s="466">
        <v>5423</v>
      </c>
      <c r="E264" s="617"/>
      <c r="F264" s="617"/>
      <c r="G264" s="617"/>
      <c r="H264" s="617"/>
      <c r="I264" s="617"/>
      <c r="J264" s="617"/>
      <c r="K264" s="1694">
        <f t="shared" ref="K264:K269" si="22">D264</f>
        <v>5423</v>
      </c>
      <c r="L264" s="466">
        <v>5950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6324</v>
      </c>
      <c r="E266" s="617"/>
      <c r="F266" s="617"/>
      <c r="G266" s="617"/>
      <c r="H266" s="617"/>
      <c r="I266" s="617"/>
      <c r="J266" s="617"/>
      <c r="K266" s="1694">
        <f t="shared" si="22"/>
        <v>6324</v>
      </c>
      <c r="L266" s="466">
        <v>6700</v>
      </c>
    </row>
    <row r="267" spans="1:14" x14ac:dyDescent="0.2">
      <c r="A267" s="1526" t="s">
        <v>1008</v>
      </c>
      <c r="B267" s="615">
        <v>2550</v>
      </c>
      <c r="C267" s="617"/>
      <c r="D267" s="466">
        <v>126</v>
      </c>
      <c r="E267" s="617"/>
      <c r="F267" s="617"/>
      <c r="G267" s="617"/>
      <c r="H267" s="617"/>
      <c r="I267" s="617"/>
      <c r="J267" s="617"/>
      <c r="K267" s="1694">
        <f t="shared" si="22"/>
        <v>126</v>
      </c>
      <c r="L267" s="466">
        <v>150</v>
      </c>
    </row>
    <row r="268" spans="1:14" x14ac:dyDescent="0.2">
      <c r="A268" s="1526" t="s">
        <v>102</v>
      </c>
      <c r="B268" s="615">
        <v>2560</v>
      </c>
      <c r="C268" s="617"/>
      <c r="D268" s="466">
        <v>2943</v>
      </c>
      <c r="E268" s="617"/>
      <c r="F268" s="617"/>
      <c r="G268" s="617"/>
      <c r="H268" s="617"/>
      <c r="I268" s="617"/>
      <c r="J268" s="617"/>
      <c r="K268" s="1694">
        <f t="shared" si="22"/>
        <v>2943</v>
      </c>
      <c r="L268" s="466">
        <v>3850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741</v>
      </c>
      <c r="B270" s="1697" t="s">
        <v>35</v>
      </c>
      <c r="C270" s="617"/>
      <c r="D270" s="1692">
        <f>SUM(D263:D269)</f>
        <v>14816</v>
      </c>
      <c r="E270" s="617"/>
      <c r="F270" s="617"/>
      <c r="G270" s="617"/>
      <c r="H270" s="617"/>
      <c r="I270" s="617"/>
      <c r="J270" s="617"/>
      <c r="K270" s="1692">
        <f>SUM(K263:K269)</f>
        <v>14816</v>
      </c>
      <c r="L270" s="1692">
        <f>SUM(L263:L269)</f>
        <v>16650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row>
    <row r="273" spans="1:12" x14ac:dyDescent="0.2">
      <c r="A273" s="1526" t="s">
        <v>626</v>
      </c>
      <c r="B273" s="629">
        <v>2620</v>
      </c>
      <c r="C273" s="617"/>
      <c r="D273" s="466"/>
      <c r="E273" s="617"/>
      <c r="F273" s="617"/>
      <c r="G273" s="617"/>
      <c r="H273" s="617"/>
      <c r="I273" s="617"/>
      <c r="J273" s="617"/>
      <c r="K273" s="1694">
        <f>D273</f>
        <v>0</v>
      </c>
      <c r="L273" s="466"/>
    </row>
    <row r="274" spans="1:12" ht="12" customHeight="1" x14ac:dyDescent="0.2">
      <c r="A274" s="1526" t="s">
        <v>1119</v>
      </c>
      <c r="B274" s="615">
        <v>2630</v>
      </c>
      <c r="C274" s="617"/>
      <c r="D274" s="466"/>
      <c r="E274" s="617"/>
      <c r="F274" s="617"/>
      <c r="G274" s="617"/>
      <c r="H274" s="617"/>
      <c r="I274" s="617"/>
      <c r="J274" s="617"/>
      <c r="K274" s="1694">
        <f>D274</f>
        <v>0</v>
      </c>
      <c r="L274" s="466"/>
    </row>
    <row r="275" spans="1:12" x14ac:dyDescent="0.2">
      <c r="A275" s="1526" t="s">
        <v>421</v>
      </c>
      <c r="B275" s="615">
        <v>2640</v>
      </c>
      <c r="C275" s="617"/>
      <c r="D275" s="466"/>
      <c r="E275" s="617"/>
      <c r="F275" s="617"/>
      <c r="G275" s="617"/>
      <c r="H275" s="617"/>
      <c r="I275" s="617"/>
      <c r="J275" s="617"/>
      <c r="K275" s="1694">
        <f>D275</f>
        <v>0</v>
      </c>
      <c r="L275" s="466"/>
    </row>
    <row r="276" spans="1:12" x14ac:dyDescent="0.2">
      <c r="A276" s="1526" t="s">
        <v>422</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1035</v>
      </c>
      <c r="B278" s="656" t="s">
        <v>593</v>
      </c>
      <c r="C278" s="617"/>
      <c r="D278" s="657"/>
      <c r="E278" s="617"/>
      <c r="F278" s="617"/>
      <c r="G278" s="617"/>
      <c r="H278" s="617"/>
      <c r="I278" s="617"/>
      <c r="J278" s="617"/>
      <c r="K278" s="1707">
        <f>D278</f>
        <v>0</v>
      </c>
      <c r="L278" s="657"/>
    </row>
    <row r="279" spans="1:12" ht="12.75" customHeight="1" thickBot="1" x14ac:dyDescent="0.25">
      <c r="A279" s="1720" t="s">
        <v>863</v>
      </c>
      <c r="B279" s="1703">
        <v>2000</v>
      </c>
      <c r="C279" s="617"/>
      <c r="D279" s="1699">
        <f>SUM(D238,D243,D257,D261,D270,D277,D278)</f>
        <v>20132</v>
      </c>
      <c r="E279" s="617"/>
      <c r="F279" s="617"/>
      <c r="G279" s="617"/>
      <c r="H279" s="617"/>
      <c r="I279" s="617"/>
      <c r="J279" s="617"/>
      <c r="K279" s="1699">
        <f>SUM(K238,K243,K257,K261,K270,K277,K278)</f>
        <v>20132</v>
      </c>
      <c r="L279" s="1699">
        <f>SUM(L238,L243,L257,L261,L270,L277,L278)</f>
        <v>22625</v>
      </c>
    </row>
    <row r="280" spans="1:12" ht="15.75" customHeight="1" thickTop="1" thickBot="1" x14ac:dyDescent="0.25">
      <c r="A280" s="1646" t="s">
        <v>928</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1955</v>
      </c>
      <c r="C282" s="617"/>
      <c r="D282" s="467"/>
      <c r="E282" s="617"/>
      <c r="F282" s="617"/>
      <c r="G282" s="617"/>
      <c r="H282" s="617"/>
      <c r="I282" s="617"/>
      <c r="J282" s="617"/>
      <c r="K282" s="1693">
        <f>D282</f>
        <v>0</v>
      </c>
      <c r="L282" s="467"/>
    </row>
    <row r="283" spans="1:12" x14ac:dyDescent="0.2">
      <c r="A283" s="1526" t="s">
        <v>320</v>
      </c>
      <c r="B283" s="615">
        <v>4120</v>
      </c>
      <c r="C283" s="617"/>
      <c r="D283" s="466"/>
      <c r="E283" s="617"/>
      <c r="F283" s="617"/>
      <c r="G283" s="617"/>
      <c r="H283" s="617"/>
      <c r="I283" s="617"/>
      <c r="J283" s="617"/>
      <c r="K283" s="1693">
        <f>D283</f>
        <v>0</v>
      </c>
      <c r="L283" s="466"/>
    </row>
    <row r="284" spans="1:12" x14ac:dyDescent="0.2">
      <c r="A284" s="1526" t="s">
        <v>719</v>
      </c>
      <c r="B284" s="615">
        <v>4140</v>
      </c>
      <c r="C284" s="617"/>
      <c r="D284" s="467"/>
      <c r="E284" s="617"/>
      <c r="F284" s="617"/>
      <c r="G284" s="617"/>
      <c r="H284" s="617"/>
      <c r="I284" s="617"/>
      <c r="J284" s="617"/>
      <c r="K284" s="1693">
        <f>D284</f>
        <v>0</v>
      </c>
      <c r="L284" s="466"/>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1230</v>
      </c>
      <c r="B290" s="629" t="s">
        <v>636</v>
      </c>
      <c r="C290" s="617"/>
      <c r="D290" s="617"/>
      <c r="E290" s="617"/>
      <c r="F290" s="617"/>
      <c r="G290" s="617"/>
      <c r="H290" s="466"/>
      <c r="I290" s="617"/>
      <c r="J290" s="617"/>
      <c r="K290" s="1693">
        <f>H290</f>
        <v>0</v>
      </c>
      <c r="L290" s="466"/>
    </row>
    <row r="291" spans="1:14" x14ac:dyDescent="0.2">
      <c r="A291" s="1526" t="s">
        <v>91</v>
      </c>
      <c r="B291" s="615" t="s">
        <v>608</v>
      </c>
      <c r="C291" s="617"/>
      <c r="D291" s="617"/>
      <c r="E291" s="617"/>
      <c r="F291" s="617"/>
      <c r="G291" s="617"/>
      <c r="H291" s="466"/>
      <c r="I291" s="617"/>
      <c r="J291" s="617"/>
      <c r="K291" s="1693">
        <f>H291</f>
        <v>0</v>
      </c>
      <c r="L291" s="466"/>
    </row>
    <row r="292" spans="1:14" x14ac:dyDescent="0.2">
      <c r="A292" s="1526" t="s">
        <v>784</v>
      </c>
      <c r="B292" s="615" t="s">
        <v>637</v>
      </c>
      <c r="C292" s="617"/>
      <c r="D292" s="617"/>
      <c r="E292" s="617"/>
      <c r="F292" s="617"/>
      <c r="G292" s="617"/>
      <c r="H292" s="466"/>
      <c r="I292" s="617"/>
      <c r="J292" s="617"/>
      <c r="K292" s="1693">
        <f>H292</f>
        <v>0</v>
      </c>
      <c r="L292" s="466"/>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row>
    <row r="295" spans="1:14" ht="12.75" customHeight="1" thickTop="1" thickBot="1" x14ac:dyDescent="0.25">
      <c r="A295" s="2202" t="s">
        <v>524</v>
      </c>
      <c r="B295" s="2203"/>
      <c r="C295" s="617"/>
      <c r="D295" s="1692">
        <f>SUM(D229,D279,D280,D285)</f>
        <v>30062</v>
      </c>
      <c r="E295" s="617"/>
      <c r="F295" s="617"/>
      <c r="G295" s="617"/>
      <c r="H295" s="1692">
        <f>H293</f>
        <v>0</v>
      </c>
      <c r="I295" s="617"/>
      <c r="J295" s="617"/>
      <c r="K295" s="1692">
        <f>SUM(K229,K279,K280,K285,K293,K294)</f>
        <v>30062</v>
      </c>
      <c r="L295" s="1692">
        <f>SUM(L229,L279,L280,L285,L293,L294)</f>
        <v>33265</v>
      </c>
    </row>
    <row r="296" spans="1:14" ht="13.5" thickTop="1" x14ac:dyDescent="0.2">
      <c r="A296" s="2184" t="s">
        <v>1051</v>
      </c>
      <c r="B296" s="2185"/>
      <c r="C296" s="617"/>
      <c r="D296" s="619"/>
      <c r="E296" s="617"/>
      <c r="F296" s="617"/>
      <c r="G296" s="617"/>
      <c r="H296" s="688"/>
      <c r="I296" s="617"/>
      <c r="J296" s="617"/>
      <c r="K296" s="1706">
        <f>'Revenues 9-14'!G275-'Expenditures 15-22'!K295</f>
        <v>5187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4" t="s">
        <v>145</v>
      </c>
      <c r="B298" s="2188"/>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row>
    <row r="302" spans="1:14" ht="13.5" customHeight="1" x14ac:dyDescent="0.2">
      <c r="A302" s="1539" t="s">
        <v>1035</v>
      </c>
      <c r="B302" s="615" t="s">
        <v>593</v>
      </c>
      <c r="C302" s="466"/>
      <c r="D302" s="466"/>
      <c r="E302" s="466"/>
      <c r="F302" s="466"/>
      <c r="G302" s="466"/>
      <c r="H302" s="466"/>
      <c r="I302" s="467"/>
      <c r="J302" s="467"/>
      <c r="K302" s="1693">
        <f>SUM(C302:J302)</f>
        <v>0</v>
      </c>
      <c r="L302" s="466"/>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320</v>
      </c>
      <c r="B307" s="615">
        <v>4120</v>
      </c>
      <c r="C307" s="617"/>
      <c r="D307" s="617"/>
      <c r="E307" s="467"/>
      <c r="F307" s="617"/>
      <c r="G307" s="617"/>
      <c r="H307" s="467"/>
      <c r="I307" s="477"/>
      <c r="J307" s="617"/>
      <c r="K307" s="1693">
        <f>SUM(E307,H307)</f>
        <v>0</v>
      </c>
      <c r="L307" s="466"/>
    </row>
    <row r="308" spans="1:14" x14ac:dyDescent="0.2">
      <c r="A308" s="1526" t="s">
        <v>719</v>
      </c>
      <c r="B308" s="615">
        <v>4140</v>
      </c>
      <c r="C308" s="617"/>
      <c r="D308" s="617"/>
      <c r="E308" s="467"/>
      <c r="F308" s="617"/>
      <c r="G308" s="617"/>
      <c r="H308" s="467"/>
      <c r="I308" s="477"/>
      <c r="J308" s="617"/>
      <c r="K308" s="1693">
        <f>SUM(E308,H308)</f>
        <v>0</v>
      </c>
      <c r="L308" s="466"/>
    </row>
    <row r="309" spans="1:14" ht="12.75" customHeight="1" x14ac:dyDescent="0.2">
      <c r="A309" s="1530" t="s">
        <v>720</v>
      </c>
      <c r="B309" s="629">
        <v>4190</v>
      </c>
      <c r="C309" s="617"/>
      <c r="D309" s="617"/>
      <c r="E309" s="467"/>
      <c r="F309" s="617"/>
      <c r="G309" s="617"/>
      <c r="H309" s="467"/>
      <c r="I309" s="477"/>
      <c r="J309" s="617"/>
      <c r="K309" s="1693">
        <f>SUM(E309,H309)</f>
        <v>0</v>
      </c>
      <c r="L309" s="466"/>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row>
    <row r="312" spans="1:14" s="675" customFormat="1" ht="12.75" customHeight="1" thickTop="1" thickBot="1" x14ac:dyDescent="0.25">
      <c r="A312" s="2199" t="s">
        <v>293</v>
      </c>
      <c r="B312" s="220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5" t="s">
        <v>1051</v>
      </c>
      <c r="B313" s="219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8" t="s">
        <v>151</v>
      </c>
      <c r="B315" s="220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0" t="s">
        <v>952</v>
      </c>
      <c r="B317" s="2209"/>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298</v>
      </c>
      <c r="C320" s="467"/>
      <c r="D320" s="467"/>
      <c r="E320" s="467">
        <v>9479</v>
      </c>
      <c r="F320" s="467"/>
      <c r="G320" s="467"/>
      <c r="H320" s="467"/>
      <c r="I320" s="467"/>
      <c r="J320" s="467"/>
      <c r="K320" s="1693">
        <f t="shared" ref="K320:K327" si="24">SUM(C320:J320)</f>
        <v>9479</v>
      </c>
      <c r="L320" s="467">
        <v>9900</v>
      </c>
      <c r="M320" s="666"/>
      <c r="N320" s="666"/>
    </row>
    <row r="321" spans="1:14" s="675" customFormat="1" x14ac:dyDescent="0.2">
      <c r="A321" s="1541" t="s">
        <v>316</v>
      </c>
      <c r="B321" s="698" t="s">
        <v>299</v>
      </c>
      <c r="C321" s="467"/>
      <c r="D321" s="467"/>
      <c r="E321" s="467">
        <v>2377</v>
      </c>
      <c r="F321" s="467"/>
      <c r="G321" s="467"/>
      <c r="H321" s="467"/>
      <c r="I321" s="467"/>
      <c r="J321" s="467"/>
      <c r="K321" s="1693">
        <f t="shared" si="24"/>
        <v>2377</v>
      </c>
      <c r="L321" s="467">
        <v>1700</v>
      </c>
      <c r="M321" s="666"/>
      <c r="N321" s="666"/>
    </row>
    <row r="322" spans="1:14" s="675" customFormat="1" x14ac:dyDescent="0.2">
      <c r="A322" s="1541" t="s">
        <v>256</v>
      </c>
      <c r="B322" s="698" t="s">
        <v>300</v>
      </c>
      <c r="C322" s="467"/>
      <c r="D322" s="467"/>
      <c r="E322" s="467">
        <v>9070</v>
      </c>
      <c r="F322" s="467"/>
      <c r="G322" s="467"/>
      <c r="H322" s="467"/>
      <c r="I322" s="467"/>
      <c r="J322" s="467"/>
      <c r="K322" s="1693">
        <f t="shared" si="24"/>
        <v>9070</v>
      </c>
      <c r="L322" s="467">
        <v>9000</v>
      </c>
      <c r="M322" s="666"/>
      <c r="N322" s="666"/>
    </row>
    <row r="323" spans="1:14" s="675" customFormat="1" x14ac:dyDescent="0.2">
      <c r="A323" s="1541" t="s">
        <v>724</v>
      </c>
      <c r="B323" s="698" t="s">
        <v>301</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c r="M324" s="666"/>
      <c r="N324" s="666"/>
    </row>
    <row r="325" spans="1:14" s="675" customFormat="1" ht="22.5" x14ac:dyDescent="0.2">
      <c r="A325" s="1541" t="s">
        <v>1085</v>
      </c>
      <c r="B325" s="699" t="s">
        <v>303</v>
      </c>
      <c r="C325" s="467">
        <v>39885</v>
      </c>
      <c r="D325" s="467">
        <v>3344</v>
      </c>
      <c r="E325" s="467">
        <v>4708</v>
      </c>
      <c r="F325" s="467"/>
      <c r="G325" s="467"/>
      <c r="H325" s="467"/>
      <c r="I325" s="467"/>
      <c r="J325" s="467"/>
      <c r="K325" s="1693">
        <f t="shared" si="24"/>
        <v>47937</v>
      </c>
      <c r="L325" s="467">
        <v>53370</v>
      </c>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c r="M326" s="666"/>
      <c r="N326" s="666"/>
    </row>
    <row r="327" spans="1:14" s="675" customFormat="1" x14ac:dyDescent="0.2">
      <c r="A327" s="1541" t="s">
        <v>1026</v>
      </c>
      <c r="B327" s="698" t="s">
        <v>305</v>
      </c>
      <c r="C327" s="467"/>
      <c r="D327" s="467"/>
      <c r="E327" s="467">
        <v>3720</v>
      </c>
      <c r="F327" s="467"/>
      <c r="G327" s="467"/>
      <c r="H327" s="467"/>
      <c r="I327" s="467"/>
      <c r="J327" s="467"/>
      <c r="K327" s="1693">
        <f t="shared" si="24"/>
        <v>3720</v>
      </c>
      <c r="L327" s="467">
        <v>5000</v>
      </c>
      <c r="M327" s="666"/>
      <c r="N327" s="666"/>
    </row>
    <row r="328" spans="1:14" s="675" customFormat="1" x14ac:dyDescent="0.2">
      <c r="A328" s="1542" t="s">
        <v>490</v>
      </c>
      <c r="B328" s="691" t="s">
        <v>1192</v>
      </c>
      <c r="C328" s="474"/>
      <c r="D328" s="474"/>
      <c r="E328" s="474"/>
      <c r="F328" s="474"/>
      <c r="G328" s="474"/>
      <c r="H328" s="474"/>
      <c r="I328" s="474"/>
      <c r="J328" s="474"/>
      <c r="K328" s="1721">
        <f>SUM(C328:J328)</f>
        <v>0</v>
      </c>
      <c r="L328" s="474"/>
      <c r="M328" s="666"/>
      <c r="N328" s="666"/>
    </row>
    <row r="329" spans="1:14" s="675" customFormat="1" x14ac:dyDescent="0.2">
      <c r="A329" s="1542" t="s">
        <v>1193</v>
      </c>
      <c r="B329" s="691" t="s">
        <v>1194</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739</v>
      </c>
      <c r="B330" s="1691" t="s">
        <v>588</v>
      </c>
      <c r="C330" s="1692">
        <f>SUM(C319:C329)</f>
        <v>39885</v>
      </c>
      <c r="D330" s="1692">
        <f t="shared" ref="D330:J330" si="25">SUM(D319:D329)</f>
        <v>3344</v>
      </c>
      <c r="E330" s="1692">
        <f t="shared" si="25"/>
        <v>29354</v>
      </c>
      <c r="F330" s="1692">
        <f t="shared" si="25"/>
        <v>0</v>
      </c>
      <c r="G330" s="1692">
        <f t="shared" si="25"/>
        <v>0</v>
      </c>
      <c r="H330" s="1692">
        <f t="shared" si="25"/>
        <v>0</v>
      </c>
      <c r="I330" s="1692">
        <f t="shared" si="25"/>
        <v>0</v>
      </c>
      <c r="J330" s="1692">
        <f t="shared" si="25"/>
        <v>0</v>
      </c>
      <c r="K330" s="1692">
        <f>SUM(K319:K329)</f>
        <v>72583</v>
      </c>
      <c r="L330" s="1692">
        <f>SUM(L319:L329)</f>
        <v>78970</v>
      </c>
      <c r="M330" s="666"/>
      <c r="N330" s="666"/>
    </row>
    <row r="331" spans="1:14" s="675" customFormat="1" ht="12.75" customHeight="1" thickTop="1" x14ac:dyDescent="0.2">
      <c r="A331" s="1854" t="s">
        <v>1961</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320</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row>
    <row r="338" spans="1:14" ht="12.75" customHeight="1" x14ac:dyDescent="0.2">
      <c r="A338" s="1540" t="s">
        <v>1230</v>
      </c>
      <c r="B338" s="691" t="s">
        <v>636</v>
      </c>
      <c r="C338" s="639"/>
      <c r="D338" s="639"/>
      <c r="E338" s="639"/>
      <c r="F338" s="639"/>
      <c r="G338" s="639"/>
      <c r="H338" s="478"/>
      <c r="I338" s="639"/>
      <c r="J338" s="639"/>
      <c r="K338" s="1693">
        <f>H338</f>
        <v>0</v>
      </c>
      <c r="L338" s="478"/>
    </row>
    <row r="339" spans="1:14" x14ac:dyDescent="0.2">
      <c r="A339" s="1526" t="s">
        <v>955</v>
      </c>
      <c r="B339" s="629">
        <v>5150</v>
      </c>
      <c r="C339" s="639"/>
      <c r="D339" s="639"/>
      <c r="E339" s="639"/>
      <c r="F339" s="639"/>
      <c r="G339" s="639"/>
      <c r="H339" s="467"/>
      <c r="I339" s="639"/>
      <c r="J339" s="639"/>
      <c r="K339" s="1693">
        <f>H339</f>
        <v>0</v>
      </c>
      <c r="L339" s="467"/>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row>
    <row r="342" spans="1:14" ht="12.75" customHeight="1" thickTop="1" thickBot="1" x14ac:dyDescent="0.25">
      <c r="A342" s="1708" t="s">
        <v>524</v>
      </c>
      <c r="B342" s="1723"/>
      <c r="C342" s="1692">
        <f>SUM(C330)</f>
        <v>39885</v>
      </c>
      <c r="D342" s="1692">
        <f>SUM(D330)</f>
        <v>3344</v>
      </c>
      <c r="E342" s="1692">
        <f>SUM(E330)</f>
        <v>29354</v>
      </c>
      <c r="F342" s="1692">
        <f>SUM(F330)</f>
        <v>0</v>
      </c>
      <c r="G342" s="1692">
        <f>SUM(G330)</f>
        <v>0</v>
      </c>
      <c r="H342" s="1692">
        <f>SUM(H330,H334,H340)</f>
        <v>0</v>
      </c>
      <c r="I342" s="1692">
        <f>SUM(I330)</f>
        <v>0</v>
      </c>
      <c r="J342" s="1692">
        <f>SUM(J330)</f>
        <v>0</v>
      </c>
      <c r="K342" s="1692">
        <f>SUM(K330,K334,K340)</f>
        <v>72583</v>
      </c>
      <c r="L342" s="1699">
        <f>SUM(L330,L340,L341)</f>
        <v>78970</v>
      </c>
    </row>
    <row r="343" spans="1:14" ht="12.75" customHeight="1" thickTop="1" x14ac:dyDescent="0.2">
      <c r="A343" s="2197" t="s">
        <v>1051</v>
      </c>
      <c r="B343" s="2198"/>
      <c r="C343" s="617"/>
      <c r="D343" s="617"/>
      <c r="E343" s="617"/>
      <c r="F343" s="617"/>
      <c r="G343" s="617"/>
      <c r="H343" s="617"/>
      <c r="I343" s="617"/>
      <c r="J343" s="617"/>
      <c r="K343" s="1706">
        <f>'Revenues 9-14'!J275-'Expenditures 15-22'!K342</f>
        <v>27277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7" t="s">
        <v>1021</v>
      </c>
      <c r="B345" s="2188"/>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1489</v>
      </c>
      <c r="F349" s="466"/>
      <c r="G349" s="466">
        <v>3905</v>
      </c>
      <c r="H349" s="466"/>
      <c r="I349" s="467"/>
      <c r="J349" s="467"/>
      <c r="K349" s="1693">
        <f>SUM(C349:J349)</f>
        <v>5394</v>
      </c>
      <c r="L349" s="466">
        <v>14300</v>
      </c>
    </row>
    <row r="350" spans="1:14" ht="12.75" customHeight="1" thickBot="1" x14ac:dyDescent="0.25">
      <c r="A350" s="1690" t="s">
        <v>741</v>
      </c>
      <c r="B350" s="1691" t="s">
        <v>35</v>
      </c>
      <c r="C350" s="1692">
        <f>SUM(C348:C349)</f>
        <v>0</v>
      </c>
      <c r="D350" s="1692">
        <f t="shared" ref="D350:L350" si="26">SUM(D348:D349)</f>
        <v>0</v>
      </c>
      <c r="E350" s="1692">
        <f t="shared" si="26"/>
        <v>1489</v>
      </c>
      <c r="F350" s="1692">
        <f t="shared" si="26"/>
        <v>0</v>
      </c>
      <c r="G350" s="1692">
        <f t="shared" si="26"/>
        <v>3905</v>
      </c>
      <c r="H350" s="1692">
        <f t="shared" si="26"/>
        <v>0</v>
      </c>
      <c r="I350" s="1692">
        <f t="shared" si="26"/>
        <v>0</v>
      </c>
      <c r="J350" s="1692">
        <f t="shared" si="26"/>
        <v>0</v>
      </c>
      <c r="K350" s="1692">
        <f t="shared" si="26"/>
        <v>5394</v>
      </c>
      <c r="L350" s="1692">
        <f t="shared" si="26"/>
        <v>14300</v>
      </c>
    </row>
    <row r="351" spans="1:14" ht="12.75" customHeight="1" thickTop="1" x14ac:dyDescent="0.2">
      <c r="A351" s="1532" t="s">
        <v>1035</v>
      </c>
      <c r="B351" s="644" t="s">
        <v>593</v>
      </c>
      <c r="C351" s="481"/>
      <c r="D351" s="481"/>
      <c r="E351" s="481"/>
      <c r="F351" s="481"/>
      <c r="G351" s="481"/>
      <c r="H351" s="481"/>
      <c r="I351" s="478"/>
      <c r="J351" s="478"/>
      <c r="K351" s="616">
        <f>SUM(C351:J351)</f>
        <v>0</v>
      </c>
      <c r="L351" s="481"/>
    </row>
    <row r="352" spans="1:14" ht="12.75" customHeight="1" thickBot="1" x14ac:dyDescent="0.25">
      <c r="A352" s="1690" t="s">
        <v>643</v>
      </c>
      <c r="B352" s="1697" t="s">
        <v>588</v>
      </c>
      <c r="C352" s="1692">
        <f>SUM(C350:C351)</f>
        <v>0</v>
      </c>
      <c r="D352" s="1692">
        <f t="shared" ref="D352:L352" si="27">SUM(D350:D351)</f>
        <v>0</v>
      </c>
      <c r="E352" s="1692">
        <f t="shared" si="27"/>
        <v>1489</v>
      </c>
      <c r="F352" s="1692">
        <f t="shared" si="27"/>
        <v>0</v>
      </c>
      <c r="G352" s="1692">
        <f t="shared" si="27"/>
        <v>3905</v>
      </c>
      <c r="H352" s="1692">
        <f t="shared" si="27"/>
        <v>0</v>
      </c>
      <c r="I352" s="1692">
        <f t="shared" si="27"/>
        <v>0</v>
      </c>
      <c r="J352" s="1692">
        <f t="shared" si="27"/>
        <v>0</v>
      </c>
      <c r="K352" s="1692">
        <f t="shared" si="27"/>
        <v>5394</v>
      </c>
      <c r="L352" s="1692">
        <f t="shared" si="27"/>
        <v>14300</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720</v>
      </c>
      <c r="B356" s="684" t="s">
        <v>577</v>
      </c>
      <c r="C356" s="617"/>
      <c r="D356" s="617"/>
      <c r="E356" s="617"/>
      <c r="F356" s="617"/>
      <c r="G356" s="617"/>
      <c r="H356" s="479"/>
      <c r="I356" s="702"/>
      <c r="J356" s="617"/>
      <c r="K356" s="1762">
        <f>H356</f>
        <v>0</v>
      </c>
      <c r="L356" s="479"/>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638</v>
      </c>
      <c r="B361" s="603" t="s">
        <v>637</v>
      </c>
      <c r="C361" s="617"/>
      <c r="D361" s="617"/>
      <c r="E361" s="617"/>
      <c r="F361" s="617"/>
      <c r="G361" s="617"/>
      <c r="H361" s="467"/>
      <c r="I361" s="617"/>
      <c r="J361" s="617"/>
      <c r="K361" s="1693">
        <f>SUM(C361:J361)</f>
        <v>0</v>
      </c>
      <c r="L361" s="466"/>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c r="M366" s="610"/>
      <c r="N366" s="610"/>
    </row>
    <row r="367" spans="1:14" ht="12.75" customHeight="1" thickTop="1" thickBot="1" x14ac:dyDescent="0.25">
      <c r="A367" s="1714" t="s">
        <v>524</v>
      </c>
      <c r="B367" s="1726"/>
      <c r="C367" s="1692">
        <f t="shared" ref="C367:L367" si="28">SUM(C352,C357,C365,C366)</f>
        <v>0</v>
      </c>
      <c r="D367" s="1692">
        <f t="shared" si="28"/>
        <v>0</v>
      </c>
      <c r="E367" s="1692">
        <f t="shared" si="28"/>
        <v>1489</v>
      </c>
      <c r="F367" s="1692">
        <f t="shared" si="28"/>
        <v>0</v>
      </c>
      <c r="G367" s="1692">
        <f t="shared" si="28"/>
        <v>3905</v>
      </c>
      <c r="H367" s="1692">
        <f t="shared" si="28"/>
        <v>0</v>
      </c>
      <c r="I367" s="1692">
        <f t="shared" si="28"/>
        <v>0</v>
      </c>
      <c r="J367" s="1692">
        <f t="shared" si="28"/>
        <v>0</v>
      </c>
      <c r="K367" s="1692">
        <f t="shared" si="28"/>
        <v>5394</v>
      </c>
      <c r="L367" s="1692">
        <f t="shared" si="28"/>
        <v>14300</v>
      </c>
    </row>
    <row r="368" spans="1:14" ht="13.5" thickTop="1" x14ac:dyDescent="0.2">
      <c r="A368" s="2184" t="s">
        <v>1051</v>
      </c>
      <c r="B368" s="2185"/>
      <c r="C368" s="655"/>
      <c r="D368" s="655"/>
      <c r="E368" s="627"/>
      <c r="F368" s="627"/>
      <c r="G368" s="627"/>
      <c r="H368" s="627"/>
      <c r="I368" s="627"/>
      <c r="J368" s="624"/>
      <c r="K368" s="1693">
        <f>'Revenues 9-14'!K275-'Expenditures 15-22'!K367</f>
        <v>6323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1" t="s">
        <v>1903</v>
      </c>
      <c r="B2" s="1550" t="s">
        <v>2035</v>
      </c>
      <c r="C2" s="715" t="s">
        <v>1908</v>
      </c>
      <c r="D2" s="715" t="s">
        <v>1909</v>
      </c>
      <c r="E2" s="715" t="s">
        <v>1910</v>
      </c>
      <c r="F2" s="715" t="s">
        <v>1911</v>
      </c>
    </row>
    <row r="3" spans="1:6" ht="12" customHeight="1" x14ac:dyDescent="0.2">
      <c r="A3" s="2212"/>
      <c r="B3" s="1547"/>
      <c r="C3" s="1548"/>
      <c r="D3" s="1549" t="s">
        <v>274</v>
      </c>
      <c r="E3" s="1548"/>
      <c r="F3" s="1549" t="s">
        <v>275</v>
      </c>
    </row>
    <row r="4" spans="1:6" ht="13.7" customHeight="1" x14ac:dyDescent="0.2">
      <c r="A4" s="716" t="s">
        <v>1215</v>
      </c>
      <c r="B4" s="1771">
        <f>'Revenues 9-14'!C5</f>
        <v>257707</v>
      </c>
      <c r="C4" s="1546"/>
      <c r="D4" s="1774">
        <f>B4-C4</f>
        <v>257707</v>
      </c>
      <c r="E4" s="1546">
        <v>269823.07</v>
      </c>
      <c r="F4" s="1774">
        <f>E4-C4</f>
        <v>269823.07</v>
      </c>
    </row>
    <row r="5" spans="1:6" ht="13.7" customHeight="1" x14ac:dyDescent="0.2">
      <c r="A5" s="716" t="s">
        <v>923</v>
      </c>
      <c r="B5" s="1772">
        <f>'Revenues 9-14'!D5</f>
        <v>58570</v>
      </c>
      <c r="C5" s="585"/>
      <c r="D5" s="1775">
        <f t="shared" ref="D5:D18" si="0">B5-C5</f>
        <v>58570</v>
      </c>
      <c r="E5" s="585">
        <v>61323.43</v>
      </c>
      <c r="F5" s="1775">
        <f>E5-C5</f>
        <v>61323.43</v>
      </c>
    </row>
    <row r="6" spans="1:6" ht="13.7" customHeight="1" x14ac:dyDescent="0.2">
      <c r="A6" s="716" t="s">
        <v>429</v>
      </c>
      <c r="B6" s="1772">
        <f>'Revenues 9-14'!E5</f>
        <v>165303</v>
      </c>
      <c r="C6" s="585"/>
      <c r="D6" s="1775">
        <f t="shared" si="0"/>
        <v>165303</v>
      </c>
      <c r="E6" s="585">
        <v>165521.74</v>
      </c>
      <c r="F6" s="1775">
        <f t="shared" ref="F6:F18" si="1">E6-C6</f>
        <v>165521.74</v>
      </c>
    </row>
    <row r="7" spans="1:6" ht="13.7" customHeight="1" x14ac:dyDescent="0.2">
      <c r="A7" s="716" t="s">
        <v>157</v>
      </c>
      <c r="B7" s="1772">
        <f>'Revenues 9-14'!F5</f>
        <v>28114</v>
      </c>
      <c r="C7" s="585"/>
      <c r="D7" s="1775">
        <f t="shared" si="0"/>
        <v>28114</v>
      </c>
      <c r="E7" s="585">
        <v>29435.24</v>
      </c>
      <c r="F7" s="1775">
        <f t="shared" si="1"/>
        <v>29435.24</v>
      </c>
    </row>
    <row r="8" spans="1:6" ht="13.7" customHeight="1" x14ac:dyDescent="0.2">
      <c r="A8" s="716" t="s">
        <v>1239</v>
      </c>
      <c r="B8" s="1772">
        <f>'Revenues 9-14'!G5</f>
        <v>16472</v>
      </c>
      <c r="C8" s="585"/>
      <c r="D8" s="1775">
        <f t="shared" si="0"/>
        <v>16472</v>
      </c>
      <c r="E8" s="585">
        <v>16500.91</v>
      </c>
      <c r="F8" s="1775">
        <f t="shared" si="1"/>
        <v>16500.91</v>
      </c>
    </row>
    <row r="9" spans="1:6" ht="13.7" customHeight="1" x14ac:dyDescent="0.2">
      <c r="A9" s="716" t="s">
        <v>426</v>
      </c>
      <c r="B9" s="1772">
        <f>'Revenues 9-14'!H5</f>
        <v>0</v>
      </c>
      <c r="C9" s="585"/>
      <c r="D9" s="1775">
        <f t="shared" si="0"/>
        <v>0</v>
      </c>
      <c r="E9" s="585">
        <v>0</v>
      </c>
      <c r="F9" s="1775">
        <f t="shared" si="1"/>
        <v>0</v>
      </c>
    </row>
    <row r="10" spans="1:6" ht="13.7" customHeight="1" x14ac:dyDescent="0.2">
      <c r="A10" s="716" t="s">
        <v>425</v>
      </c>
      <c r="B10" s="1772">
        <f>'Revenues 9-14'!I5</f>
        <v>11714</v>
      </c>
      <c r="C10" s="585"/>
      <c r="D10" s="1775">
        <f t="shared" si="0"/>
        <v>11714</v>
      </c>
      <c r="E10" s="585">
        <v>12264.69</v>
      </c>
      <c r="F10" s="1775">
        <f t="shared" si="1"/>
        <v>12264.69</v>
      </c>
    </row>
    <row r="11" spans="1:6" x14ac:dyDescent="0.2">
      <c r="A11" s="716" t="s">
        <v>427</v>
      </c>
      <c r="B11" s="1772">
        <f>'Revenues 9-14'!J5</f>
        <v>99834</v>
      </c>
      <c r="C11" s="585"/>
      <c r="D11" s="1775">
        <f t="shared" si="0"/>
        <v>99834</v>
      </c>
      <c r="E11" s="585">
        <v>99998.88</v>
      </c>
      <c r="F11" s="1775">
        <f t="shared" si="1"/>
        <v>99998.88</v>
      </c>
    </row>
    <row r="12" spans="1:6" ht="13.7" customHeight="1" x14ac:dyDescent="0.2">
      <c r="A12" s="716" t="s">
        <v>159</v>
      </c>
      <c r="B12" s="1772">
        <f>'Revenues 9-14'!K5</f>
        <v>11714</v>
      </c>
      <c r="C12" s="585"/>
      <c r="D12" s="1775">
        <f t="shared" si="0"/>
        <v>11714</v>
      </c>
      <c r="E12" s="585">
        <v>12264.69</v>
      </c>
      <c r="F12" s="1775">
        <f t="shared" si="1"/>
        <v>12264.69</v>
      </c>
    </row>
    <row r="13" spans="1:6" ht="13.7" customHeight="1" x14ac:dyDescent="0.2">
      <c r="A13" s="716" t="s">
        <v>991</v>
      </c>
      <c r="B13" s="1772">
        <f>SUM('Revenues 9-14'!C6:D6)</f>
        <v>11717</v>
      </c>
      <c r="C13" s="585"/>
      <c r="D13" s="1775">
        <f t="shared" si="0"/>
        <v>11717</v>
      </c>
      <c r="E13" s="585">
        <v>12264.69</v>
      </c>
      <c r="F13" s="1775">
        <f t="shared" si="1"/>
        <v>12264.69</v>
      </c>
    </row>
    <row r="14" spans="1:6" ht="13.7" customHeight="1" x14ac:dyDescent="0.2">
      <c r="A14" s="716" t="s">
        <v>428</v>
      </c>
      <c r="B14" s="1772">
        <f>SUM('Revenues 9-14'!C7:D7,'Revenues 9-14'!F7:H7)</f>
        <v>4687</v>
      </c>
      <c r="C14" s="585"/>
      <c r="D14" s="1775">
        <f t="shared" si="0"/>
        <v>4687</v>
      </c>
      <c r="E14" s="585">
        <v>4905.87</v>
      </c>
      <c r="F14" s="1775">
        <f t="shared" si="1"/>
        <v>4905.87</v>
      </c>
    </row>
    <row r="15" spans="1:6" ht="13.7" customHeight="1" x14ac:dyDescent="0.2">
      <c r="A15" s="716" t="s">
        <v>1218</v>
      </c>
      <c r="B15" s="1772">
        <f>'Revenues 9-14'!E9</f>
        <v>0</v>
      </c>
      <c r="C15" s="585"/>
      <c r="D15" s="1775">
        <f t="shared" si="0"/>
        <v>0</v>
      </c>
      <c r="E15" s="585">
        <v>0</v>
      </c>
      <c r="F15" s="1775">
        <f t="shared" si="1"/>
        <v>0</v>
      </c>
    </row>
    <row r="16" spans="1:6" ht="13.7" customHeight="1" x14ac:dyDescent="0.2">
      <c r="A16" s="716" t="s">
        <v>1219</v>
      </c>
      <c r="B16" s="1772">
        <f>'Revenues 9-14'!G8</f>
        <v>18473</v>
      </c>
      <c r="C16" s="585"/>
      <c r="D16" s="1775">
        <f t="shared" si="0"/>
        <v>18473</v>
      </c>
      <c r="E16" s="585">
        <v>18500.05</v>
      </c>
      <c r="F16" s="1775">
        <f t="shared" si="1"/>
        <v>18500.05</v>
      </c>
    </row>
    <row r="17" spans="1:6" ht="13.7" customHeight="1" x14ac:dyDescent="0.2">
      <c r="A17" s="716" t="s">
        <v>1220</v>
      </c>
      <c r="B17" s="1772">
        <f>'Revenues 9-14'!C10</f>
        <v>0</v>
      </c>
      <c r="C17" s="585"/>
      <c r="D17" s="1775">
        <f t="shared" si="0"/>
        <v>0</v>
      </c>
      <c r="E17" s="585">
        <v>0</v>
      </c>
      <c r="F17" s="1775">
        <f t="shared" si="1"/>
        <v>0</v>
      </c>
    </row>
    <row r="18" spans="1:6" ht="13.7" customHeight="1" x14ac:dyDescent="0.2">
      <c r="A18" s="716" t="s">
        <v>784</v>
      </c>
      <c r="B18" s="1772">
        <f>SUM('Revenues 9-14'!C11:K11)</f>
        <v>0</v>
      </c>
      <c r="C18" s="585"/>
      <c r="D18" s="1775">
        <f t="shared" si="0"/>
        <v>0</v>
      </c>
      <c r="E18" s="585">
        <v>0</v>
      </c>
      <c r="F18" s="1775">
        <f t="shared" si="1"/>
        <v>0</v>
      </c>
    </row>
    <row r="19" spans="1:6" ht="13.7" customHeight="1" thickBot="1" x14ac:dyDescent="0.25">
      <c r="A19" s="1776" t="s">
        <v>1221</v>
      </c>
      <c r="B19" s="1773">
        <f>SUM(B4:B18)</f>
        <v>684305</v>
      </c>
      <c r="C19" s="1773">
        <f>SUM(C4:C18)</f>
        <v>0</v>
      </c>
      <c r="D19" s="1773">
        <f>SUM(D4:D18)</f>
        <v>684305</v>
      </c>
      <c r="E19" s="1773">
        <f>SUM(E4:E18)</f>
        <v>702803.25999999989</v>
      </c>
      <c r="F19" s="1773">
        <f>SUM(F4:F18)</f>
        <v>702803.25999999989</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3" t="s">
        <v>648</v>
      </c>
      <c r="B1" s="2231"/>
      <c r="C1" s="722"/>
    </row>
    <row r="2" spans="1:7" ht="33.75" x14ac:dyDescent="0.2">
      <c r="A2" s="2238" t="s">
        <v>1903</v>
      </c>
      <c r="B2" s="2239"/>
      <c r="C2" s="1909" t="s">
        <v>2036</v>
      </c>
      <c r="D2" s="724" t="s">
        <v>2043</v>
      </c>
      <c r="E2" s="724" t="s">
        <v>2044</v>
      </c>
      <c r="F2" s="1909" t="s">
        <v>2037</v>
      </c>
    </row>
    <row r="3" spans="1:7" ht="15.75" customHeight="1" x14ac:dyDescent="0.2">
      <c r="A3" s="2240" t="s">
        <v>1174</v>
      </c>
      <c r="B3" s="2241"/>
      <c r="C3" s="2234"/>
      <c r="D3" s="2235"/>
      <c r="E3" s="2235"/>
      <c r="F3" s="2236"/>
    </row>
    <row r="4" spans="1:7" ht="12.75" customHeight="1" thickBot="1" x14ac:dyDescent="0.25">
      <c r="A4" s="2228" t="s">
        <v>649</v>
      </c>
      <c r="B4" s="2229"/>
      <c r="C4" s="581"/>
      <c r="D4" s="581"/>
      <c r="E4" s="581"/>
      <c r="F4" s="1777">
        <f>SUM(C4+D4)-E4</f>
        <v>0</v>
      </c>
    </row>
    <row r="5" spans="1:7" ht="15.75" customHeight="1" thickTop="1" x14ac:dyDescent="0.2">
      <c r="A5" s="2232" t="s">
        <v>1170</v>
      </c>
      <c r="B5" s="2227"/>
      <c r="C5" s="2221"/>
      <c r="D5" s="2222"/>
      <c r="E5" s="2222"/>
      <c r="F5" s="222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24" t="s">
        <v>650</v>
      </c>
      <c r="B15" s="2225"/>
      <c r="C15" s="1777">
        <f>SUM(C6:C14)</f>
        <v>0</v>
      </c>
      <c r="D15" s="1777">
        <f>SUM(D6:D14)</f>
        <v>0</v>
      </c>
      <c r="E15" s="1777">
        <f>SUM(E6:E14)</f>
        <v>0</v>
      </c>
      <c r="F15" s="1777">
        <f>SUM(F6:F14)</f>
        <v>0</v>
      </c>
      <c r="G15" s="552"/>
    </row>
    <row r="16" spans="1:7" s="202" customFormat="1" ht="15.75" customHeight="1" thickTop="1" x14ac:dyDescent="0.2">
      <c r="A16" s="2237" t="s">
        <v>1171</v>
      </c>
      <c r="B16" s="2227"/>
      <c r="C16" s="2221"/>
      <c r="D16" s="2222"/>
      <c r="E16" s="2222"/>
      <c r="F16" s="2223"/>
    </row>
    <row r="17" spans="1:11" ht="12.75" customHeight="1" thickBot="1" x14ac:dyDescent="0.25">
      <c r="A17" s="2219" t="s">
        <v>66</v>
      </c>
      <c r="B17" s="2220"/>
      <c r="C17" s="727"/>
      <c r="D17" s="585"/>
      <c r="E17" s="727"/>
      <c r="F17" s="1777">
        <f>SUM(C17+D17)-E17</f>
        <v>0</v>
      </c>
    </row>
    <row r="18" spans="1:11" ht="12.75" customHeight="1" thickTop="1" thickBot="1" x14ac:dyDescent="0.25">
      <c r="A18" s="2219" t="s">
        <v>6</v>
      </c>
      <c r="B18" s="2220"/>
      <c r="C18" s="727"/>
      <c r="D18" s="585"/>
      <c r="E18" s="727"/>
      <c r="F18" s="1777">
        <f>SUM(C18+D18)-E18</f>
        <v>0</v>
      </c>
    </row>
    <row r="19" spans="1:11" ht="12.75" customHeight="1" thickTop="1" thickBot="1" x14ac:dyDescent="0.25">
      <c r="A19" s="2219" t="s">
        <v>404</v>
      </c>
      <c r="B19" s="2220"/>
      <c r="C19" s="727"/>
      <c r="D19" s="585"/>
      <c r="E19" s="727"/>
      <c r="F19" s="1777">
        <f>SUM(C19+D19)-E19</f>
        <v>0</v>
      </c>
    </row>
    <row r="20" spans="1:11" ht="12.75" customHeight="1" thickTop="1" thickBot="1" x14ac:dyDescent="0.25">
      <c r="A20" s="2219" t="s">
        <v>466</v>
      </c>
      <c r="B20" s="2220"/>
      <c r="C20" s="727"/>
      <c r="D20" s="585"/>
      <c r="E20" s="727"/>
      <c r="F20" s="1777">
        <f>SUM(C20+D20)-E20</f>
        <v>0</v>
      </c>
    </row>
    <row r="21" spans="1:11" ht="14.25" thickTop="1" thickBot="1" x14ac:dyDescent="0.25">
      <c r="A21" s="2224" t="s">
        <v>651</v>
      </c>
      <c r="B21" s="2225"/>
      <c r="C21" s="1777">
        <f>SUM(C17:C20)</f>
        <v>0</v>
      </c>
      <c r="D21" s="1777">
        <f>SUM(D17:D20)</f>
        <v>0</v>
      </c>
      <c r="E21" s="1777">
        <f>SUM(E17:E20)</f>
        <v>0</v>
      </c>
      <c r="F21" s="1777">
        <f>SUM(F17:F20)</f>
        <v>0</v>
      </c>
      <c r="G21" s="552"/>
    </row>
    <row r="22" spans="1:11" ht="15.75" customHeight="1" thickTop="1" x14ac:dyDescent="0.2">
      <c r="A22" s="2226" t="s">
        <v>1172</v>
      </c>
      <c r="B22" s="2227"/>
      <c r="C22" s="2221"/>
      <c r="D22" s="2222"/>
      <c r="E22" s="2222"/>
      <c r="F22" s="2223"/>
    </row>
    <row r="23" spans="1:11" ht="13.5" thickBot="1" x14ac:dyDescent="0.25">
      <c r="A23" s="2228" t="s">
        <v>652</v>
      </c>
      <c r="B23" s="2229"/>
      <c r="C23" s="581"/>
      <c r="D23" s="581"/>
      <c r="E23" s="581"/>
      <c r="F23" s="1777">
        <f>SUM(C23+D23)-E23</f>
        <v>0</v>
      </c>
      <c r="G23" s="552"/>
    </row>
    <row r="24" spans="1:11" ht="15.75" customHeight="1" thickTop="1" x14ac:dyDescent="0.2">
      <c r="A24" s="2226" t="s">
        <v>1173</v>
      </c>
      <c r="B24" s="2227"/>
      <c r="C24" s="2221"/>
      <c r="D24" s="2222"/>
      <c r="E24" s="2222"/>
      <c r="F24" s="2223"/>
    </row>
    <row r="25" spans="1:11" ht="13.5" thickBot="1" x14ac:dyDescent="0.25">
      <c r="A25" s="2228" t="s">
        <v>653</v>
      </c>
      <c r="B25" s="2229"/>
      <c r="C25" s="581"/>
      <c r="D25" s="581"/>
      <c r="E25" s="581"/>
      <c r="F25" s="1777">
        <f>SUM(C25+D25)-E25</f>
        <v>0</v>
      </c>
      <c r="G25" s="552"/>
    </row>
    <row r="26" spans="1:11" ht="15.75" customHeight="1" thickTop="1" x14ac:dyDescent="0.2">
      <c r="A26" s="2232" t="s">
        <v>676</v>
      </c>
      <c r="B26" s="2227"/>
      <c r="C26" s="728"/>
      <c r="D26" s="728"/>
      <c r="E26" s="728"/>
      <c r="F26" s="729"/>
    </row>
    <row r="27" spans="1:11" ht="13.5" thickBot="1" x14ac:dyDescent="0.25">
      <c r="A27" s="2224" t="s">
        <v>1128</v>
      </c>
      <c r="B27" s="2225"/>
      <c r="C27" s="585"/>
      <c r="D27" s="585"/>
      <c r="E27" s="585"/>
      <c r="F27" s="1777">
        <f>SUM(C27+D27)-E27</f>
        <v>0</v>
      </c>
      <c r="G27" s="552"/>
    </row>
    <row r="28" spans="1:11" ht="7.5" customHeight="1" thickTop="1" x14ac:dyDescent="0.2">
      <c r="A28" s="594"/>
    </row>
    <row r="29" spans="1:11" ht="23.25" customHeight="1" x14ac:dyDescent="0.2">
      <c r="A29" s="2230" t="s">
        <v>601</v>
      </c>
      <c r="B29" s="2231"/>
      <c r="C29" s="730"/>
      <c r="D29" s="730"/>
      <c r="E29" s="730"/>
      <c r="F29" s="730"/>
      <c r="G29" s="730"/>
      <c r="H29" s="730"/>
      <c r="I29" s="730"/>
      <c r="J29" s="730"/>
    </row>
    <row r="30" spans="1:11" ht="33.75" x14ac:dyDescent="0.2">
      <c r="A30" s="1551" t="s">
        <v>1129</v>
      </c>
      <c r="B30" s="731" t="s">
        <v>1184</v>
      </c>
      <c r="C30" s="1910" t="s">
        <v>602</v>
      </c>
      <c r="D30" s="1910" t="s">
        <v>1770</v>
      </c>
      <c r="E30" s="1910" t="s">
        <v>2038</v>
      </c>
      <c r="F30" s="1910" t="s">
        <v>2039</v>
      </c>
      <c r="G30" s="1910" t="s">
        <v>2042</v>
      </c>
      <c r="H30" s="1910" t="s">
        <v>2040</v>
      </c>
      <c r="I30" s="1910" t="s">
        <v>2041</v>
      </c>
      <c r="J30" s="1911" t="s">
        <v>2</v>
      </c>
      <c r="K30" s="732"/>
    </row>
    <row r="31" spans="1:11" ht="12" customHeight="1" x14ac:dyDescent="0.2">
      <c r="A31" s="733" t="s">
        <v>2082</v>
      </c>
      <c r="B31" s="734">
        <v>42426</v>
      </c>
      <c r="C31" s="735">
        <v>847000</v>
      </c>
      <c r="D31" s="736">
        <v>2</v>
      </c>
      <c r="E31" s="735">
        <v>774000</v>
      </c>
      <c r="F31" s="735"/>
      <c r="G31" s="735"/>
      <c r="H31" s="735">
        <v>137000</v>
      </c>
      <c r="I31" s="1778">
        <f>((E31+F31)-H31)+G31</f>
        <v>637000</v>
      </c>
      <c r="J31" s="735">
        <f>I31-(I31/I49*'Assets-Liab 5-6'!E4)</f>
        <v>637000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847000</v>
      </c>
      <c r="D49" s="746"/>
      <c r="E49" s="1778">
        <f t="shared" ref="E49:J49" si="2">SUM(E31:E48)</f>
        <v>774000</v>
      </c>
      <c r="F49" s="1778">
        <f t="shared" si="2"/>
        <v>0</v>
      </c>
      <c r="G49" s="1778">
        <f t="shared" si="2"/>
        <v>0</v>
      </c>
      <c r="H49" s="1778">
        <f t="shared" si="2"/>
        <v>137000</v>
      </c>
      <c r="I49" s="1778">
        <f t="shared" si="2"/>
        <v>637000</v>
      </c>
      <c r="J49" s="1778">
        <f t="shared" si="2"/>
        <v>637000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13" t="s">
        <v>603</v>
      </c>
      <c r="C52" s="2214"/>
      <c r="D52" s="2214"/>
      <c r="E52" s="750" t="s">
        <v>898</v>
      </c>
      <c r="F52" s="2215"/>
      <c r="G52" s="2216"/>
      <c r="H52" s="737"/>
      <c r="I52" s="737"/>
      <c r="J52" s="747"/>
    </row>
    <row r="53" spans="1:11" ht="11.25" customHeight="1" x14ac:dyDescent="0.2">
      <c r="A53" s="751" t="s">
        <v>967</v>
      </c>
      <c r="B53" s="752" t="s">
        <v>1006</v>
      </c>
      <c r="C53" s="747"/>
      <c r="D53" s="738"/>
      <c r="E53" s="750" t="s">
        <v>516</v>
      </c>
      <c r="F53" s="2217"/>
      <c r="G53" s="2218"/>
      <c r="H53" s="737"/>
      <c r="I53" s="737"/>
      <c r="J53" s="747"/>
    </row>
    <row r="54" spans="1:11" ht="11.25" customHeight="1" x14ac:dyDescent="0.2">
      <c r="A54" s="753" t="s">
        <v>968</v>
      </c>
      <c r="B54" s="748" t="s">
        <v>1007</v>
      </c>
      <c r="C54" s="747"/>
      <c r="D54" s="738"/>
      <c r="E54" s="750" t="s">
        <v>517</v>
      </c>
      <c r="F54" s="2217"/>
      <c r="G54" s="221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909</v>
      </c>
      <c r="B1" s="2243"/>
      <c r="C1" s="2243"/>
      <c r="D1" s="2243"/>
      <c r="E1" s="2243"/>
      <c r="F1" s="2243"/>
      <c r="G1" s="2244"/>
      <c r="H1" s="1552"/>
      <c r="I1" s="761"/>
      <c r="J1" s="433"/>
    </row>
    <row r="2" spans="1:11" ht="26.25" x14ac:dyDescent="0.2">
      <c r="A2" s="2261" t="s">
        <v>1774</v>
      </c>
      <c r="B2" s="2262"/>
      <c r="C2" s="2262"/>
      <c r="D2" s="2262"/>
      <c r="E2" s="2263"/>
      <c r="F2" s="762" t="s">
        <v>958</v>
      </c>
      <c r="G2" s="763" t="s">
        <v>1771</v>
      </c>
      <c r="H2" s="763" t="s">
        <v>428</v>
      </c>
      <c r="I2" s="763" t="s">
        <v>1218</v>
      </c>
      <c r="J2" s="763" t="s">
        <v>1917</v>
      </c>
      <c r="K2" s="763" t="s">
        <v>140</v>
      </c>
    </row>
    <row r="3" spans="1:11" x14ac:dyDescent="0.2">
      <c r="A3" s="2264" t="s">
        <v>1696</v>
      </c>
      <c r="B3" s="2265"/>
      <c r="C3" s="2265"/>
      <c r="D3" s="2265"/>
      <c r="E3" s="2266"/>
      <c r="F3" s="764"/>
      <c r="G3" s="765">
        <v>0</v>
      </c>
      <c r="H3" s="765">
        <v>0</v>
      </c>
      <c r="I3" s="765">
        <v>0</v>
      </c>
      <c r="J3" s="766">
        <v>0</v>
      </c>
      <c r="K3" s="766">
        <v>0</v>
      </c>
    </row>
    <row r="4" spans="1:11" x14ac:dyDescent="0.2">
      <c r="A4" s="2267" t="s">
        <v>385</v>
      </c>
      <c r="B4" s="2268"/>
      <c r="C4" s="2268"/>
      <c r="D4" s="2268"/>
      <c r="E4" s="2214"/>
      <c r="F4" s="767"/>
      <c r="G4" s="768"/>
      <c r="H4" s="769"/>
      <c r="I4" s="768"/>
      <c r="J4" s="770"/>
      <c r="K4" s="770"/>
    </row>
    <row r="5" spans="1:11" x14ac:dyDescent="0.2">
      <c r="A5" s="2245" t="s">
        <v>1127</v>
      </c>
      <c r="B5" s="2246"/>
      <c r="C5" s="2246"/>
      <c r="D5" s="2246"/>
      <c r="E5" s="2247"/>
      <c r="F5" s="771" t="s">
        <v>901</v>
      </c>
      <c r="G5" s="772"/>
      <c r="H5" s="765">
        <f>'Revenues 9-14'!C7</f>
        <v>4687</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45" t="s">
        <v>1918</v>
      </c>
      <c r="B10" s="2246"/>
      <c r="C10" s="2246"/>
      <c r="D10" s="2246"/>
      <c r="E10" s="2248"/>
      <c r="F10" s="784" t="s">
        <v>915</v>
      </c>
      <c r="G10" s="783"/>
      <c r="H10" s="785"/>
      <c r="I10" s="765"/>
      <c r="J10" s="766"/>
      <c r="K10" s="766"/>
    </row>
    <row r="11" spans="1:11" x14ac:dyDescent="0.2">
      <c r="A11" s="2245" t="s">
        <v>162</v>
      </c>
      <c r="B11" s="2246"/>
      <c r="C11" s="2246"/>
      <c r="D11" s="2246"/>
      <c r="E11" s="2247"/>
      <c r="F11" s="771" t="s">
        <v>905</v>
      </c>
      <c r="G11" s="772"/>
      <c r="H11" s="765"/>
      <c r="I11" s="765"/>
      <c r="J11" s="766"/>
      <c r="K11" s="774"/>
    </row>
    <row r="12" spans="1:11" ht="13.5" thickBot="1" x14ac:dyDescent="0.25">
      <c r="A12" s="2272" t="s">
        <v>959</v>
      </c>
      <c r="B12" s="2273"/>
      <c r="C12" s="2273"/>
      <c r="D12" s="2273"/>
      <c r="E12" s="2274"/>
      <c r="F12" s="1779"/>
      <c r="G12" s="1780">
        <f>SUM(G5:G11)</f>
        <v>0</v>
      </c>
      <c r="H12" s="1780">
        <f>SUM(H5:H11)</f>
        <v>4687</v>
      </c>
      <c r="I12" s="1780">
        <f>SUM(I5:I11)</f>
        <v>0</v>
      </c>
      <c r="J12" s="1780">
        <f>SUM(J5:J11)</f>
        <v>0</v>
      </c>
      <c r="K12" s="1780">
        <f>SUM(K5:K11)</f>
        <v>0</v>
      </c>
    </row>
    <row r="13" spans="1:11" ht="13.5" thickTop="1" x14ac:dyDescent="0.2">
      <c r="A13" s="2269" t="s">
        <v>386</v>
      </c>
      <c r="B13" s="2270"/>
      <c r="C13" s="2270"/>
      <c r="D13" s="2270"/>
      <c r="E13" s="2271"/>
      <c r="F13" s="786"/>
      <c r="G13" s="787"/>
      <c r="H13" s="788"/>
      <c r="I13" s="789"/>
      <c r="J13" s="789"/>
      <c r="K13" s="789"/>
    </row>
    <row r="14" spans="1:11" x14ac:dyDescent="0.2">
      <c r="A14" s="2252" t="s">
        <v>474</v>
      </c>
      <c r="B14" s="2252"/>
      <c r="C14" s="2252"/>
      <c r="D14" s="2252"/>
      <c r="E14" s="2253"/>
      <c r="F14" s="790" t="s">
        <v>907</v>
      </c>
      <c r="G14" s="783"/>
      <c r="H14" s="765">
        <v>4687</v>
      </c>
      <c r="I14" s="772"/>
      <c r="J14" s="774"/>
      <c r="K14" s="766"/>
    </row>
    <row r="15" spans="1:11" x14ac:dyDescent="0.2">
      <c r="A15" s="2246" t="s">
        <v>4</v>
      </c>
      <c r="B15" s="2246"/>
      <c r="C15" s="2246"/>
      <c r="D15" s="2246"/>
      <c r="E15" s="2247"/>
      <c r="F15" s="790" t="s">
        <v>908</v>
      </c>
      <c r="G15" s="772"/>
      <c r="H15" s="765"/>
      <c r="I15" s="765"/>
      <c r="J15" s="766"/>
      <c r="K15" s="766"/>
    </row>
    <row r="16" spans="1:11" x14ac:dyDescent="0.2">
      <c r="A16" s="2246" t="s">
        <v>314</v>
      </c>
      <c r="B16" s="2246"/>
      <c r="C16" s="2246"/>
      <c r="D16" s="2246"/>
      <c r="E16" s="2247"/>
      <c r="F16" s="790" t="s">
        <v>978</v>
      </c>
      <c r="G16" s="773"/>
      <c r="H16" s="768"/>
      <c r="I16" s="768"/>
      <c r="J16" s="770"/>
      <c r="K16" s="770"/>
    </row>
    <row r="17" spans="1:11" x14ac:dyDescent="0.2">
      <c r="A17" s="2277" t="s">
        <v>990</v>
      </c>
      <c r="B17" s="2277"/>
      <c r="C17" s="2277"/>
      <c r="D17" s="2277"/>
      <c r="E17" s="2278"/>
      <c r="F17" s="791"/>
      <c r="G17" s="792"/>
      <c r="H17" s="793"/>
      <c r="I17" s="793"/>
      <c r="J17" s="794"/>
      <c r="K17" s="795"/>
    </row>
    <row r="18" spans="1:11" x14ac:dyDescent="0.2">
      <c r="A18" s="2256" t="s">
        <v>384</v>
      </c>
      <c r="B18" s="2257"/>
      <c r="C18" s="2257"/>
      <c r="D18" s="2257"/>
      <c r="E18" s="2258"/>
      <c r="F18" s="790" t="s">
        <v>987</v>
      </c>
      <c r="G18" s="783"/>
      <c r="H18" s="783"/>
      <c r="I18" s="783"/>
      <c r="J18" s="766"/>
      <c r="K18" s="796"/>
    </row>
    <row r="19" spans="1:11" ht="21.75" customHeight="1" x14ac:dyDescent="0.2">
      <c r="A19" s="2254" t="s">
        <v>1914</v>
      </c>
      <c r="B19" s="2254"/>
      <c r="C19" s="2254"/>
      <c r="D19" s="2254"/>
      <c r="E19" s="2255"/>
      <c r="F19" s="790" t="s">
        <v>988</v>
      </c>
      <c r="G19" s="783"/>
      <c r="H19" s="783"/>
      <c r="I19" s="783"/>
      <c r="J19" s="766"/>
      <c r="K19" s="796"/>
    </row>
    <row r="20" spans="1:11" x14ac:dyDescent="0.2">
      <c r="A20" s="2256" t="s">
        <v>1919</v>
      </c>
      <c r="B20" s="2257"/>
      <c r="C20" s="2257"/>
      <c r="D20" s="2257"/>
      <c r="E20" s="2258"/>
      <c r="F20" s="790" t="s">
        <v>989</v>
      </c>
      <c r="G20" s="783"/>
      <c r="H20" s="783"/>
      <c r="I20" s="783"/>
      <c r="J20" s="766"/>
      <c r="K20" s="796"/>
    </row>
    <row r="21" spans="1:11" ht="13.5" thickBot="1" x14ac:dyDescent="0.25">
      <c r="A21" s="2275" t="s">
        <v>657</v>
      </c>
      <c r="B21" s="2275"/>
      <c r="C21" s="2275"/>
      <c r="D21" s="2275"/>
      <c r="E21" s="2275"/>
      <c r="F21" s="1781"/>
      <c r="G21" s="793"/>
      <c r="H21" s="797"/>
      <c r="I21" s="797"/>
      <c r="J21" s="1782">
        <f>SUM(J18:J20)</f>
        <v>0</v>
      </c>
      <c r="K21" s="794"/>
    </row>
    <row r="22" spans="1:11" ht="13.5" thickTop="1" x14ac:dyDescent="0.2">
      <c r="A22" s="2246" t="s">
        <v>1920</v>
      </c>
      <c r="B22" s="2246"/>
      <c r="C22" s="2246"/>
      <c r="D22" s="2246"/>
      <c r="E22" s="2247"/>
      <c r="F22" s="790" t="s">
        <v>915</v>
      </c>
      <c r="G22" s="783"/>
      <c r="H22" s="765"/>
      <c r="I22" s="765"/>
      <c r="J22" s="798"/>
      <c r="K22" s="766"/>
    </row>
    <row r="23" spans="1:11" ht="13.5" thickBot="1" x14ac:dyDescent="0.25">
      <c r="A23" s="2276" t="s">
        <v>960</v>
      </c>
      <c r="B23" s="2275"/>
      <c r="C23" s="2275"/>
      <c r="D23" s="2275"/>
      <c r="E23" s="2275"/>
      <c r="F23" s="1783"/>
      <c r="G23" s="1780">
        <f>SUM(G14:G16,G21,G22)</f>
        <v>0</v>
      </c>
      <c r="H23" s="1780">
        <f>SUM(H14:H16,H21,H22)</f>
        <v>4687</v>
      </c>
      <c r="I23" s="1780">
        <f>SUM(I14:I16,I21,I22)</f>
        <v>0</v>
      </c>
      <c r="J23" s="1780">
        <f>SUM(J14:J16,J21,J22)</f>
        <v>0</v>
      </c>
      <c r="K23" s="1780">
        <f>SUM(K14:K16,K21,K22)</f>
        <v>0</v>
      </c>
    </row>
    <row r="24" spans="1:11" ht="14.25" thickTop="1" thickBot="1" x14ac:dyDescent="0.25">
      <c r="A24" s="2276" t="s">
        <v>2024</v>
      </c>
      <c r="B24" s="2275"/>
      <c r="C24" s="2275"/>
      <c r="D24" s="2275"/>
      <c r="E24" s="2275"/>
      <c r="F24" s="1784"/>
      <c r="G24" s="1785">
        <f>SUM(G3,G12)-G23</f>
        <v>0</v>
      </c>
      <c r="H24" s="1785">
        <f>SUM(H3,H12)-H23</f>
        <v>0</v>
      </c>
      <c r="I24" s="1785">
        <f>SUM(I3,I12)-I23</f>
        <v>0</v>
      </c>
      <c r="J24" s="1785">
        <f>SUM(J3,J12)-J23</f>
        <v>0</v>
      </c>
      <c r="K24" s="1785">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49"/>
      <c r="I31" s="2250"/>
      <c r="J31" s="2250"/>
      <c r="K31" s="2250"/>
    </row>
    <row r="32" spans="1:11" x14ac:dyDescent="0.2">
      <c r="A32" s="810"/>
      <c r="B32" s="237"/>
      <c r="C32" s="237"/>
      <c r="D32" s="237"/>
      <c r="E32" s="806"/>
      <c r="F32" s="812" t="s">
        <v>559</v>
      </c>
      <c r="G32" s="765"/>
      <c r="H32" s="2251"/>
      <c r="I32" s="2250"/>
      <c r="J32" s="2250"/>
      <c r="K32" s="2250"/>
    </row>
    <row r="33" spans="1:11" ht="1.5" customHeight="1" x14ac:dyDescent="0.2">
      <c r="A33" s="813" t="s">
        <v>1229</v>
      </c>
      <c r="B33" s="364"/>
      <c r="C33" s="364"/>
      <c r="D33" s="364"/>
      <c r="E33" s="364"/>
      <c r="F33" s="364"/>
      <c r="G33" s="814"/>
      <c r="H33" s="2251"/>
      <c r="I33" s="2250"/>
      <c r="J33" s="2250"/>
      <c r="K33" s="2250"/>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6" t="s">
        <v>560</v>
      </c>
      <c r="B41" s="2259"/>
      <c r="C41" s="2259"/>
      <c r="D41" s="2259"/>
      <c r="E41" s="2259"/>
      <c r="F41" s="2260"/>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1" t="s">
        <v>2033</v>
      </c>
      <c r="B1" s="2282"/>
      <c r="C1" s="2283"/>
      <c r="D1" s="827"/>
      <c r="E1" s="828"/>
      <c r="F1" s="828"/>
      <c r="G1" s="829"/>
      <c r="H1" s="830"/>
      <c r="I1" s="831"/>
      <c r="J1" s="2279"/>
      <c r="K1" s="2280"/>
      <c r="L1" s="2280"/>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1" t="s">
        <v>946</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c r="D5" s="842"/>
      <c r="E5" s="842"/>
      <c r="F5" s="1782">
        <f>(C5+D5)-E5</f>
        <v>0</v>
      </c>
      <c r="G5" s="838"/>
      <c r="H5" s="843"/>
      <c r="I5" s="843"/>
      <c r="J5" s="843"/>
      <c r="K5" s="794"/>
      <c r="L5" s="1791">
        <f>F5-K5</f>
        <v>0</v>
      </c>
    </row>
    <row r="6" spans="1:14" ht="14.25" thickTop="1" thickBot="1" x14ac:dyDescent="0.25">
      <c r="A6" s="779" t="s">
        <v>1177</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c r="D8" s="845"/>
      <c r="E8" s="845"/>
      <c r="F8" s="1782">
        <f>(C8+D8)-E8</f>
        <v>0</v>
      </c>
      <c r="G8" s="844">
        <v>50</v>
      </c>
      <c r="H8" s="766"/>
      <c r="I8" s="766"/>
      <c r="J8" s="766"/>
      <c r="K8" s="1791">
        <f>(H8+I8)-J8</f>
        <v>0</v>
      </c>
      <c r="L8" s="1791">
        <f>F8-K8</f>
        <v>0</v>
      </c>
    </row>
    <row r="9" spans="1:14" ht="14.25" thickTop="1" thickBot="1" x14ac:dyDescent="0.25">
      <c r="A9" s="779" t="s">
        <v>1179</v>
      </c>
      <c r="B9" s="841">
        <v>232</v>
      </c>
      <c r="C9" s="766"/>
      <c r="D9" s="766"/>
      <c r="E9" s="766"/>
      <c r="F9" s="1782">
        <f>(C9+D9)-E9</f>
        <v>0</v>
      </c>
      <c r="G9" s="844">
        <v>20</v>
      </c>
      <c r="H9" s="766"/>
      <c r="I9" s="766"/>
      <c r="J9" s="766"/>
      <c r="K9" s="1791">
        <f>(H9+I9)-J9</f>
        <v>0</v>
      </c>
      <c r="L9" s="1791">
        <f>F9-K9</f>
        <v>0</v>
      </c>
    </row>
    <row r="10" spans="1:14" ht="24" thickTop="1" thickBot="1" x14ac:dyDescent="0.25">
      <c r="A10" s="846" t="s">
        <v>1180</v>
      </c>
      <c r="B10" s="841">
        <v>240</v>
      </c>
      <c r="C10" s="847">
        <v>85673</v>
      </c>
      <c r="D10" s="847"/>
      <c r="E10" s="847"/>
      <c r="F10" s="1786">
        <f>(C10+D10)-E10</f>
        <v>85673</v>
      </c>
      <c r="G10" s="844">
        <v>20</v>
      </c>
      <c r="H10" s="848">
        <v>34474</v>
      </c>
      <c r="I10" s="848">
        <v>2964.31</v>
      </c>
      <c r="J10" s="848"/>
      <c r="K10" s="1791">
        <f>(H10+I10)-J10</f>
        <v>37438.31</v>
      </c>
      <c r="L10" s="1791">
        <f>F10-K10</f>
        <v>48234.69</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379369</v>
      </c>
      <c r="D12" s="845">
        <v>24982.74</v>
      </c>
      <c r="E12" s="845"/>
      <c r="F12" s="1782">
        <f>(C12+D12)-E12</f>
        <v>404351.74</v>
      </c>
      <c r="G12" s="844">
        <v>10</v>
      </c>
      <c r="H12" s="766">
        <v>309382</v>
      </c>
      <c r="I12" s="766">
        <v>10889.66</v>
      </c>
      <c r="J12" s="766"/>
      <c r="K12" s="1791">
        <f>(H12+I12)-J12</f>
        <v>320271.65999999997</v>
      </c>
      <c r="L12" s="1791">
        <f>F12-K12</f>
        <v>84080.080000000016</v>
      </c>
    </row>
    <row r="13" spans="1:14" ht="14.25" thickTop="1" thickBot="1" x14ac:dyDescent="0.25">
      <c r="A13" s="849" t="s">
        <v>1182</v>
      </c>
      <c r="B13" s="841">
        <v>252</v>
      </c>
      <c r="C13" s="845">
        <v>26520</v>
      </c>
      <c r="D13" s="845"/>
      <c r="E13" s="845"/>
      <c r="F13" s="1782">
        <f>(C13+D13)-E13</f>
        <v>26520</v>
      </c>
      <c r="G13" s="844">
        <v>5</v>
      </c>
      <c r="H13" s="766">
        <v>26170</v>
      </c>
      <c r="I13" s="766">
        <v>350</v>
      </c>
      <c r="J13" s="766"/>
      <c r="K13" s="1791">
        <f>(H13+I13)-J13</f>
        <v>26520</v>
      </c>
      <c r="L13" s="1791">
        <f>F13-K13</f>
        <v>0</v>
      </c>
    </row>
    <row r="14" spans="1:14" ht="14.25" thickTop="1" thickBot="1" x14ac:dyDescent="0.25">
      <c r="A14" s="849" t="s">
        <v>1183</v>
      </c>
      <c r="B14" s="841">
        <v>253</v>
      </c>
      <c r="C14" s="766">
        <v>0</v>
      </c>
      <c r="D14" s="766"/>
      <c r="E14" s="766"/>
      <c r="F14" s="1782">
        <f>(C14+D14)-E14</f>
        <v>0</v>
      </c>
      <c r="G14" s="844">
        <v>3</v>
      </c>
      <c r="H14" s="766">
        <v>0</v>
      </c>
      <c r="I14" s="766"/>
      <c r="J14" s="766"/>
      <c r="K14" s="1791">
        <f>(H14+I14)-J14</f>
        <v>0</v>
      </c>
      <c r="L14" s="1791">
        <f>F14-K14</f>
        <v>0</v>
      </c>
    </row>
    <row r="15" spans="1:14" ht="15" customHeight="1" thickTop="1" thickBot="1" x14ac:dyDescent="0.25">
      <c r="A15" s="1653" t="s">
        <v>547</v>
      </c>
      <c r="B15" s="1652">
        <v>260</v>
      </c>
      <c r="C15" s="845">
        <v>0</v>
      </c>
      <c r="D15" s="845"/>
      <c r="E15" s="845"/>
      <c r="F15" s="1782">
        <f>(C15+D15)-E15</f>
        <v>0</v>
      </c>
      <c r="G15" s="850" t="s">
        <v>915</v>
      </c>
      <c r="H15" s="782"/>
      <c r="I15" s="782"/>
      <c r="J15" s="782"/>
      <c r="K15" s="782"/>
      <c r="L15" s="1791">
        <f>F15-K15</f>
        <v>0</v>
      </c>
    </row>
    <row r="16" spans="1:14" ht="15" customHeight="1" thickTop="1" thickBot="1" x14ac:dyDescent="0.25">
      <c r="A16" s="1787" t="s">
        <v>662</v>
      </c>
      <c r="B16" s="1788">
        <v>200</v>
      </c>
      <c r="C16" s="1782">
        <f>SUM(C3,C5:C6,C8:C10,C12:C15)</f>
        <v>491562</v>
      </c>
      <c r="D16" s="1782">
        <f>SUM(D3,D5:D6,D8:D10,D12:D15)</f>
        <v>24982.74</v>
      </c>
      <c r="E16" s="1782">
        <f>SUM(E3,E5:E6,E8:E10,E12:E15)</f>
        <v>0</v>
      </c>
      <c r="F16" s="1782">
        <f>SUM(F3,F5:F6,F8:F10,F12:F15)</f>
        <v>516544.74</v>
      </c>
      <c r="G16" s="844"/>
      <c r="H16" s="1782">
        <f>SUM(H3,H6,H8:H10,H12:H14,)</f>
        <v>370026</v>
      </c>
      <c r="I16" s="1782">
        <f>SUM(I3,I6,I8:I10,I12:I14,)</f>
        <v>14203.97</v>
      </c>
      <c r="J16" s="1782">
        <f>SUM(J3,J6,J8:J10,J12:J14,)</f>
        <v>0</v>
      </c>
      <c r="K16" s="1782">
        <f>(H16+I16)-J16</f>
        <v>384229.97</v>
      </c>
      <c r="L16" s="1782">
        <f>F16-K16</f>
        <v>132314.77000000002</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14203.97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7" t="s">
        <v>1697</v>
      </c>
      <c r="B1" s="2288"/>
      <c r="C1" s="2288"/>
      <c r="D1" s="2288"/>
      <c r="E1" s="2288"/>
      <c r="F1" s="2289"/>
      <c r="G1" s="856"/>
    </row>
    <row r="2" spans="1:7" ht="15" customHeight="1" thickBot="1" x14ac:dyDescent="0.25">
      <c r="A2" s="2290" t="s">
        <v>496</v>
      </c>
      <c r="B2" s="2291"/>
      <c r="C2" s="2291"/>
      <c r="D2" s="2291"/>
      <c r="E2" s="2291"/>
      <c r="F2" s="2292"/>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3"/>
      <c r="B5" s="2294"/>
      <c r="C5" s="2294"/>
      <c r="D5" s="2294"/>
      <c r="E5" s="2294"/>
      <c r="F5" s="2294"/>
    </row>
    <row r="6" spans="1:7" ht="13.5" customHeight="1" thickBot="1" x14ac:dyDescent="0.25">
      <c r="A6" s="2284" t="s">
        <v>1164</v>
      </c>
      <c r="B6" s="2285"/>
      <c r="C6" s="2285"/>
      <c r="D6" s="2285"/>
      <c r="E6" s="2285"/>
      <c r="F6" s="2286"/>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882341</v>
      </c>
      <c r="G8" s="866"/>
    </row>
    <row r="9" spans="1:7" x14ac:dyDescent="0.2">
      <c r="A9" s="870" t="s">
        <v>478</v>
      </c>
      <c r="B9" s="871" t="s">
        <v>1987</v>
      </c>
      <c r="C9" s="872"/>
      <c r="D9" s="870" t="s">
        <v>520</v>
      </c>
      <c r="E9" s="869"/>
      <c r="F9" s="1935">
        <f>'Expenditures 15-22'!K151</f>
        <v>140133</v>
      </c>
      <c r="G9" s="873"/>
    </row>
    <row r="10" spans="1:7" x14ac:dyDescent="0.2">
      <c r="A10" s="870" t="s">
        <v>518</v>
      </c>
      <c r="B10" s="871" t="s">
        <v>1988</v>
      </c>
      <c r="C10" s="872"/>
      <c r="D10" s="870" t="s">
        <v>520</v>
      </c>
      <c r="E10" s="869"/>
      <c r="F10" s="1935">
        <f>'Expenditures 15-22'!K174</f>
        <v>165318</v>
      </c>
      <c r="G10" s="873"/>
    </row>
    <row r="11" spans="1:7" x14ac:dyDescent="0.2">
      <c r="A11" s="870" t="s">
        <v>479</v>
      </c>
      <c r="B11" s="871" t="s">
        <v>1989</v>
      </c>
      <c r="C11" s="872"/>
      <c r="D11" s="870" t="s">
        <v>520</v>
      </c>
      <c r="E11" s="869"/>
      <c r="F11" s="1935">
        <f>'Expenditures 15-22'!K210</f>
        <v>64589</v>
      </c>
      <c r="G11" s="873"/>
    </row>
    <row r="12" spans="1:7" x14ac:dyDescent="0.2">
      <c r="A12" s="870" t="s">
        <v>480</v>
      </c>
      <c r="B12" s="871" t="s">
        <v>1990</v>
      </c>
      <c r="C12" s="872"/>
      <c r="D12" s="870" t="s">
        <v>520</v>
      </c>
      <c r="E12" s="869"/>
      <c r="F12" s="1935">
        <f>'Expenditures 15-22'!K295</f>
        <v>30062</v>
      </c>
      <c r="G12" s="873"/>
    </row>
    <row r="13" spans="1:7" x14ac:dyDescent="0.2">
      <c r="A13" s="870" t="s">
        <v>108</v>
      </c>
      <c r="B13" s="871" t="s">
        <v>1991</v>
      </c>
      <c r="C13" s="872"/>
      <c r="D13" s="870" t="s">
        <v>520</v>
      </c>
      <c r="E13" s="869"/>
      <c r="F13" s="1935">
        <f>'Expenditures 15-22'!K342</f>
        <v>72583</v>
      </c>
      <c r="G13" s="874"/>
    </row>
    <row r="14" spans="1:7" ht="12" customHeight="1" thickBot="1" x14ac:dyDescent="0.25">
      <c r="A14" s="1792"/>
      <c r="B14" s="1793"/>
      <c r="C14" s="1794"/>
      <c r="D14" s="1795" t="s">
        <v>520</v>
      </c>
      <c r="E14" s="1796" t="s">
        <v>1013</v>
      </c>
      <c r="F14" s="1797">
        <f>SUM(F8:F13)</f>
        <v>1355026</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9940</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20839</v>
      </c>
      <c r="G53" s="866"/>
    </row>
    <row r="54" spans="1:7" x14ac:dyDescent="0.2">
      <c r="A54" s="870" t="s">
        <v>477</v>
      </c>
      <c r="B54" s="870" t="s">
        <v>1550</v>
      </c>
      <c r="C54" s="890" t="s">
        <v>1037</v>
      </c>
      <c r="D54" s="886" t="s">
        <v>1155</v>
      </c>
      <c r="E54" s="869"/>
      <c r="F54" s="1939">
        <f>'Expenditures 15-22'!G114</f>
        <v>21078</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9">
        <f>'Expenditures 15-22'!K139</f>
        <v>0</v>
      </c>
      <c r="G57" s="866"/>
    </row>
    <row r="58" spans="1:7" x14ac:dyDescent="0.2">
      <c r="A58" s="870" t="s">
        <v>478</v>
      </c>
      <c r="B58" s="870" t="s">
        <v>1993</v>
      </c>
      <c r="C58" s="887" t="s">
        <v>1037</v>
      </c>
      <c r="D58" s="886" t="s">
        <v>1155</v>
      </c>
      <c r="E58" s="869"/>
      <c r="F58" s="1941">
        <f>'Expenditures 15-22'!G151</f>
        <v>0</v>
      </c>
      <c r="G58" s="866"/>
    </row>
    <row r="59" spans="1:7" x14ac:dyDescent="0.2">
      <c r="A59" s="894" t="s">
        <v>478</v>
      </c>
      <c r="B59" s="857" t="s">
        <v>1994</v>
      </c>
      <c r="C59" s="895" t="s">
        <v>1037</v>
      </c>
      <c r="D59" s="857" t="s">
        <v>307</v>
      </c>
      <c r="F59" s="1942">
        <f>'Expenditures 15-22'!I151</f>
        <v>0</v>
      </c>
      <c r="G59" s="866"/>
    </row>
    <row r="60" spans="1:7" x14ac:dyDescent="0.2">
      <c r="A60" s="894" t="s">
        <v>518</v>
      </c>
      <c r="B60" s="857" t="s">
        <v>1995</v>
      </c>
      <c r="C60" s="895">
        <v>4000</v>
      </c>
      <c r="D60" s="857" t="s">
        <v>328</v>
      </c>
      <c r="F60" s="1940">
        <f>'Expenditures 15-22'!K160</f>
        <v>0</v>
      </c>
      <c r="G60" s="866"/>
    </row>
    <row r="61" spans="1:7" x14ac:dyDescent="0.2">
      <c r="A61" s="896" t="s">
        <v>518</v>
      </c>
      <c r="B61" s="896" t="s">
        <v>1996</v>
      </c>
      <c r="C61" s="897" t="str">
        <f>'Expenditures 15-22'!B170</f>
        <v>5300</v>
      </c>
      <c r="D61" s="898" t="s">
        <v>327</v>
      </c>
      <c r="E61" s="880"/>
      <c r="F61" s="1939">
        <f>'Expenditures 15-22'!K170</f>
        <v>137000</v>
      </c>
      <c r="G61" s="866"/>
    </row>
    <row r="62" spans="1:7" x14ac:dyDescent="0.2">
      <c r="A62" s="870" t="s">
        <v>479</v>
      </c>
      <c r="B62" s="870" t="s">
        <v>1997</v>
      </c>
      <c r="C62" s="887">
        <f>'Expenditures 15-22'!B185</f>
        <v>3000</v>
      </c>
      <c r="D62" s="877" t="s">
        <v>467</v>
      </c>
      <c r="E62" s="869"/>
      <c r="F62" s="1939">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1999</v>
      </c>
      <c r="C64" s="897" t="str">
        <f>'Expenditures 15-22'!B206</f>
        <v>5300</v>
      </c>
      <c r="D64" s="893" t="s">
        <v>327</v>
      </c>
      <c r="E64" s="869"/>
      <c r="F64" s="1939">
        <f>'Expenditures 15-22'!K206</f>
        <v>0</v>
      </c>
      <c r="G64" s="866"/>
    </row>
    <row r="65" spans="1:8" x14ac:dyDescent="0.2">
      <c r="A65" s="870" t="s">
        <v>479</v>
      </c>
      <c r="B65" s="870" t="s">
        <v>2000</v>
      </c>
      <c r="C65" s="887" t="s">
        <v>1037</v>
      </c>
      <c r="D65" s="886" t="s">
        <v>1155</v>
      </c>
      <c r="E65" s="869"/>
      <c r="F65" s="1939">
        <f>'Expenditures 15-22'!G210</f>
        <v>0</v>
      </c>
      <c r="G65" s="866"/>
    </row>
    <row r="66" spans="1:8" x14ac:dyDescent="0.2">
      <c r="A66" s="870" t="s">
        <v>479</v>
      </c>
      <c r="B66" s="870" t="s">
        <v>2001</v>
      </c>
      <c r="C66" s="887" t="s">
        <v>1037</v>
      </c>
      <c r="D66" s="886" t="s">
        <v>307</v>
      </c>
      <c r="E66" s="869"/>
      <c r="F66" s="1939">
        <f>'Expenditures 15-22'!I210</f>
        <v>0</v>
      </c>
      <c r="G66" s="866"/>
    </row>
    <row r="67" spans="1:8" x14ac:dyDescent="0.2">
      <c r="A67" s="870" t="s">
        <v>480</v>
      </c>
      <c r="B67" s="870" t="s">
        <v>2002</v>
      </c>
      <c r="C67" s="887" t="str">
        <f>'Expenditures 15-22'!B216</f>
        <v>1125</v>
      </c>
      <c r="D67" s="893" t="str">
        <f>'Expenditures 15-22'!A216</f>
        <v>Pre-K Programs</v>
      </c>
      <c r="E67" s="869"/>
      <c r="F67" s="1939">
        <f>'Expenditures 15-22'!K216</f>
        <v>0</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2004</v>
      </c>
      <c r="C70" s="887">
        <f>'Expenditures 15-22'!B221</f>
        <v>1300</v>
      </c>
      <c r="D70" s="888" t="str">
        <f>'Expenditures 15-22'!A221</f>
        <v>Adult/Continuing Education Programs</v>
      </c>
      <c r="E70" s="869"/>
      <c r="F70" s="1939">
        <f>'Expenditures 15-22'!K221</f>
        <v>0</v>
      </c>
      <c r="G70" s="866"/>
    </row>
    <row r="71" spans="1:8" x14ac:dyDescent="0.2">
      <c r="A71" s="870" t="s">
        <v>480</v>
      </c>
      <c r="B71" s="870" t="s">
        <v>2005</v>
      </c>
      <c r="C71" s="887">
        <f>'Expenditures 15-22'!B224</f>
        <v>1600</v>
      </c>
      <c r="D71" s="888" t="str">
        <f>'Expenditures 15-22'!A224</f>
        <v>Summer School Programs</v>
      </c>
      <c r="E71" s="869"/>
      <c r="F71" s="1939">
        <f>'Expenditures 15-22'!K224</f>
        <v>0</v>
      </c>
      <c r="G71" s="866"/>
    </row>
    <row r="72" spans="1:8" x14ac:dyDescent="0.2">
      <c r="A72" s="870" t="s">
        <v>480</v>
      </c>
      <c r="B72" s="870" t="s">
        <v>2006</v>
      </c>
      <c r="C72" s="887">
        <f>'Expenditures 15-22'!B280</f>
        <v>3000</v>
      </c>
      <c r="D72" s="877" t="s">
        <v>467</v>
      </c>
      <c r="E72" s="869"/>
      <c r="F72" s="1939">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2008</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1013</v>
      </c>
      <c r="F76" s="1800">
        <f>SUM(F18:F74)</f>
        <v>188857</v>
      </c>
      <c r="G76" s="866"/>
    </row>
    <row r="77" spans="1:8" s="894" customFormat="1" ht="12" customHeight="1" thickTop="1" thickBot="1" x14ac:dyDescent="0.25">
      <c r="A77" s="1801"/>
      <c r="B77" s="1798"/>
      <c r="C77" s="1794"/>
      <c r="D77" s="1799" t="s">
        <v>2010</v>
      </c>
      <c r="E77" s="1796"/>
      <c r="F77" s="1802">
        <f>(F14-F76)</f>
        <v>1166169</v>
      </c>
      <c r="G77" s="870"/>
    </row>
    <row r="78" spans="1:8" s="894" customFormat="1" ht="12" customHeight="1" thickTop="1" x14ac:dyDescent="0.2">
      <c r="A78" s="1803"/>
      <c r="B78" s="1798"/>
      <c r="C78" s="1794"/>
      <c r="D78" s="1799" t="s">
        <v>2057</v>
      </c>
      <c r="E78" s="1796"/>
      <c r="F78" s="899">
        <v>158.63999999999999</v>
      </c>
      <c r="G78" s="900"/>
      <c r="H78" s="870"/>
    </row>
    <row r="79" spans="1:8" s="894" customFormat="1" ht="12" customHeight="1" thickBot="1" x14ac:dyDescent="0.25">
      <c r="A79" s="1804"/>
      <c r="B79" s="1798"/>
      <c r="C79" s="1794"/>
      <c r="D79" s="1799" t="s">
        <v>2011</v>
      </c>
      <c r="E79" s="1796" t="s">
        <v>1013</v>
      </c>
      <c r="F79" s="1805">
        <f>IF(F78&gt;0,F77/F78," Complete Line 78")</f>
        <v>7351.0400907715584</v>
      </c>
      <c r="G79" s="870"/>
    </row>
    <row r="80" spans="1:8" s="894" customFormat="1" ht="8.25" customHeight="1" thickTop="1" x14ac:dyDescent="0.2">
      <c r="A80" s="901"/>
      <c r="B80" s="870"/>
      <c r="C80" s="872"/>
      <c r="D80" s="902"/>
      <c r="E80" s="869"/>
      <c r="F80" s="903"/>
      <c r="G80" s="870"/>
    </row>
    <row r="81" spans="1:7" s="894" customFormat="1" ht="12" thickBot="1" x14ac:dyDescent="0.25">
      <c r="A81" s="2284" t="s">
        <v>1165</v>
      </c>
      <c r="B81" s="2285"/>
      <c r="C81" s="2285"/>
      <c r="D81" s="2285"/>
      <c r="E81" s="2285"/>
      <c r="F81" s="2286"/>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55318</v>
      </c>
      <c r="G94" s="913"/>
    </row>
    <row r="95" spans="1:7" x14ac:dyDescent="0.2">
      <c r="A95" s="909" t="s">
        <v>142</v>
      </c>
      <c r="B95" s="909" t="s">
        <v>177</v>
      </c>
      <c r="C95" s="911">
        <v>1700</v>
      </c>
      <c r="D95" s="919" t="str">
        <f>'Revenues 9-14'!A82</f>
        <v>Total District/School Activity Income</v>
      </c>
      <c r="E95" s="907"/>
      <c r="F95" s="1811">
        <f>SUM('Revenues 9-14'!C82,'Revenues 9-14'!D82)</f>
        <v>9862</v>
      </c>
      <c r="G95" s="913"/>
    </row>
    <row r="96" spans="1:7" x14ac:dyDescent="0.2">
      <c r="A96" s="909" t="s">
        <v>477</v>
      </c>
      <c r="B96" s="909" t="s">
        <v>178</v>
      </c>
      <c r="C96" s="911">
        <f>'Revenues 9-14'!B84</f>
        <v>1811</v>
      </c>
      <c r="D96" s="912" t="str">
        <f>'Revenues 9-14'!A84</f>
        <v>Rentals - Regular Textbooks</v>
      </c>
      <c r="E96" s="907"/>
      <c r="F96" s="1811">
        <f>'Revenues 9-14'!C84</f>
        <v>8280</v>
      </c>
      <c r="G96" s="913"/>
    </row>
    <row r="97" spans="1:7" x14ac:dyDescent="0.2">
      <c r="A97" s="909" t="s">
        <v>477</v>
      </c>
      <c r="B97" s="909" t="s">
        <v>179</v>
      </c>
      <c r="C97" s="911">
        <f>'Revenues 9-14'!B87</f>
        <v>1819</v>
      </c>
      <c r="D97" s="912" t="str">
        <f>'Revenues 9-14'!A87</f>
        <v>Rentals - Other (Describe &amp; Itemize)</v>
      </c>
      <c r="E97" s="907"/>
      <c r="F97" s="1811">
        <f>'Revenues 9-14'!C87</f>
        <v>3675</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125</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13197</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0</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139</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0</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26691</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17480</v>
      </c>
      <c r="G128" s="931"/>
    </row>
    <row r="129" spans="1:7" x14ac:dyDescent="0.2">
      <c r="A129" s="928" t="s">
        <v>683</v>
      </c>
      <c r="B129" s="928" t="s">
        <v>801</v>
      </c>
      <c r="C129" s="933">
        <v>4200</v>
      </c>
      <c r="D129" s="930" t="str">
        <f>'Revenues 9-14'!A201</f>
        <v>Total Food Service</v>
      </c>
      <c r="E129" s="907"/>
      <c r="F129" s="1811">
        <f>SUM('Revenues 9-14'!C201,'Revenues 9-14'!G201)</f>
        <v>16831</v>
      </c>
      <c r="G129" s="931"/>
    </row>
    <row r="130" spans="1:7" x14ac:dyDescent="0.2">
      <c r="A130" s="928" t="s">
        <v>687</v>
      </c>
      <c r="B130" s="928" t="s">
        <v>802</v>
      </c>
      <c r="C130" s="933">
        <v>4300</v>
      </c>
      <c r="D130" s="934" t="str">
        <f>'Revenues 9-14'!A211</f>
        <v>Total Title I</v>
      </c>
      <c r="E130" s="907"/>
      <c r="F130" s="1811">
        <f>SUM('Revenues 9-14'!C211,'Revenues 9-14'!D211,'Revenues 9-14'!F211,'Revenues 9-14'!G211)</f>
        <v>18460</v>
      </c>
      <c r="G130" s="931"/>
    </row>
    <row r="131" spans="1:7" x14ac:dyDescent="0.2">
      <c r="A131" s="928" t="s">
        <v>687</v>
      </c>
      <c r="B131" s="928" t="s">
        <v>803</v>
      </c>
      <c r="C131" s="933">
        <v>4400</v>
      </c>
      <c r="D131" s="934" t="str">
        <f>'Revenues 9-14'!A216</f>
        <v>Total Title IV</v>
      </c>
      <c r="E131" s="907"/>
      <c r="F131" s="1811">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5251</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3232</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657</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683</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1013</v>
      </c>
      <c r="F178" s="1810">
        <f>SUM(F84:F136,F161:F176)</f>
        <v>179198</v>
      </c>
    </row>
    <row r="179" spans="1:7" ht="12" customHeight="1" x14ac:dyDescent="0.2">
      <c r="A179" s="1792"/>
      <c r="B179" s="1806"/>
      <c r="C179" s="1807"/>
      <c r="D179" s="1808" t="s">
        <v>2013</v>
      </c>
      <c r="E179" s="1809"/>
      <c r="F179" s="1811">
        <f>'PCTC-OEPP 27-28'!F77-F178</f>
        <v>986971</v>
      </c>
    </row>
    <row r="180" spans="1:7" ht="12" customHeight="1" x14ac:dyDescent="0.2">
      <c r="A180" s="1792"/>
      <c r="B180" s="1806"/>
      <c r="C180" s="1807"/>
      <c r="D180" s="1808" t="s">
        <v>1922</v>
      </c>
      <c r="E180" s="1809"/>
      <c r="F180" s="1811">
        <f>'Cap Outlay Deprec 26'!I18</f>
        <v>14203.97</v>
      </c>
    </row>
    <row r="181" spans="1:7" ht="12" customHeight="1" x14ac:dyDescent="0.2">
      <c r="A181" s="1792"/>
      <c r="B181" s="1806"/>
      <c r="C181" s="1807"/>
      <c r="D181" s="1808" t="s">
        <v>2014</v>
      </c>
      <c r="E181" s="1809"/>
      <c r="F181" s="1811">
        <f>F179+F180</f>
        <v>1001174.97</v>
      </c>
    </row>
    <row r="182" spans="1:7" ht="12" customHeight="1" x14ac:dyDescent="0.2">
      <c r="A182" s="1792"/>
      <c r="B182" s="1812"/>
      <c r="C182" s="1807"/>
      <c r="D182" s="1808" t="str">
        <f>D78</f>
        <v>9 Month ADA from District Average Daily Attendance/Prior General State Aid Inquiry 2017-2018</v>
      </c>
      <c r="E182" s="1809"/>
      <c r="F182" s="1813">
        <f>'PCTC-OEPP 27-28'!F78</f>
        <v>158.63999999999999</v>
      </c>
      <c r="G182" s="931"/>
    </row>
    <row r="183" spans="1:7" ht="12" customHeight="1" thickBot="1" x14ac:dyDescent="0.25">
      <c r="A183" s="1792"/>
      <c r="B183" s="1812"/>
      <c r="C183" s="1807"/>
      <c r="D183" s="1808" t="s">
        <v>2015</v>
      </c>
      <c r="E183" s="1809" t="s">
        <v>1624</v>
      </c>
      <c r="F183" s="1814">
        <f>F181/F182</f>
        <v>6310.986951588503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75" customHeight="1" x14ac:dyDescent="0.25">
      <c r="A4" s="2298" t="s">
        <v>1923</v>
      </c>
      <c r="B4" s="2299"/>
      <c r="C4" s="2299"/>
      <c r="D4" s="2299"/>
      <c r="E4" s="2299"/>
      <c r="F4" s="2299"/>
      <c r="G4" s="2300"/>
    </row>
    <row r="5" spans="1:7" x14ac:dyDescent="0.25">
      <c r="A5" s="2301"/>
      <c r="B5" s="2302"/>
      <c r="C5" s="2302"/>
      <c r="D5" s="2302"/>
      <c r="E5" s="2302"/>
      <c r="F5" s="2302"/>
      <c r="G5" s="2303"/>
    </row>
    <row r="6" spans="1:7" ht="18.75" x14ac:dyDescent="0.25">
      <c r="A6" s="1556" t="s">
        <v>1924</v>
      </c>
      <c r="B6" s="1557"/>
      <c r="C6" s="1557"/>
      <c r="D6" s="1557"/>
      <c r="E6" s="1557"/>
      <c r="F6" s="1557"/>
      <c r="G6" s="1558"/>
    </row>
    <row r="7" spans="1:7" ht="30.75" customHeight="1" x14ac:dyDescent="0.25">
      <c r="A7" s="2304" t="s">
        <v>2073</v>
      </c>
      <c r="B7" s="2305"/>
      <c r="C7" s="2305"/>
      <c r="D7" s="2305"/>
      <c r="E7" s="2305"/>
      <c r="F7" s="2305"/>
      <c r="G7" s="2306"/>
    </row>
    <row r="8" spans="1:7" ht="15.75" customHeight="1" x14ac:dyDescent="0.25">
      <c r="A8" s="2307" t="s">
        <v>2022</v>
      </c>
      <c r="B8" s="2308"/>
      <c r="C8" s="2308"/>
      <c r="D8" s="2308"/>
      <c r="E8" s="2308"/>
      <c r="F8" s="2308"/>
      <c r="G8" s="2309"/>
    </row>
    <row r="9" spans="1:7" ht="35.25" customHeight="1" x14ac:dyDescent="0.25">
      <c r="A9" s="2304" t="s">
        <v>2021</v>
      </c>
      <c r="B9" s="2305"/>
      <c r="C9" s="2305"/>
      <c r="D9" s="2305"/>
      <c r="E9" s="2305"/>
      <c r="F9" s="2305"/>
      <c r="G9" s="2306"/>
    </row>
    <row r="10" spans="1:7" ht="15" customHeight="1" x14ac:dyDescent="0.25">
      <c r="A10" s="1559" t="s">
        <v>1925</v>
      </c>
      <c r="B10" s="1560"/>
      <c r="C10" s="1560"/>
      <c r="D10" s="1560"/>
      <c r="E10" s="1560"/>
      <c r="F10" s="1560"/>
      <c r="G10" s="1561"/>
    </row>
    <row r="11" spans="1:7" ht="17.25" customHeight="1" x14ac:dyDescent="0.25">
      <c r="A11" s="2304" t="s">
        <v>1939</v>
      </c>
      <c r="B11" s="2305"/>
      <c r="C11" s="2305"/>
      <c r="D11" s="2305"/>
      <c r="E11" s="2305"/>
      <c r="F11" s="2305"/>
      <c r="G11" s="2306"/>
    </row>
    <row r="12" spans="1:7" ht="15" customHeight="1" x14ac:dyDescent="0.25">
      <c r="A12" s="1559" t="s">
        <v>1930</v>
      </c>
      <c r="B12" s="1560"/>
      <c r="C12" s="1560"/>
      <c r="D12" s="1560"/>
      <c r="E12" s="1560"/>
      <c r="F12" s="1560"/>
      <c r="G12" s="1561"/>
    </row>
    <row r="13" spans="1:7" ht="32.25" customHeight="1" x14ac:dyDescent="0.25">
      <c r="A13" s="2295" t="s">
        <v>1931</v>
      </c>
      <c r="B13" s="2296"/>
      <c r="C13" s="2296"/>
      <c r="D13" s="2296"/>
      <c r="E13" s="2296"/>
      <c r="F13" s="2296"/>
      <c r="G13" s="2297"/>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2104</v>
      </c>
      <c r="B17" s="1959" t="s">
        <v>2103</v>
      </c>
      <c r="C17" s="1957" t="s">
        <v>2099</v>
      </c>
      <c r="D17" s="1867">
        <v>1600</v>
      </c>
      <c r="E17" s="1562">
        <f t="shared" ref="E17:E141" si="1">IF(D17&lt;=25000,D17,IF(D17&gt;25000,25000,0))</f>
        <v>1600</v>
      </c>
      <c r="F17" s="1815">
        <f t="shared" si="0"/>
        <v>1600</v>
      </c>
      <c r="G17" s="1816">
        <f>IF(F17=0,0,D17-F17)</f>
        <v>0</v>
      </c>
      <c r="H17" s="1669"/>
    </row>
    <row r="18" spans="1:8" x14ac:dyDescent="0.25">
      <c r="A18" s="1960" t="s">
        <v>2107</v>
      </c>
      <c r="B18" s="1959" t="s">
        <v>2106</v>
      </c>
      <c r="C18" s="1957" t="s">
        <v>2100</v>
      </c>
      <c r="D18" s="1867">
        <v>7811</v>
      </c>
      <c r="E18" s="1562">
        <f t="shared" ref="E18:E140" si="2">IF(D18&lt;=25000,D18,IF(D18&gt;25000,25000,0))</f>
        <v>7811</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7811</v>
      </c>
      <c r="G18" s="1816">
        <f t="shared" ref="G18:G140" si="4">IF(F18=0,0,D18-F18)</f>
        <v>0</v>
      </c>
    </row>
    <row r="19" spans="1:8" x14ac:dyDescent="0.25">
      <c r="A19" s="1960" t="s">
        <v>2105</v>
      </c>
      <c r="B19" s="1959" t="s">
        <v>2102</v>
      </c>
      <c r="C19" s="1957" t="s">
        <v>2101</v>
      </c>
      <c r="D19" s="1867">
        <v>54775</v>
      </c>
      <c r="E19" s="1562">
        <f t="shared" si="2"/>
        <v>25000</v>
      </c>
      <c r="F19" s="1815">
        <f t="shared" si="3"/>
        <v>25000</v>
      </c>
      <c r="G19" s="1816">
        <f t="shared" si="4"/>
        <v>29775</v>
      </c>
    </row>
    <row r="20" spans="1:8" x14ac:dyDescent="0.25">
      <c r="A20" s="1966" t="s">
        <v>2119</v>
      </c>
      <c r="B20" s="1967" t="s">
        <v>2117</v>
      </c>
      <c r="C20" s="1968" t="s">
        <v>2118</v>
      </c>
      <c r="D20" s="1867">
        <v>3000</v>
      </c>
      <c r="E20" s="1562">
        <f t="shared" si="2"/>
        <v>3000</v>
      </c>
      <c r="F20" s="1815">
        <f t="shared" si="3"/>
        <v>3000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957"/>
      <c r="D69" s="1867"/>
      <c r="E69" s="1562">
        <f t="shared" si="2"/>
        <v>0</v>
      </c>
      <c r="F69" s="1815">
        <f t="shared" si="3"/>
        <v>0</v>
      </c>
      <c r="G69" s="1816">
        <f t="shared" si="4"/>
        <v>0</v>
      </c>
    </row>
    <row r="70" spans="1:7" x14ac:dyDescent="0.25">
      <c r="A70" s="1675"/>
      <c r="B70" s="1689"/>
      <c r="C70" s="1957"/>
      <c r="D70" s="1867"/>
      <c r="E70" s="1562">
        <f t="shared" si="2"/>
        <v>0</v>
      </c>
      <c r="F70" s="1815">
        <f t="shared" si="3"/>
        <v>0</v>
      </c>
      <c r="G70" s="1816">
        <f t="shared" si="4"/>
        <v>0</v>
      </c>
    </row>
    <row r="71" spans="1:7" x14ac:dyDescent="0.25">
      <c r="A71" s="1675"/>
      <c r="B71" s="1958"/>
      <c r="C71" s="1957"/>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67186</v>
      </c>
      <c r="E141" s="1563">
        <f t="shared" si="1"/>
        <v>25000</v>
      </c>
      <c r="F141" s="1817">
        <f>SUM(F17:F140)</f>
        <v>37411</v>
      </c>
      <c r="G141" s="1818">
        <f>SUM(G17:G140)</f>
        <v>29775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10" t="s">
        <v>1776</v>
      </c>
      <c r="B5" s="2311"/>
      <c r="C5" s="2311"/>
      <c r="D5" s="2311"/>
      <c r="E5" s="2311"/>
      <c r="F5" s="2311"/>
      <c r="G5" s="231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26720</v>
      </c>
      <c r="F10" s="975"/>
      <c r="G10" s="976"/>
      <c r="H10" s="162"/>
      <c r="I10" s="162"/>
    </row>
    <row r="11" spans="1:9" s="669" customFormat="1" ht="22.5" customHeight="1" x14ac:dyDescent="0.2">
      <c r="A11" s="2315" t="s">
        <v>1943</v>
      </c>
      <c r="B11" s="2316"/>
      <c r="C11" s="2316"/>
      <c r="D11" s="2317"/>
      <c r="E11" s="978">
        <v>5919.11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628860</v>
      </c>
      <c r="F19" s="1822"/>
      <c r="G19" s="1824">
        <f>'Expenditures 15-22'!K33-SUM('Expenditures 15-22'!G33,'Expenditures 15-22'!I33)+'Expenditures 15-22'!D229</f>
        <v>628860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583</v>
      </c>
      <c r="B22" s="996"/>
      <c r="C22" s="994">
        <v>2200</v>
      </c>
      <c r="D22" s="1825"/>
      <c r="E22" s="1827">
        <f>'Expenditures 15-22'!K47-SUM('Expenditures 15-22'!G47,'Expenditures 15-22'!I47)+'Expenditures 15-22'!D243</f>
        <v>7494</v>
      </c>
      <c r="F22" s="1825"/>
      <c r="G22" s="1828">
        <f>'Expenditures 15-22'!K47-SUM('Expenditures 15-22'!G47,'Expenditures 15-22'!I47)+'Expenditures 15-22'!D243</f>
        <v>7494</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119316</v>
      </c>
      <c r="F23" s="1825"/>
      <c r="G23" s="1827">
        <f>'Expenditures 15-22'!K53-SUM('Expenditures 15-22'!G53,'Expenditures 15-22'!I53)+'Expenditures 15-22'!D257+'Expenditures 15-22'!K330-SUM('Expenditures 15-22'!G330,'Expenditures 15-22'!I330)</f>
        <v>119316</v>
      </c>
      <c r="H23" s="988"/>
      <c r="I23" s="162"/>
    </row>
    <row r="24" spans="1:9" s="669" customFormat="1" ht="12" customHeight="1" x14ac:dyDescent="0.2">
      <c r="A24" s="995" t="s">
        <v>585</v>
      </c>
      <c r="B24" s="996"/>
      <c r="C24" s="994">
        <v>2400</v>
      </c>
      <c r="D24" s="1825"/>
      <c r="E24" s="1827">
        <f>'Expenditures 15-22'!K57-SUM('Expenditures 15-22'!G57,'Expenditures 15-22'!I57)+'Expenditures 15-22'!D261</f>
        <v>44626</v>
      </c>
      <c r="F24" s="1825"/>
      <c r="G24" s="1828">
        <f>'Expenditures 15-22'!K57-SUM('Expenditures 15-22'!G57,'Expenditures 15-22'!I57)+'Expenditures 15-22'!D261</f>
        <v>44626</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42925</v>
      </c>
      <c r="E27" s="1827">
        <f>E8</f>
        <v>0</v>
      </c>
      <c r="F27" s="1827">
        <f>'Expenditures 15-22'!K60-SUM('Expenditures 15-22'!G60,'Expenditures 15-22'!I60)+'Expenditures 15-22'!D264-E8</f>
        <v>42925</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176175</v>
      </c>
      <c r="F28" s="1829">
        <f>'Expenditures 15-22'!K61-SUM('Expenditures 15-22'!G61,'Expenditures 15-22'!I61)+'Expenditures 15-22'!K124-SUM('Expenditures 15-22'!G124,'Expenditures 15-22'!I124)+'Expenditures 15-22'!D266-E9</f>
        <v>176175</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64715</v>
      </c>
      <c r="F29" s="1825"/>
      <c r="G29" s="1828">
        <f>'Expenditures 15-22'!K62-SUM('Expenditures 15-22'!G62,'Expenditures 15-22'!I62)+'Expenditures 15-22'!K125-SUM('Expenditures 15-22'!G125,'Expenditures 15-22'!I125)+'Expenditures 15-22'!K182-SUM('Expenditures 15-22'!G182,'Expenditures 15-22'!I182)+'Expenditures 15-22'!D267</f>
        <v>64715</v>
      </c>
      <c r="H29" s="986"/>
    </row>
    <row r="30" spans="1:9" ht="12" customHeight="1" x14ac:dyDescent="0.2">
      <c r="A30" s="995" t="s">
        <v>102</v>
      </c>
      <c r="B30" s="998"/>
      <c r="C30" s="994">
        <v>2560</v>
      </c>
      <c r="D30" s="1825"/>
      <c r="E30" s="1827">
        <f>'Expenditures 15-22'!K63-SUM('Expenditures 15-22'!G63,'Expenditures 15-22'!I63)+'Expenditures 15-22'!D268-E10</f>
        <v>22540</v>
      </c>
      <c r="F30" s="1825"/>
      <c r="G30" s="1827">
        <f>'Expenditures 15-22'!K63-SUM('Expenditures 15-22'!G63,'Expenditures 15-22'!I63)+'Expenditures 15-22'!D268-E10</f>
        <v>22540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14420</v>
      </c>
      <c r="E37" s="1827">
        <f>E14</f>
        <v>0</v>
      </c>
      <c r="F37" s="1827">
        <f>'Expenditures 15-22'!K71-SUM('Expenditures 15-22'!G71,'Expenditures 15-22'!I71)+'Expenditures 15-22'!D276-E14</f>
        <v>14420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-29775</v>
      </c>
      <c r="F40" s="1825"/>
      <c r="G40" s="1829">
        <f>-'Contracts Paid in CY 29'!G141</f>
        <v>-29775</v>
      </c>
    </row>
    <row r="41" spans="1:7" ht="12" customHeight="1" x14ac:dyDescent="0.2">
      <c r="A41" s="999" t="s">
        <v>158</v>
      </c>
      <c r="B41" s="1000"/>
      <c r="C41" s="1001"/>
      <c r="D41" s="1829">
        <f>SUM(D19:D39)</f>
        <v>57345</v>
      </c>
      <c r="E41" s="1829">
        <f>SUM(E19:E40)</f>
        <v>1033951</v>
      </c>
      <c r="F41" s="1829">
        <f>SUM(F19:F39)</f>
        <v>233520</v>
      </c>
      <c r="G41" s="1829">
        <f>SUM(G19:G40)</f>
        <v>857776</v>
      </c>
    </row>
    <row r="42" spans="1:7" x14ac:dyDescent="0.2">
      <c r="A42" s="988"/>
      <c r="B42" s="162"/>
      <c r="C42" s="1002"/>
      <c r="D42" s="2313" t="s">
        <v>541</v>
      </c>
      <c r="E42" s="2314"/>
      <c r="F42" s="1003" t="s">
        <v>542</v>
      </c>
      <c r="G42" s="1004"/>
    </row>
    <row r="43" spans="1:7" ht="12" customHeight="1" x14ac:dyDescent="0.2">
      <c r="A43" s="988"/>
      <c r="B43" s="162"/>
      <c r="C43" s="1002"/>
      <c r="D43" s="1830" t="s">
        <v>491</v>
      </c>
      <c r="E43" s="1831">
        <f>D41</f>
        <v>57345</v>
      </c>
      <c r="F43" s="1830" t="s">
        <v>493</v>
      </c>
      <c r="G43" s="1831">
        <f>F41</f>
        <v>233520</v>
      </c>
    </row>
    <row r="44" spans="1:7" ht="12" customHeight="1" x14ac:dyDescent="0.2">
      <c r="A44" s="988"/>
      <c r="B44" s="162"/>
      <c r="C44" s="1002"/>
      <c r="D44" s="1830" t="s">
        <v>492</v>
      </c>
      <c r="E44" s="1831">
        <f>E41</f>
        <v>1033951</v>
      </c>
      <c r="F44" s="1830" t="s">
        <v>492</v>
      </c>
      <c r="G44" s="1831">
        <f>G41</f>
        <v>857776</v>
      </c>
    </row>
    <row r="45" spans="1:7" ht="12" customHeight="1" x14ac:dyDescent="0.2">
      <c r="A45" s="988"/>
      <c r="B45" s="162"/>
      <c r="C45" s="162"/>
      <c r="D45" s="1832" t="s">
        <v>1061</v>
      </c>
      <c r="E45" s="1833">
        <f>(E43/E44)</f>
        <v>5.546200932152491E-2</v>
      </c>
      <c r="F45" s="1832" t="s">
        <v>1061</v>
      </c>
      <c r="G45" s="1833">
        <f>(G43/G44)</f>
        <v>0.27223890619462426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32" t="s">
        <v>1444</v>
      </c>
      <c r="B1" s="2332"/>
      <c r="C1" s="2332"/>
      <c r="D1" s="2332"/>
      <c r="E1" s="2332"/>
      <c r="F1" s="2332"/>
    </row>
    <row r="2" spans="1:10" x14ac:dyDescent="0.2">
      <c r="A2" s="1912" t="s">
        <v>2046</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33" t="s">
        <v>1625</v>
      </c>
      <c r="B5" s="2334"/>
      <c r="C5" s="2335"/>
      <c r="D5" s="2335"/>
      <c r="E5" s="2335"/>
      <c r="F5" s="2335"/>
    </row>
    <row r="6" spans="1:10" ht="12" customHeight="1" x14ac:dyDescent="0.25">
      <c r="A6" s="1875"/>
      <c r="B6" s="1876"/>
      <c r="C6" s="2336" t="str">
        <f>COVER!A17</f>
        <v>Bartelso SD 57</v>
      </c>
      <c r="D6" s="2336"/>
      <c r="E6" s="2336"/>
      <c r="F6" s="1877"/>
    </row>
    <row r="7" spans="1:10" ht="11.25" customHeight="1" thickBot="1" x14ac:dyDescent="0.3">
      <c r="A7" s="1875"/>
      <c r="B7" s="1876"/>
      <c r="C7" s="2337">
        <f>COVER!A13</f>
        <v>13014057002</v>
      </c>
      <c r="D7" s="2337"/>
      <c r="E7" s="2337"/>
      <c r="F7" s="1877"/>
    </row>
    <row r="8" spans="1:10" ht="25.5" customHeight="1" thickBot="1" x14ac:dyDescent="0.25">
      <c r="A8" s="1918" t="s">
        <v>2023</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t="s">
        <v>2075</v>
      </c>
      <c r="D26" s="1890" t="s">
        <v>2075</v>
      </c>
      <c r="E26" s="1893" t="s">
        <v>2075</v>
      </c>
      <c r="F26" s="1892" t="s">
        <v>2108</v>
      </c>
      <c r="H26" s="1903">
        <f t="shared" si="0"/>
        <v>5</v>
      </c>
      <c r="I26" s="1903">
        <f t="shared" si="1"/>
        <v>5</v>
      </c>
      <c r="J26" s="1903">
        <f t="shared" si="2"/>
        <v>5</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t="s">
        <v>2075</v>
      </c>
      <c r="D30" s="1890" t="s">
        <v>2075</v>
      </c>
      <c r="E30" s="1893" t="s">
        <v>2075</v>
      </c>
      <c r="F30" s="1892" t="s">
        <v>2109</v>
      </c>
      <c r="H30" s="1903">
        <f t="shared" si="0"/>
        <v>5</v>
      </c>
      <c r="I30" s="1903">
        <f t="shared" si="1"/>
        <v>5</v>
      </c>
      <c r="J30" s="1903">
        <f t="shared" si="2"/>
        <v>5</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1457</v>
      </c>
      <c r="B35" s="1897"/>
      <c r="C35" s="2338"/>
      <c r="D35" s="2338"/>
      <c r="E35" s="2338"/>
      <c r="F35" s="2339"/>
    </row>
    <row r="36" spans="1:11" ht="12" customHeight="1" x14ac:dyDescent="0.2">
      <c r="A36" s="2321"/>
      <c r="B36" s="2322"/>
      <c r="C36" s="2322"/>
      <c r="D36" s="2322"/>
      <c r="E36" s="2322"/>
      <c r="F36" s="2323"/>
    </row>
    <row r="37" spans="1:11" ht="12" customHeight="1" x14ac:dyDescent="0.2">
      <c r="A37" s="2321"/>
      <c r="B37" s="2322"/>
      <c r="C37" s="2322"/>
      <c r="D37" s="2322"/>
      <c r="E37" s="2322"/>
      <c r="F37" s="2323"/>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1456</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45" t="str">
        <f>COVER!A17</f>
        <v>Bartelso SD 57</v>
      </c>
      <c r="J6" s="2346"/>
      <c r="Q6" s="1686"/>
    </row>
    <row r="7" spans="1:17" x14ac:dyDescent="0.2">
      <c r="A7" s="2347" t="s">
        <v>922</v>
      </c>
      <c r="B7" s="2348"/>
      <c r="C7" s="2348"/>
      <c r="D7" s="2348"/>
      <c r="E7" s="2349"/>
      <c r="F7" s="1018"/>
      <c r="G7" s="1010"/>
      <c r="H7" s="1017" t="s">
        <v>388</v>
      </c>
      <c r="I7" s="2350">
        <f>COVER!A13</f>
        <v>13014057002</v>
      </c>
      <c r="J7" s="235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51" t="s">
        <v>500</v>
      </c>
      <c r="B11" s="2352"/>
      <c r="C11" s="2353"/>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39921</v>
      </c>
      <c r="F12" s="1040"/>
      <c r="G12" s="1834">
        <f t="shared" ref="G12:G18" si="0">SUM(E12:F12)</f>
        <v>39921</v>
      </c>
      <c r="H12" s="1041">
        <v>36450</v>
      </c>
      <c r="I12" s="1040"/>
      <c r="J12" s="1834">
        <f t="shared" ref="J12:J18" si="1">SUM(H12:I12)</f>
        <v>36450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5" customHeight="1" x14ac:dyDescent="0.2">
      <c r="A18" s="1043">
        <v>7</v>
      </c>
      <c r="B18" s="2354" t="s">
        <v>7</v>
      </c>
      <c r="C18" s="2355"/>
      <c r="D18" s="2356"/>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39921</v>
      </c>
      <c r="F19" s="1836">
        <f t="shared" si="2"/>
        <v>0</v>
      </c>
      <c r="G19" s="1836">
        <f t="shared" si="2"/>
        <v>39921</v>
      </c>
      <c r="H19" s="1836">
        <f t="shared" si="2"/>
        <v>36450</v>
      </c>
      <c r="I19" s="1836">
        <f t="shared" si="2"/>
        <v>0</v>
      </c>
      <c r="J19" s="1836">
        <f t="shared" si="2"/>
        <v>36450</v>
      </c>
    </row>
    <row r="20" spans="1:10" ht="13.5" thickTop="1" x14ac:dyDescent="0.2">
      <c r="A20" s="1036">
        <v>9</v>
      </c>
      <c r="B20" s="2357" t="s">
        <v>1701</v>
      </c>
      <c r="C20" s="2357"/>
      <c r="D20" s="2358"/>
      <c r="E20" s="1047"/>
      <c r="F20" s="1047"/>
      <c r="G20" s="1047"/>
      <c r="H20" s="1047"/>
      <c r="I20" s="1047"/>
      <c r="J20" s="1837">
        <f>IF(AND(G19&gt;0,J19&gt;0),(((J19-G19)/G19)),"Enter Budget Data")</f>
        <v>-8.6946719771548803E-2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3"/>
      <c r="D26" s="2363"/>
      <c r="E26" s="1051"/>
      <c r="F26" s="2362"/>
      <c r="G26" s="2362"/>
    </row>
    <row r="27" spans="1:10" x14ac:dyDescent="0.2">
      <c r="B27" s="1048"/>
      <c r="C27" s="1052" t="s">
        <v>1091</v>
      </c>
      <c r="D27" s="1053"/>
      <c r="E27" s="1054"/>
      <c r="F27" s="2359" t="s">
        <v>1587</v>
      </c>
      <c r="G27" s="2359"/>
    </row>
    <row r="28" spans="1:10" ht="28.5" customHeight="1" x14ac:dyDescent="0.2">
      <c r="B28" s="1048"/>
      <c r="C28" s="2361"/>
      <c r="D28" s="2361"/>
      <c r="E28" s="1055"/>
      <c r="F28" s="2361"/>
      <c r="G28" s="2361"/>
    </row>
    <row r="29" spans="1:10" x14ac:dyDescent="0.2">
      <c r="B29" s="1048"/>
      <c r="C29" s="1056" t="s">
        <v>1640</v>
      </c>
      <c r="E29" s="1057"/>
      <c r="F29" s="2360" t="s">
        <v>1588</v>
      </c>
      <c r="G29" s="2360"/>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42" t="s">
        <v>134</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63"/>
    </row>
    <row r="36" spans="1:10" ht="13.5" customHeight="1" x14ac:dyDescent="0.2">
      <c r="B36" s="1062"/>
      <c r="C36" s="2344" t="s">
        <v>1942</v>
      </c>
      <c r="D36" s="2343"/>
      <c r="E36" s="2343"/>
      <c r="F36" s="2343"/>
      <c r="G36" s="2343"/>
      <c r="H36" s="2343"/>
      <c r="I36" s="2343"/>
      <c r="J36" s="1064"/>
    </row>
    <row r="37" spans="1:10" ht="22.5" customHeight="1" x14ac:dyDescent="0.2">
      <c r="C37" s="2343"/>
      <c r="D37" s="2343"/>
      <c r="E37" s="2343"/>
      <c r="F37" s="2343"/>
      <c r="G37" s="2343"/>
      <c r="H37" s="2343"/>
      <c r="I37" s="2343"/>
      <c r="J37" s="1064"/>
    </row>
    <row r="38" spans="1:10" ht="7.5" customHeight="1" x14ac:dyDescent="0.2">
      <c r="C38" s="1063"/>
      <c r="D38" s="1065"/>
      <c r="E38" s="1066"/>
      <c r="F38" s="1067"/>
      <c r="G38" s="1066"/>
    </row>
    <row r="39" spans="1:10" ht="13.5" customHeight="1" x14ac:dyDescent="0.2">
      <c r="B39" s="1062"/>
      <c r="C39" s="2340" t="s">
        <v>935</v>
      </c>
      <c r="D39" s="2341"/>
      <c r="E39" s="2341"/>
      <c r="F39" s="2341"/>
      <c r="G39" s="2341"/>
      <c r="H39" s="2341"/>
      <c r="I39" s="234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3:B69"/>
  <sheetViews>
    <sheetView showGridLines="0" zoomScale="110" zoomScaleNormal="110" workbookViewId="0">
      <selection sqref="A1:F1"/>
    </sheetView>
  </sheetViews>
  <sheetFormatPr defaultRowHeight="12.75" x14ac:dyDescent="0.2"/>
  <cols>
    <col min="1" max="1" width="41.85546875" style="329" customWidth="1"/>
    <col min="2" max="2" width="15.140625" style="329" customWidth="1"/>
    <col min="3" max="3" width="3.140625" style="329" customWidth="1"/>
    <col min="4" max="16384" width="9.140625" style="329"/>
  </cols>
  <sheetData>
    <row r="3" spans="1:2" x14ac:dyDescent="0.2">
      <c r="A3" s="1069"/>
    </row>
    <row r="4" spans="1:2" x14ac:dyDescent="0.2">
      <c r="A4" s="1956" t="s">
        <v>2083</v>
      </c>
    </row>
    <row r="5" spans="1:2" x14ac:dyDescent="0.2">
      <c r="A5" s="1070" t="s">
        <v>2085</v>
      </c>
    </row>
    <row r="6" spans="1:2" ht="13.5" thickBot="1" x14ac:dyDescent="0.25">
      <c r="A6" s="1070" t="s">
        <v>2110</v>
      </c>
      <c r="B6" s="1961">
        <v>3675</v>
      </c>
    </row>
    <row r="7" spans="1:2" ht="13.5" thickTop="1" x14ac:dyDescent="0.2">
      <c r="A7" s="1069"/>
      <c r="B7" s="1962"/>
    </row>
    <row r="8" spans="1:2" x14ac:dyDescent="0.2">
      <c r="A8" s="1070"/>
      <c r="B8" s="1962"/>
    </row>
    <row r="9" spans="1:2" x14ac:dyDescent="0.2">
      <c r="A9" s="1956" t="s">
        <v>2084</v>
      </c>
      <c r="B9" s="1962"/>
    </row>
    <row r="10" spans="1:2" x14ac:dyDescent="0.2">
      <c r="A10" s="1070" t="s">
        <v>2085</v>
      </c>
      <c r="B10" s="1962"/>
    </row>
    <row r="11" spans="1:2" x14ac:dyDescent="0.2">
      <c r="A11" s="1070" t="s">
        <v>2112</v>
      </c>
      <c r="B11" s="1963">
        <v>750</v>
      </c>
    </row>
    <row r="12" spans="1:2" x14ac:dyDescent="0.2">
      <c r="A12" s="1070" t="s">
        <v>2113</v>
      </c>
      <c r="B12" s="1963">
        <v>670</v>
      </c>
    </row>
    <row r="13" spans="1:2" x14ac:dyDescent="0.2">
      <c r="A13" s="1070" t="s">
        <v>2114</v>
      </c>
      <c r="B13" s="1963">
        <v>500</v>
      </c>
    </row>
    <row r="14" spans="1:2" x14ac:dyDescent="0.2">
      <c r="A14" s="1070" t="s">
        <v>2115</v>
      </c>
      <c r="B14" s="1963">
        <v>500</v>
      </c>
    </row>
    <row r="15" spans="1:2" x14ac:dyDescent="0.2">
      <c r="A15" s="1070" t="s">
        <v>2116</v>
      </c>
      <c r="B15" s="1964">
        <v>2232</v>
      </c>
    </row>
    <row r="16" spans="1:2" ht="13.5" thickBot="1" x14ac:dyDescent="0.25">
      <c r="A16" s="1070"/>
      <c r="B16" s="1965">
        <f>SUM(B11:B15)</f>
        <v>4652</v>
      </c>
    </row>
    <row r="17" spans="1:2" ht="13.5" thickTop="1" x14ac:dyDescent="0.2">
      <c r="A17" s="1070"/>
      <c r="B17" s="1962"/>
    </row>
    <row r="18" spans="1:2" x14ac:dyDescent="0.2">
      <c r="A18" s="1070" t="s">
        <v>2086</v>
      </c>
      <c r="B18" s="1962"/>
    </row>
    <row r="19" spans="1:2" ht="13.5" thickBot="1" x14ac:dyDescent="0.25">
      <c r="A19" s="1070" t="s">
        <v>2111</v>
      </c>
      <c r="B19" s="1961">
        <v>1500</v>
      </c>
    </row>
    <row r="20" spans="1:2" ht="13.5" thickTop="1"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c r="B68" s="258"/>
    </row>
    <row r="69" spans="1:2" x14ac:dyDescent="0.2">
      <c r="B69" s="1071"/>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64" t="s">
        <v>1782</v>
      </c>
      <c r="B18" s="236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autoPict="0" r:id="rId5">
            <anchor moveWithCells="1">
              <from>
                <xdr:col>1</xdr:col>
                <xdr:colOff>0</xdr:colOff>
                <xdr:row>6</xdr:row>
                <xdr:rowOff>47625</xdr:rowOff>
              </from>
              <to>
                <xdr:col>1</xdr:col>
                <xdr:colOff>914400</xdr:colOff>
                <xdr:row>10</xdr:row>
                <xdr:rowOff>142875</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1788</v>
      </c>
      <c r="B1" s="2366"/>
      <c r="C1" s="2366"/>
      <c r="D1" s="2366"/>
      <c r="E1" s="2366"/>
      <c r="F1" s="2367"/>
    </row>
    <row r="2" spans="1:8" ht="45" customHeight="1" x14ac:dyDescent="0.2">
      <c r="A2" s="2375" t="s">
        <v>1789</v>
      </c>
      <c r="B2" s="2376"/>
      <c r="C2" s="2376"/>
      <c r="D2" s="2376"/>
      <c r="E2" s="2376"/>
      <c r="F2" s="2377"/>
      <c r="G2" s="1075"/>
      <c r="H2" s="1075"/>
    </row>
    <row r="3" spans="1:8" ht="57" customHeight="1" x14ac:dyDescent="0.2">
      <c r="A3" s="2378" t="s">
        <v>1784</v>
      </c>
      <c r="B3" s="2379"/>
      <c r="C3" s="2379"/>
      <c r="D3" s="2379"/>
      <c r="E3" s="2379"/>
      <c r="F3" s="2380"/>
      <c r="G3" s="1075"/>
      <c r="H3" s="1075"/>
    </row>
    <row r="4" spans="1:8" ht="14.25" customHeight="1" x14ac:dyDescent="0.2">
      <c r="A4" s="2384" t="s">
        <v>2054</v>
      </c>
      <c r="B4" s="2385"/>
      <c r="C4" s="2385"/>
      <c r="D4" s="2385"/>
      <c r="E4" s="2385"/>
      <c r="F4" s="2386"/>
      <c r="G4" s="1075"/>
      <c r="H4" s="1075"/>
    </row>
    <row r="5" spans="1:8" ht="14.25" customHeight="1" x14ac:dyDescent="0.2">
      <c r="A5" s="2387" t="s">
        <v>2055</v>
      </c>
      <c r="B5" s="2388"/>
      <c r="C5" s="2388"/>
      <c r="D5" s="2388"/>
      <c r="E5" s="2388"/>
      <c r="F5" s="2389"/>
      <c r="G5" s="1075"/>
      <c r="H5" s="1075"/>
    </row>
    <row r="6" spans="1:8" s="1076" customFormat="1" ht="41.25" customHeight="1" x14ac:dyDescent="0.2">
      <c r="A6" s="2381" t="s">
        <v>1790</v>
      </c>
      <c r="B6" s="2382"/>
      <c r="C6" s="2382"/>
      <c r="D6" s="2382"/>
      <c r="E6" s="2382"/>
      <c r="F6" s="2383"/>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924411</v>
      </c>
      <c r="C8" s="1838">
        <f>'Acct Summary 7-8'!D8</f>
        <v>62080</v>
      </c>
      <c r="D8" s="1838">
        <f>'Acct Summary 7-8'!F8</f>
        <v>64833</v>
      </c>
      <c r="E8" s="1838">
        <f>'Acct Summary 7-8'!I8</f>
        <v>11717</v>
      </c>
      <c r="F8" s="1838">
        <f>SUM(B8:E8)</f>
        <v>1063041</v>
      </c>
    </row>
    <row r="9" spans="1:8" s="1080" customFormat="1" ht="14.25" customHeight="1" thickBot="1" x14ac:dyDescent="0.25">
      <c r="A9" s="1079" t="s">
        <v>1434</v>
      </c>
      <c r="B9" s="1839">
        <f>'Acct Summary 7-8'!C17</f>
        <v>882341</v>
      </c>
      <c r="C9" s="1839">
        <f>'Acct Summary 7-8'!D17</f>
        <v>140133</v>
      </c>
      <c r="D9" s="1839">
        <f>'Acct Summary 7-8'!F17</f>
        <v>64589</v>
      </c>
      <c r="E9" s="1838"/>
      <c r="F9" s="1838">
        <f>SUM(B9:E9)</f>
        <v>1087063</v>
      </c>
    </row>
    <row r="10" spans="1:8" s="1080" customFormat="1" ht="14.25" thickTop="1" thickBot="1" x14ac:dyDescent="0.25">
      <c r="A10" s="1081" t="s">
        <v>1435</v>
      </c>
      <c r="B10" s="1840">
        <f>(B8-B9)</f>
        <v>42070</v>
      </c>
      <c r="C10" s="1840">
        <f>(C8-C9)</f>
        <v>-78053</v>
      </c>
      <c r="D10" s="1840">
        <f>(D8-D9)</f>
        <v>244</v>
      </c>
      <c r="E10" s="1839">
        <f>(E8-E9)</f>
        <v>11717</v>
      </c>
      <c r="F10" s="1841">
        <f>SUM(F8-F9)</f>
        <v>-24022</v>
      </c>
    </row>
    <row r="11" spans="1:8" s="1080" customFormat="1" ht="14.25" thickTop="1" thickBot="1" x14ac:dyDescent="0.25">
      <c r="A11" s="1082" t="s">
        <v>1783</v>
      </c>
      <c r="B11" s="1842">
        <f>'Acct Summary 7-8'!C81</f>
        <v>1260464</v>
      </c>
      <c r="C11" s="1842">
        <f>'Acct Summary 7-8'!D81</f>
        <v>36311</v>
      </c>
      <c r="D11" s="1842">
        <f>'Acct Summary 7-8'!F81</f>
        <v>73486</v>
      </c>
      <c r="E11" s="1842">
        <f>'Acct Summary 7-8'!I81</f>
        <v>220182</v>
      </c>
      <c r="F11" s="1843">
        <f>SUM(B11:E11)</f>
        <v>1590443</v>
      </c>
    </row>
    <row r="12" spans="1:8" ht="16.5" customHeight="1" thickTop="1" x14ac:dyDescent="0.2">
      <c r="A12" s="1083"/>
      <c r="B12" s="1084"/>
      <c r="C12" s="2369" t="str">
        <f>IF(AND(F10&lt;0,F11&gt;=0,ABS(F10*3)&gt;ABS(F11)),A16,IF(AND(F10&lt;0,F11&gt;0,ABS(F10*3)&lt;=ABS(F11)),A17,IF(AND(F10&lt;0,F11&lt;0),A16,IF(F11=0,A19,A18))))</f>
        <v>Unbalanced -  however, a deficit reduction plan is not required at this time.</v>
      </c>
      <c r="D12" s="2370"/>
      <c r="E12" s="2370"/>
      <c r="F12" s="2371"/>
    </row>
    <row r="13" spans="1:8" ht="19.5" customHeight="1" x14ac:dyDescent="0.2">
      <c r="A13" s="1085"/>
      <c r="B13" s="1086"/>
      <c r="C13" s="2369"/>
      <c r="D13" s="2370"/>
      <c r="E13" s="2370"/>
      <c r="F13" s="2371"/>
      <c r="H13" s="1075"/>
    </row>
    <row r="14" spans="1:8" ht="19.5" customHeight="1" x14ac:dyDescent="0.2">
      <c r="A14" s="1085"/>
      <c r="B14" s="1086"/>
      <c r="C14" s="2369"/>
      <c r="D14" s="2370"/>
      <c r="E14" s="2370"/>
      <c r="F14" s="2371"/>
      <c r="H14" s="1075"/>
    </row>
    <row r="15" spans="1:8" ht="17.25" customHeight="1" x14ac:dyDescent="0.2">
      <c r="A15" s="1085"/>
      <c r="B15" s="1086"/>
      <c r="C15" s="2372"/>
      <c r="D15" s="2373"/>
      <c r="E15" s="2373"/>
      <c r="F15" s="2374"/>
      <c r="H15" s="1075"/>
    </row>
    <row r="16" spans="1:8" s="310" customFormat="1" ht="51.75" hidden="1" customHeight="1" x14ac:dyDescent="0.2">
      <c r="A16" s="2368" t="s">
        <v>1785</v>
      </c>
      <c r="B16" s="2368"/>
      <c r="C16" s="2368"/>
      <c r="D16" s="2368"/>
      <c r="E16" s="2368"/>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0" t="s">
        <v>684</v>
      </c>
      <c r="B3" s="2391"/>
      <c r="C3" s="2391"/>
      <c r="D3" s="2392"/>
    </row>
    <row r="4" spans="1:4" x14ac:dyDescent="0.2">
      <c r="A4" s="1153" t="s">
        <v>1791</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401" t="s">
        <v>1582</v>
      </c>
      <c r="D7" s="2402"/>
    </row>
    <row r="8" spans="1:4" s="669" customFormat="1" ht="12.75" x14ac:dyDescent="0.2">
      <c r="A8" s="1139"/>
      <c r="B8" s="1094"/>
      <c r="C8" s="1097" t="s">
        <v>1581</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93" t="s">
        <v>1063</v>
      </c>
      <c r="B15" s="2394"/>
      <c r="C15" s="2394"/>
      <c r="D15" s="2395"/>
    </row>
    <row r="16" spans="1:4" s="669" customFormat="1" ht="24" customHeight="1" x14ac:dyDescent="0.2">
      <c r="A16" s="2396" t="s">
        <v>682</v>
      </c>
      <c r="B16" s="2397"/>
      <c r="C16" s="2397"/>
      <c r="D16" s="2398"/>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405" t="s">
        <v>330</v>
      </c>
      <c r="D21" s="2406"/>
    </row>
    <row r="22" spans="1:10" ht="12.75" x14ac:dyDescent="0.2">
      <c r="A22" s="1140"/>
      <c r="B22" s="1141">
        <v>2</v>
      </c>
      <c r="C22" s="2403" t="s">
        <v>1603</v>
      </c>
      <c r="D22" s="2404"/>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07" t="s">
        <v>555</v>
      </c>
      <c r="D43" s="2408"/>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9" t="s">
        <v>815</v>
      </c>
      <c r="D56" s="2400"/>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1077</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9" t="s">
        <v>1795</v>
      </c>
      <c r="D70" s="2400"/>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13014057002</v>
      </c>
    </row>
    <row r="3" spans="1:2" x14ac:dyDescent="0.2">
      <c r="A3" t="s">
        <v>1011</v>
      </c>
      <c r="B3" s="138" t="str">
        <f>COVER!A15</f>
        <v>Clinton</v>
      </c>
    </row>
    <row r="4" spans="1:2" x14ac:dyDescent="0.2">
      <c r="A4" t="s">
        <v>1062</v>
      </c>
      <c r="B4" s="138" t="str">
        <f>COVER!A17</f>
        <v>Bartelso SD 57</v>
      </c>
    </row>
    <row r="5" spans="1:2" x14ac:dyDescent="0.2">
      <c r="A5" t="s">
        <v>726</v>
      </c>
      <c r="B5" s="138" t="str">
        <f>COVER!A38</f>
        <v>Tom Siegler</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701279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1260600</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136</v>
      </c>
      <c r="C91" s="2" t="s">
        <v>592</v>
      </c>
      <c r="D91" s="2" t="str">
        <f t="shared" si="0"/>
        <v>Error?</v>
      </c>
    </row>
    <row r="92" spans="1:4" x14ac:dyDescent="0.2">
      <c r="A92" s="5">
        <v>31</v>
      </c>
      <c r="B92" s="138">
        <f>'Assets-Liab 5-6'!C39</f>
        <v>1239336</v>
      </c>
      <c r="D92" s="2" t="str">
        <f t="shared" si="0"/>
        <v>Error?</v>
      </c>
    </row>
    <row r="93" spans="1:4" x14ac:dyDescent="0.2">
      <c r="A93" s="5">
        <v>32</v>
      </c>
      <c r="B93" s="138">
        <f>'Assets-Liab 5-6'!C41</f>
        <v>1260600</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36311</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36311</v>
      </c>
      <c r="D123" s="2" t="str">
        <f t="shared" si="0"/>
        <v>Error?</v>
      </c>
    </row>
    <row r="124" spans="1:4" x14ac:dyDescent="0.2">
      <c r="A124" s="5">
        <v>63</v>
      </c>
      <c r="B124" s="138">
        <f>'Assets-Liab 5-6'!D41</f>
        <v>36311</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73486</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73486</v>
      </c>
      <c r="D170" s="2" t="str">
        <f t="shared" si="1"/>
        <v>Error?</v>
      </c>
    </row>
    <row r="171" spans="1:4" x14ac:dyDescent="0.2">
      <c r="A171" s="5">
        <v>110</v>
      </c>
      <c r="B171" s="138">
        <f>'Assets-Liab 5-6'!F41</f>
        <v>73486</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46393</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45308</v>
      </c>
      <c r="D189" s="2" t="str">
        <f t="shared" si="1"/>
        <v>Error?</v>
      </c>
    </row>
    <row r="190" spans="1:4" x14ac:dyDescent="0.2">
      <c r="A190" s="5">
        <v>129</v>
      </c>
      <c r="B190" s="138">
        <f>'Assets-Liab 5-6'!G41</f>
        <v>46393</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85673</v>
      </c>
      <c r="D275" s="2" t="str">
        <f t="shared" si="3"/>
        <v>Error?</v>
      </c>
    </row>
    <row r="276" spans="1:4" x14ac:dyDescent="0.2">
      <c r="A276" s="5">
        <v>215</v>
      </c>
      <c r="B276" s="138">
        <f>'Assets-Liab 5-6'!M19</f>
        <v>516545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602218</v>
      </c>
      <c r="C279" s="2" t="s">
        <v>592</v>
      </c>
      <c r="D279" s="2" t="str">
        <f t="shared" si="3"/>
        <v>Error?</v>
      </c>
    </row>
    <row r="280" spans="1:4" x14ac:dyDescent="0.2">
      <c r="A280" s="5">
        <v>219</v>
      </c>
      <c r="B280" s="138">
        <f>'Assets-Liab 5-6'!M40</f>
        <v>602218</v>
      </c>
      <c r="D280" s="2" t="str">
        <f t="shared" si="3"/>
        <v>Error?</v>
      </c>
    </row>
    <row r="281" spans="1:4" x14ac:dyDescent="0.2">
      <c r="A281" s="5">
        <v>220</v>
      </c>
      <c r="B281" s="138">
        <f>'Assets-Liab 5-6'!M41</f>
        <v>602218</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637000</v>
      </c>
      <c r="D283" s="2" t="str">
        <f t="shared" si="3"/>
        <v>Error?</v>
      </c>
    </row>
    <row r="284" spans="1:4" x14ac:dyDescent="0.2">
      <c r="A284" s="5">
        <v>223</v>
      </c>
      <c r="B284" s="138">
        <f>'Assets-Liab 5-6'!N23</f>
        <v>637000</v>
      </c>
      <c r="C284" s="2" t="s">
        <v>592</v>
      </c>
      <c r="D284" s="2" t="str">
        <f t="shared" si="3"/>
        <v>Error?</v>
      </c>
    </row>
    <row r="285" spans="1:4" x14ac:dyDescent="0.2">
      <c r="A285" s="5">
        <v>224</v>
      </c>
      <c r="B285" s="138">
        <f>'Assets-Liab 5-6'!N36</f>
        <v>637000</v>
      </c>
      <c r="D285" s="2" t="str">
        <f t="shared" si="3"/>
        <v>Error?</v>
      </c>
    </row>
    <row r="286" spans="1:4" x14ac:dyDescent="0.2">
      <c r="A286" s="10">
        <v>225</v>
      </c>
      <c r="D286" s="2" t="str">
        <f t="shared" si="3"/>
        <v>OK</v>
      </c>
    </row>
    <row r="287" spans="1:4" x14ac:dyDescent="0.2">
      <c r="A287" s="5">
        <v>226</v>
      </c>
      <c r="B287" s="138">
        <f>'Assets-Liab 5-6'!N37</f>
        <v>637000</v>
      </c>
      <c r="C287" s="2" t="s">
        <v>592</v>
      </c>
      <c r="D287" s="2" t="str">
        <f t="shared" si="3"/>
        <v>Error?</v>
      </c>
    </row>
    <row r="288" spans="1:4" x14ac:dyDescent="0.2">
      <c r="A288" s="5">
        <v>227</v>
      </c>
      <c r="B288" s="138">
        <f>'Assets-Liab 5-6'!N41</f>
        <v>637000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424378</v>
      </c>
      <c r="D705" s="2" t="str">
        <f t="shared" si="10"/>
        <v>Error?</v>
      </c>
    </row>
    <row r="706" spans="1:4" x14ac:dyDescent="0.2">
      <c r="A706" s="5">
        <v>645</v>
      </c>
      <c r="B706" s="138">
        <f>'Expenditures 15-22'!C16</f>
        <v>40127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9920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515531</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592</v>
      </c>
      <c r="D727" s="2" t="str">
        <f t="shared" si="10"/>
        <v>Error?</v>
      </c>
    </row>
    <row r="728" spans="1:4" x14ac:dyDescent="0.2">
      <c r="A728" s="5">
        <v>667</v>
      </c>
      <c r="B728" s="138">
        <f>'Expenditures 15-22'!C44</f>
        <v>770</v>
      </c>
      <c r="D728" s="2" t="str">
        <f t="shared" si="10"/>
        <v>Error?</v>
      </c>
    </row>
    <row r="729" spans="1:4" x14ac:dyDescent="0.2">
      <c r="A729" s="5">
        <v>668</v>
      </c>
      <c r="B729" s="138">
        <f>'Expenditures 15-22'!C45</f>
        <v>1300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2070</v>
      </c>
      <c r="C731" s="2" t="s">
        <v>592</v>
      </c>
      <c r="D731" s="2" t="str">
        <f t="shared" si="10"/>
        <v>Error?</v>
      </c>
    </row>
    <row r="732" spans="1:4" x14ac:dyDescent="0.2">
      <c r="A732" s="5">
        <v>671</v>
      </c>
      <c r="B732" s="138">
        <f>'Expenditures 15-22'!C49</f>
        <v>1650</v>
      </c>
      <c r="D732" s="2" t="str">
        <f t="shared" si="10"/>
        <v>Error?</v>
      </c>
    </row>
    <row r="733" spans="1:4" x14ac:dyDescent="0.2">
      <c r="A733" s="5">
        <v>672</v>
      </c>
      <c r="B733" s="138">
        <f>'Expenditures 15-22'!C50</f>
        <v>34800</v>
      </c>
      <c r="D733" s="2" t="str">
        <f t="shared" si="10"/>
        <v>Error?</v>
      </c>
    </row>
    <row r="734" spans="1:4" x14ac:dyDescent="0.2">
      <c r="A734" s="5">
        <v>673</v>
      </c>
      <c r="B734" s="138">
        <f>'Expenditures 15-22'!C53</f>
        <v>36450</v>
      </c>
      <c r="C734" s="2" t="s">
        <v>592</v>
      </c>
      <c r="D734" s="2" t="str">
        <f t="shared" si="10"/>
        <v>Error?</v>
      </c>
    </row>
    <row r="735" spans="1:4" x14ac:dyDescent="0.2">
      <c r="A735" s="5">
        <v>674</v>
      </c>
      <c r="B735" s="138">
        <f>'Expenditures 15-22'!C55</f>
        <v>37656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37656</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30978</v>
      </c>
      <c r="D739" s="2" t="str">
        <f t="shared" si="10"/>
        <v>Error?</v>
      </c>
    </row>
    <row r="740" spans="1:4" x14ac:dyDescent="0.2">
      <c r="A740" s="5">
        <v>679</v>
      </c>
      <c r="B740" s="138">
        <f>'Expenditures 15-22'!C61</f>
        <v>29555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19597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80130</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156306</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671837</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53669</v>
      </c>
      <c r="D763" s="2" t="str">
        <f t="shared" si="10"/>
        <v>Error?</v>
      </c>
    </row>
    <row r="764" spans="1:4" x14ac:dyDescent="0.2">
      <c r="A764" s="5">
        <v>703</v>
      </c>
      <c r="B764" s="138">
        <f>'Expenditures 15-22'!D16</f>
        <v>5154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63674</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592</v>
      </c>
      <c r="D785" s="2" t="str">
        <f t="shared" si="11"/>
        <v>Error?</v>
      </c>
    </row>
    <row r="786" spans="1:4" x14ac:dyDescent="0.2">
      <c r="A786" s="5">
        <v>725</v>
      </c>
      <c r="B786" s="138">
        <f>'Expenditures 15-22'!D44</f>
        <v>9</v>
      </c>
      <c r="D786" s="2" t="str">
        <f t="shared" si="11"/>
        <v>Error?</v>
      </c>
    </row>
    <row r="787" spans="1:4" x14ac:dyDescent="0.2">
      <c r="A787" s="5">
        <v>726</v>
      </c>
      <c r="B787" s="138">
        <f>'Expenditures 15-22'!D45</f>
        <v>166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175</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4452</v>
      </c>
      <c r="D791" s="2" t="str">
        <f t="shared" si="11"/>
        <v>Error?</v>
      </c>
    </row>
    <row r="792" spans="1:4" x14ac:dyDescent="0.2">
      <c r="A792" s="5">
        <v>731</v>
      </c>
      <c r="B792" s="138">
        <f>'Expenditures 15-22'!D53</f>
        <v>4452</v>
      </c>
      <c r="C792" s="2" t="s">
        <v>592</v>
      </c>
      <c r="D792" s="2" t="str">
        <f t="shared" si="11"/>
        <v>Error?</v>
      </c>
    </row>
    <row r="793" spans="1:4" x14ac:dyDescent="0.2">
      <c r="A793" s="5">
        <v>732</v>
      </c>
      <c r="B793" s="138">
        <f>'Expenditures 15-22'!D55</f>
        <v>3561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3561</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8188</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71862</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15977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6544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24821</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592</v>
      </c>
      <c r="D843" s="2" t="str">
        <f t="shared" si="12"/>
        <v>Error?</v>
      </c>
    </row>
    <row r="844" spans="1:4" x14ac:dyDescent="0.2">
      <c r="A844" s="5">
        <v>783</v>
      </c>
      <c r="B844" s="138">
        <f>'Expenditures 15-22'!E44</f>
        <v>2481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2738</v>
      </c>
      <c r="D846" s="2" t="str">
        <f t="shared" si="12"/>
        <v>Error?</v>
      </c>
    </row>
    <row r="847" spans="1:4" x14ac:dyDescent="0.2">
      <c r="A847" s="5">
        <v>786</v>
      </c>
      <c r="B847" s="138">
        <f>'Expenditures 15-22'!E47</f>
        <v>5219</v>
      </c>
      <c r="C847" s="2" t="s">
        <v>592</v>
      </c>
      <c r="D847" s="2" t="str">
        <f t="shared" si="12"/>
        <v>Error?</v>
      </c>
    </row>
    <row r="848" spans="1:4" x14ac:dyDescent="0.2">
      <c r="A848" s="5">
        <v>787</v>
      </c>
      <c r="B848" s="138">
        <f>'Expenditures 15-22'!E49</f>
        <v>1998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1998</v>
      </c>
      <c r="C850" s="2" t="s">
        <v>592</v>
      </c>
      <c r="D850" s="2" t="str">
        <f t="shared" si="12"/>
        <v>Error?</v>
      </c>
    </row>
    <row r="851" spans="1:4" x14ac:dyDescent="0.2">
      <c r="A851" s="5">
        <v>790</v>
      </c>
      <c r="B851" s="138">
        <f>'Expenditures 15-22'!E55</f>
        <v>1193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1193</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5832</v>
      </c>
      <c r="D855" s="2" t="str">
        <f t="shared" si="12"/>
        <v>Error?</v>
      </c>
    </row>
    <row r="856" spans="1:4" x14ac:dyDescent="0.2">
      <c r="A856" s="5">
        <v>795</v>
      </c>
      <c r="B856" s="138">
        <f>'Expenditures 15-22'!E61</f>
        <v>163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6441</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14205</v>
      </c>
      <c r="D867" s="2" t="str">
        <f t="shared" si="12"/>
        <v>Error?</v>
      </c>
    </row>
    <row r="868" spans="1:4" x14ac:dyDescent="0.2">
      <c r="A868" s="10">
        <v>807</v>
      </c>
      <c r="D868" s="2" t="str">
        <f t="shared" si="12"/>
        <v>OK</v>
      </c>
    </row>
    <row r="869" spans="1:4" x14ac:dyDescent="0.2">
      <c r="A869" s="5">
        <v>808</v>
      </c>
      <c r="B869" s="138">
        <f>'Expenditures 15-22'!E72</f>
        <v>14205</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29056</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74716</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14704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14704</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592</v>
      </c>
      <c r="D908" s="2" t="str">
        <f t="shared" si="13"/>
        <v>Error?</v>
      </c>
    </row>
    <row r="909" spans="1:4" x14ac:dyDescent="0.2">
      <c r="A909" s="5">
        <v>848</v>
      </c>
      <c r="B909" s="138">
        <f>'Expenditures 15-22'!F55</f>
        <v>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94</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26274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26703</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215</v>
      </c>
      <c r="D925" s="2" t="str">
        <f t="shared" si="13"/>
        <v>Error?</v>
      </c>
    </row>
    <row r="926" spans="1:4" x14ac:dyDescent="0.2">
      <c r="A926" s="10">
        <v>865</v>
      </c>
      <c r="D926" s="2" t="str">
        <f t="shared" si="13"/>
        <v>OK</v>
      </c>
    </row>
    <row r="927" spans="1:4" x14ac:dyDescent="0.2">
      <c r="A927" s="5">
        <v>866</v>
      </c>
      <c r="B927" s="138">
        <f>'Expenditures 15-22'!F72</f>
        <v>215</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27012</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41716</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21078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21078</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21078</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669</v>
      </c>
      <c r="D1023" s="2" t="str">
        <f t="shared" ref="D1023:D1086" si="15">IF(ISBLANK(B1023),"OK",IF(A1023-B1023=0,"OK","Error?"))</f>
        <v>Error?</v>
      </c>
    </row>
    <row r="1024" spans="1:4" x14ac:dyDescent="0.2">
      <c r="A1024" s="5">
        <v>963</v>
      </c>
      <c r="B1024" s="138">
        <f>'Expenditures 15-22'!H53</f>
        <v>669</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263</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932</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1132</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529806</v>
      </c>
      <c r="C1093" s="2" t="s">
        <v>592</v>
      </c>
      <c r="D1093" s="2" t="str">
        <f t="shared" si="16"/>
        <v>Error?</v>
      </c>
    </row>
    <row r="1094" spans="1:4" x14ac:dyDescent="0.2">
      <c r="A1094" s="5">
        <v>1033</v>
      </c>
      <c r="B1094" s="138">
        <f>'Expenditures 15-22'!K16</f>
        <v>45281</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16464</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640008</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0</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0</v>
      </c>
      <c r="C1115" s="2" t="s">
        <v>592</v>
      </c>
      <c r="D1115" s="2" t="str">
        <f t="shared" si="16"/>
        <v>Error?</v>
      </c>
    </row>
    <row r="1116" spans="1:4" x14ac:dyDescent="0.2">
      <c r="A1116" s="5">
        <v>1055</v>
      </c>
      <c r="B1116" s="138">
        <f>'Expenditures 15-22'!K44</f>
        <v>3260</v>
      </c>
      <c r="C1116" s="2" t="s">
        <v>592</v>
      </c>
      <c r="D1116" s="2" t="str">
        <f t="shared" si="16"/>
        <v>Error?</v>
      </c>
    </row>
    <row r="1117" spans="1:4" x14ac:dyDescent="0.2">
      <c r="A1117" s="5">
        <v>1056</v>
      </c>
      <c r="B1117" s="138">
        <f>'Expenditures 15-22'!K45</f>
        <v>1466</v>
      </c>
      <c r="C1117" s="2" t="s">
        <v>592</v>
      </c>
      <c r="D1117" s="2" t="str">
        <f t="shared" si="16"/>
        <v>Error?</v>
      </c>
    </row>
    <row r="1118" spans="1:4" x14ac:dyDescent="0.2">
      <c r="A1118" s="5">
        <v>1057</v>
      </c>
      <c r="B1118" s="138">
        <f>'Expenditures 15-22'!K46</f>
        <v>2738</v>
      </c>
      <c r="C1118" s="2" t="s">
        <v>592</v>
      </c>
      <c r="D1118" s="2" t="str">
        <f t="shared" si="16"/>
        <v>Error?</v>
      </c>
    </row>
    <row r="1119" spans="1:4" x14ac:dyDescent="0.2">
      <c r="A1119" s="5">
        <v>1058</v>
      </c>
      <c r="B1119" s="138">
        <f>'Expenditures 15-22'!K47</f>
        <v>7464</v>
      </c>
      <c r="C1119" s="2" t="s">
        <v>592</v>
      </c>
      <c r="D1119" s="2" t="str">
        <f t="shared" si="16"/>
        <v>Error?</v>
      </c>
    </row>
    <row r="1120" spans="1:4" x14ac:dyDescent="0.2">
      <c r="A1120" s="5">
        <v>1059</v>
      </c>
      <c r="B1120" s="138">
        <f>'Expenditures 15-22'!K49</f>
        <v>3648</v>
      </c>
      <c r="C1120" s="2" t="s">
        <v>592</v>
      </c>
      <c r="D1120" s="2" t="str">
        <f t="shared" si="16"/>
        <v>Error?</v>
      </c>
    </row>
    <row r="1121" spans="1:4" x14ac:dyDescent="0.2">
      <c r="A1121" s="5">
        <v>1060</v>
      </c>
      <c r="B1121" s="138">
        <f>'Expenditures 15-22'!K50</f>
        <v>39921</v>
      </c>
      <c r="C1121" s="2" t="s">
        <v>592</v>
      </c>
      <c r="D1121" s="2" t="str">
        <f t="shared" si="16"/>
        <v>Error?</v>
      </c>
    </row>
    <row r="1122" spans="1:4" x14ac:dyDescent="0.2">
      <c r="A1122" s="5">
        <v>1061</v>
      </c>
      <c r="B1122" s="138">
        <f>'Expenditures 15-22'!K53</f>
        <v>43569</v>
      </c>
      <c r="C1122" s="2" t="s">
        <v>592</v>
      </c>
      <c r="D1122" s="2" t="str">
        <f t="shared" si="16"/>
        <v>Error?</v>
      </c>
    </row>
    <row r="1123" spans="1:4" x14ac:dyDescent="0.2">
      <c r="A1123" s="5">
        <v>1062</v>
      </c>
      <c r="B1123" s="138">
        <f>'Expenditures 15-22'!K55</f>
        <v>42504</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42504</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37502</v>
      </c>
      <c r="C1127" s="2" t="s">
        <v>592</v>
      </c>
      <c r="D1127" s="2" t="str">
        <f t="shared" si="16"/>
        <v>Error?</v>
      </c>
    </row>
    <row r="1128" spans="1:4" x14ac:dyDescent="0.2">
      <c r="A1128" s="5">
        <v>1067</v>
      </c>
      <c r="B1128" s="138">
        <f>'Expenditures 15-22'!K61</f>
        <v>29718</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46317</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113537</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14420</v>
      </c>
      <c r="C1139" s="2" t="s">
        <v>592</v>
      </c>
      <c r="D1139" s="2" t="str">
        <f t="shared" si="16"/>
        <v>Error?</v>
      </c>
    </row>
    <row r="1140" spans="1:4" x14ac:dyDescent="0.2">
      <c r="A1140" s="10">
        <v>1079</v>
      </c>
      <c r="D1140" s="2" t="str">
        <f t="shared" si="16"/>
        <v>OK</v>
      </c>
    </row>
    <row r="1141" spans="1:4" x14ac:dyDescent="0.2">
      <c r="A1141" s="5">
        <v>1080</v>
      </c>
      <c r="B1141" s="138">
        <f>'Expenditures 15-22'!K72</f>
        <v>14420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221494</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20839</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882341</v>
      </c>
      <c r="C1152" s="2" t="s">
        <v>592</v>
      </c>
      <c r="D1152" s="2" t="str">
        <f t="shared" si="17"/>
        <v>Error?</v>
      </c>
    </row>
    <row r="1153" spans="1:4" x14ac:dyDescent="0.2">
      <c r="A1153" s="5">
        <v>1092</v>
      </c>
      <c r="B1153" s="138">
        <f>'Expenditures 15-22'!K115</f>
        <v>42070</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16558</v>
      </c>
      <c r="D1221" s="2" t="str">
        <f t="shared" si="18"/>
        <v>Error?</v>
      </c>
    </row>
    <row r="1222" spans="1:4" x14ac:dyDescent="0.2">
      <c r="A1222" s="10">
        <v>1161</v>
      </c>
      <c r="D1222" s="2" t="str">
        <f t="shared" si="18"/>
        <v>OK</v>
      </c>
    </row>
    <row r="1223" spans="1:4" x14ac:dyDescent="0.2">
      <c r="A1223" s="5">
        <v>1162</v>
      </c>
      <c r="B1223" s="138">
        <f>'Expenditures 15-22'!C127</f>
        <v>16558</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16558</v>
      </c>
      <c r="C1225" s="2" t="s">
        <v>592</v>
      </c>
      <c r="D1225" s="2" t="str">
        <f t="shared" si="18"/>
        <v>Error?</v>
      </c>
    </row>
    <row r="1226" spans="1:4" x14ac:dyDescent="0.2">
      <c r="A1226" s="5">
        <v>1165</v>
      </c>
      <c r="B1226" s="138">
        <f>'Expenditures 15-22'!C151</f>
        <v>16558</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17183</v>
      </c>
      <c r="D1237" s="2" t="str">
        <f t="shared" si="18"/>
        <v>Error?</v>
      </c>
    </row>
    <row r="1238" spans="1:4" x14ac:dyDescent="0.2">
      <c r="A1238" s="10">
        <v>1177</v>
      </c>
      <c r="D1238" s="2" t="str">
        <f t="shared" si="18"/>
        <v>OK</v>
      </c>
    </row>
    <row r="1239" spans="1:4" x14ac:dyDescent="0.2">
      <c r="A1239" s="5">
        <v>1178</v>
      </c>
      <c r="B1239" s="138">
        <f>'Expenditures 15-22'!E127</f>
        <v>17183</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17183</v>
      </c>
      <c r="C1241" s="2" t="s">
        <v>592</v>
      </c>
      <c r="D1241" s="2" t="str">
        <f t="shared" si="18"/>
        <v>Error?</v>
      </c>
    </row>
    <row r="1242" spans="1:4" x14ac:dyDescent="0.2">
      <c r="A1242" s="5">
        <v>1181</v>
      </c>
      <c r="B1242" s="138">
        <f>'Expenditures 15-22'!E151</f>
        <v>17183</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24938</v>
      </c>
      <c r="D1245" s="2" t="str">
        <f t="shared" si="18"/>
        <v>Error?</v>
      </c>
    </row>
    <row r="1246" spans="1:4" x14ac:dyDescent="0.2">
      <c r="A1246" s="10">
        <v>1185</v>
      </c>
      <c r="D1246" s="2" t="str">
        <f t="shared" si="18"/>
        <v>OK</v>
      </c>
    </row>
    <row r="1247" spans="1:4" x14ac:dyDescent="0.2">
      <c r="A1247" s="5">
        <v>1186</v>
      </c>
      <c r="B1247" s="138">
        <f>'Expenditures 15-22'!F127</f>
        <v>24938</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24938</v>
      </c>
      <c r="C1249" s="2" t="s">
        <v>592</v>
      </c>
      <c r="D1249" s="2" t="str">
        <f t="shared" si="18"/>
        <v>Error?</v>
      </c>
    </row>
    <row r="1250" spans="1:4" x14ac:dyDescent="0.2">
      <c r="A1250" s="5">
        <v>1189</v>
      </c>
      <c r="B1250" s="138">
        <f>'Expenditures 15-22'!F151</f>
        <v>24938</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81454</v>
      </c>
      <c r="D1262" s="2" t="str">
        <f t="shared" si="18"/>
        <v>Error?</v>
      </c>
    </row>
    <row r="1263" spans="1:4" x14ac:dyDescent="0.2">
      <c r="A1263" s="10">
        <v>1202</v>
      </c>
      <c r="D1263" s="2" t="str">
        <f t="shared" si="18"/>
        <v>OK</v>
      </c>
    </row>
    <row r="1264" spans="1:4" x14ac:dyDescent="0.2">
      <c r="A1264" s="5">
        <v>1203</v>
      </c>
      <c r="B1264" s="138">
        <f>'Expenditures 15-22'!H127</f>
        <v>81454</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81454</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81454</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140133</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140133</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140133</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140133</v>
      </c>
      <c r="C1288" s="2" t="s">
        <v>592</v>
      </c>
      <c r="D1288" s="2" t="str">
        <f t="shared" si="19"/>
        <v>Error?</v>
      </c>
    </row>
    <row r="1289" spans="1:4" x14ac:dyDescent="0.2">
      <c r="A1289" s="5">
        <v>1228</v>
      </c>
      <c r="B1289" s="138">
        <f>'Expenditures 15-22'!K152</f>
        <v>-78053</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28318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137000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165318</v>
      </c>
      <c r="C1317" s="2" t="s">
        <v>592</v>
      </c>
      <c r="D1317" s="2" t="str">
        <f t="shared" si="19"/>
        <v>Error?</v>
      </c>
    </row>
    <row r="1318" spans="1:4" x14ac:dyDescent="0.2">
      <c r="A1318" s="5">
        <v>1257</v>
      </c>
      <c r="B1318" s="138">
        <f>'Expenditures 15-22'!H174</f>
        <v>165318</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28318</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137000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165318</v>
      </c>
      <c r="C1331" s="2" t="s">
        <v>592</v>
      </c>
      <c r="D1331" s="2" t="str">
        <f t="shared" si="19"/>
        <v>Error?</v>
      </c>
    </row>
    <row r="1332" spans="1:4" x14ac:dyDescent="0.2">
      <c r="A1332" s="5">
        <v>1271</v>
      </c>
      <c r="B1332" s="138">
        <f>'Expenditures 15-22'!K174</f>
        <v>165318</v>
      </c>
      <c r="C1332" s="2" t="s">
        <v>592</v>
      </c>
      <c r="D1332" s="2" t="str">
        <f t="shared" si="19"/>
        <v>Error?</v>
      </c>
    </row>
    <row r="1333" spans="1:4" x14ac:dyDescent="0.2">
      <c r="A1333" s="5">
        <v>1272</v>
      </c>
      <c r="B1333" s="138">
        <f>'Expenditures 15-22'!K175</f>
        <v>0</v>
      </c>
      <c r="C1333" s="2" t="s">
        <v>592</v>
      </c>
      <c r="D1333" s="2" t="str">
        <f t="shared" si="19"/>
        <v>Error?</v>
      </c>
    </row>
    <row r="1334" spans="1:4" x14ac:dyDescent="0.2">
      <c r="A1334" s="10">
        <v>1273</v>
      </c>
      <c r="D1334" s="2" t="str">
        <f t="shared" si="19"/>
        <v>OK</v>
      </c>
    </row>
    <row r="1335" spans="1:4" x14ac:dyDescent="0.2">
      <c r="A1335" s="5">
        <v>1274</v>
      </c>
      <c r="B1335" s="138">
        <f>'Expenditures 15-22'!C182</f>
        <v>8700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8700</v>
      </c>
      <c r="C1339" s="2" t="s">
        <v>592</v>
      </c>
      <c r="D1339" s="2" t="str">
        <f t="shared" si="19"/>
        <v>Error?</v>
      </c>
    </row>
    <row r="1340" spans="1:4" x14ac:dyDescent="0.2">
      <c r="A1340" s="5">
        <v>1279</v>
      </c>
      <c r="B1340" s="138">
        <f>'Expenditures 15-22'!C210</f>
        <v>8700</v>
      </c>
      <c r="C1340" s="2" t="s">
        <v>592</v>
      </c>
      <c r="D1340" s="2" t="str">
        <f t="shared" si="19"/>
        <v>Error?</v>
      </c>
    </row>
    <row r="1341" spans="1:4" x14ac:dyDescent="0.2">
      <c r="A1341" s="5">
        <v>1280</v>
      </c>
      <c r="B1341" s="138">
        <f>'Expenditures 15-22'!D182</f>
        <v>1113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1113</v>
      </c>
      <c r="C1345" s="2" t="s">
        <v>592</v>
      </c>
      <c r="D1345" s="2" t="str">
        <f t="shared" si="20"/>
        <v>Error?</v>
      </c>
    </row>
    <row r="1346" spans="1:4" x14ac:dyDescent="0.2">
      <c r="A1346" s="5">
        <v>1285</v>
      </c>
      <c r="B1346" s="138">
        <f>'Expenditures 15-22'!D210</f>
        <v>1113</v>
      </c>
      <c r="C1346" s="2" t="s">
        <v>592</v>
      </c>
      <c r="D1346" s="2" t="str">
        <f t="shared" si="20"/>
        <v>Error?</v>
      </c>
    </row>
    <row r="1347" spans="1:4" x14ac:dyDescent="0.2">
      <c r="A1347" s="5">
        <v>1286</v>
      </c>
      <c r="B1347" s="138">
        <f>'Expenditures 15-22'!E182</f>
        <v>54776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54776</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54776</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64589</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64589</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64589</v>
      </c>
      <c r="C1388" s="2" t="s">
        <v>592</v>
      </c>
      <c r="D1388" s="2" t="str">
        <f t="shared" si="20"/>
        <v>Error?</v>
      </c>
    </row>
    <row r="1389" spans="1:4" x14ac:dyDescent="0.2">
      <c r="A1389" s="5">
        <v>1328</v>
      </c>
      <c r="B1389" s="138">
        <f>'Expenditures 15-22'!K211</f>
        <v>244</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582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748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9930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11</v>
      </c>
      <c r="D1418" s="2" t="str">
        <f t="shared" si="21"/>
        <v>Error?</v>
      </c>
    </row>
    <row r="1419" spans="1:4" x14ac:dyDescent="0.2">
      <c r="A1419" s="5">
        <v>1358</v>
      </c>
      <c r="B1419" s="138">
        <f>'Expenditures 15-22'!D241</f>
        <v>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v>
      </c>
      <c r="C1421" s="2" t="s">
        <v>592</v>
      </c>
      <c r="D1421" s="2" t="str">
        <f t="shared" si="21"/>
        <v>Error?</v>
      </c>
    </row>
    <row r="1422" spans="1:4" x14ac:dyDescent="0.2">
      <c r="A1422" s="5">
        <v>1361</v>
      </c>
      <c r="B1422" s="138">
        <f>'Expenditures 15-22'!D245</f>
        <v>161</v>
      </c>
      <c r="D1422" s="2" t="str">
        <f t="shared" si="21"/>
        <v>Error?</v>
      </c>
    </row>
    <row r="1423" spans="1:4" x14ac:dyDescent="0.2">
      <c r="A1423" s="5">
        <v>1362</v>
      </c>
      <c r="B1423" s="138">
        <f>'Expenditures 15-22'!D246</f>
        <v>504</v>
      </c>
      <c r="D1423" s="2" t="str">
        <f t="shared" si="21"/>
        <v>Error?</v>
      </c>
    </row>
    <row r="1424" spans="1:4" x14ac:dyDescent="0.2">
      <c r="A1424" s="5">
        <v>1363</v>
      </c>
      <c r="B1424" s="138">
        <f>'Expenditures 15-22'!D257</f>
        <v>3164</v>
      </c>
      <c r="C1424" s="2" t="s">
        <v>592</v>
      </c>
      <c r="D1424" s="2" t="str">
        <f t="shared" si="21"/>
        <v>Error?</v>
      </c>
    </row>
    <row r="1425" spans="1:4" x14ac:dyDescent="0.2">
      <c r="A1425" s="5">
        <v>1364</v>
      </c>
      <c r="B1425" s="138">
        <f>'Expenditures 15-22'!D259</f>
        <v>2122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2122</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5423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6324</v>
      </c>
      <c r="D1431" s="2" t="str">
        <f t="shared" si="21"/>
        <v>Error?</v>
      </c>
    </row>
    <row r="1432" spans="1:4" x14ac:dyDescent="0.2">
      <c r="A1432" s="5">
        <v>1371</v>
      </c>
      <c r="B1432" s="138">
        <f>'Expenditures 15-22'!D267</f>
        <v>126</v>
      </c>
      <c r="D1432" s="2" t="str">
        <f t="shared" si="21"/>
        <v>Error?</v>
      </c>
    </row>
    <row r="1433" spans="1:4" x14ac:dyDescent="0.2">
      <c r="A1433" s="5">
        <v>1372</v>
      </c>
      <c r="B1433" s="138">
        <f>'Expenditures 15-22'!D268</f>
        <v>2943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14816</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20132</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30062</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582</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748</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9930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11</v>
      </c>
      <c r="C1482" s="2" t="s">
        <v>592</v>
      </c>
      <c r="D1482" s="2" t="str">
        <f t="shared" si="22"/>
        <v>Error?</v>
      </c>
    </row>
    <row r="1483" spans="1:4" x14ac:dyDescent="0.2">
      <c r="A1483" s="5">
        <v>1422</v>
      </c>
      <c r="B1483" s="138">
        <f>'Expenditures 15-22'!K241</f>
        <v>19</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30</v>
      </c>
      <c r="C1485" s="2" t="s">
        <v>592</v>
      </c>
      <c r="D1485" s="2" t="str">
        <f t="shared" si="22"/>
        <v>Error?</v>
      </c>
    </row>
    <row r="1486" spans="1:4" x14ac:dyDescent="0.2">
      <c r="A1486" s="5">
        <v>1425</v>
      </c>
      <c r="B1486" s="138">
        <f>'Expenditures 15-22'!K245</f>
        <v>161</v>
      </c>
      <c r="C1486" s="2" t="s">
        <v>592</v>
      </c>
      <c r="D1486" s="2" t="str">
        <f t="shared" si="22"/>
        <v>Error?</v>
      </c>
    </row>
    <row r="1487" spans="1:4" x14ac:dyDescent="0.2">
      <c r="A1487" s="5">
        <v>1426</v>
      </c>
      <c r="B1487" s="138">
        <f>'Expenditures 15-22'!K246</f>
        <v>504</v>
      </c>
      <c r="C1487" s="2" t="s">
        <v>592</v>
      </c>
      <c r="D1487" s="2" t="str">
        <f t="shared" si="22"/>
        <v>Error?</v>
      </c>
    </row>
    <row r="1488" spans="1:4" x14ac:dyDescent="0.2">
      <c r="A1488" s="5">
        <v>1427</v>
      </c>
      <c r="B1488" s="138">
        <f>'Expenditures 15-22'!K257</f>
        <v>3164</v>
      </c>
      <c r="C1488" s="2" t="s">
        <v>592</v>
      </c>
      <c r="D1488" s="2" t="str">
        <f t="shared" si="22"/>
        <v>Error?</v>
      </c>
    </row>
    <row r="1489" spans="1:4" x14ac:dyDescent="0.2">
      <c r="A1489" s="5">
        <v>1428</v>
      </c>
      <c r="B1489" s="138">
        <f>'Expenditures 15-22'!K259</f>
        <v>2122</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2122</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5423</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6324</v>
      </c>
      <c r="C1495" s="2" t="s">
        <v>592</v>
      </c>
      <c r="D1495" s="2" t="str">
        <f t="shared" si="22"/>
        <v>Error?</v>
      </c>
    </row>
    <row r="1496" spans="1:4" x14ac:dyDescent="0.2">
      <c r="A1496" s="5">
        <v>1435</v>
      </c>
      <c r="B1496" s="138">
        <f>'Expenditures 15-22'!K267</f>
        <v>126</v>
      </c>
      <c r="C1496" s="2" t="s">
        <v>592</v>
      </c>
      <c r="D1496" s="2" t="str">
        <f t="shared" si="22"/>
        <v>Error?</v>
      </c>
    </row>
    <row r="1497" spans="1:4" x14ac:dyDescent="0.2">
      <c r="A1497" s="5">
        <v>1436</v>
      </c>
      <c r="B1497" s="138">
        <f>'Expenditures 15-22'!K268</f>
        <v>2943</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14816</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20132</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30062</v>
      </c>
      <c r="C1517" s="2" t="s">
        <v>592</v>
      </c>
      <c r="D1517" s="2" t="str">
        <f t="shared" si="22"/>
        <v>Error?</v>
      </c>
    </row>
    <row r="1518" spans="1:4" x14ac:dyDescent="0.2">
      <c r="A1518" s="5">
        <v>1457</v>
      </c>
      <c r="B1518" s="138">
        <f>'Expenditures 15-22'!K296</f>
        <v>5187</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1218394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1260464</v>
      </c>
      <c r="C1630" s="2" t="s">
        <v>592</v>
      </c>
      <c r="D1630" s="2" t="str">
        <f t="shared" si="24"/>
        <v>Error?</v>
      </c>
    </row>
    <row r="1631" spans="1:4" x14ac:dyDescent="0.2">
      <c r="A1631" s="5">
        <v>1570</v>
      </c>
      <c r="B1631" s="138">
        <f>'Acct Summary 7-8'!D79</f>
        <v>94364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36311</v>
      </c>
      <c r="C1644" s="2" t="s">
        <v>592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592</v>
      </c>
      <c r="D1658" s="2" t="str">
        <f t="shared" si="24"/>
        <v>Error?</v>
      </c>
    </row>
    <row r="1659" spans="1:4" x14ac:dyDescent="0.2">
      <c r="A1659" s="5">
        <v>1598</v>
      </c>
      <c r="B1659" s="138">
        <f>'Acct Summary 7-8'!F79</f>
        <v>73242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73486</v>
      </c>
      <c r="C1672" s="2" t="s">
        <v>592</v>
      </c>
      <c r="D1672" s="2" t="str">
        <f t="shared" si="25"/>
        <v>Error?</v>
      </c>
    </row>
    <row r="1673" spans="1:4" x14ac:dyDescent="0.2">
      <c r="A1673" s="5">
        <v>1612</v>
      </c>
      <c r="B1673" s="138">
        <f>'Acct Summary 7-8'!G79</f>
        <v>41206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46393</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257707</v>
      </c>
      <c r="C1744" s="2" t="s">
        <v>592</v>
      </c>
      <c r="D1744" s="2" t="str">
        <f t="shared" si="26"/>
        <v>Error?</v>
      </c>
    </row>
    <row r="1745" spans="1:5" x14ac:dyDescent="0.2">
      <c r="A1745" s="5">
        <v>1684</v>
      </c>
      <c r="B1745" s="138">
        <f>'Tax Sched 23'!B5</f>
        <v>58570</v>
      </c>
      <c r="C1745" s="2" t="s">
        <v>592</v>
      </c>
      <c r="D1745" s="2" t="str">
        <f t="shared" si="26"/>
        <v>Error?</v>
      </c>
    </row>
    <row r="1746" spans="1:5" x14ac:dyDescent="0.2">
      <c r="A1746" s="5">
        <v>1685</v>
      </c>
      <c r="B1746" s="138">
        <f>'Tax Sched 23'!B6</f>
        <v>165303</v>
      </c>
      <c r="C1746" s="2" t="s">
        <v>592</v>
      </c>
      <c r="D1746" s="2" t="str">
        <f t="shared" si="26"/>
        <v>Error?</v>
      </c>
    </row>
    <row r="1747" spans="1:5" x14ac:dyDescent="0.2">
      <c r="A1747" s="5">
        <v>1686</v>
      </c>
      <c r="B1747" s="138">
        <f>'Tax Sched 23'!B7</f>
        <v>28114</v>
      </c>
      <c r="C1747" s="2" t="s">
        <v>592</v>
      </c>
      <c r="D1747" s="2" t="str">
        <f t="shared" si="26"/>
        <v>Error?</v>
      </c>
    </row>
    <row r="1748" spans="1:5" x14ac:dyDescent="0.2">
      <c r="A1748" s="5">
        <v>1687</v>
      </c>
      <c r="B1748" s="138">
        <f>'Tax Sched 23'!B8</f>
        <v>16472</v>
      </c>
      <c r="C1748" s="2" t="s">
        <v>592</v>
      </c>
      <c r="D1748" s="2" t="str">
        <f t="shared" si="26"/>
        <v>Error?</v>
      </c>
    </row>
    <row r="1749" spans="1:5" x14ac:dyDescent="0.2">
      <c r="A1749" s="5">
        <v>1688</v>
      </c>
      <c r="B1749" s="138">
        <f>'Tax Sched 23'!B10</f>
        <v>11714</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99834</v>
      </c>
      <c r="C1752" s="2" t="s">
        <v>592</v>
      </c>
      <c r="D1752" s="2" t="str">
        <f t="shared" si="26"/>
        <v>Error?</v>
      </c>
    </row>
    <row r="1753" spans="1:5" x14ac:dyDescent="0.2">
      <c r="A1753" s="5">
        <v>1692</v>
      </c>
      <c r="B1753" s="138">
        <f>'Tax Sched 23'!B12</f>
        <v>11714</v>
      </c>
      <c r="C1753" s="2" t="s">
        <v>592</v>
      </c>
      <c r="D1753" s="2" t="str">
        <f t="shared" si="26"/>
        <v>Error?</v>
      </c>
    </row>
    <row r="1754" spans="1:5" x14ac:dyDescent="0.2">
      <c r="A1754" s="5">
        <v>1693</v>
      </c>
      <c r="B1754" s="138">
        <f>'Tax Sched 23'!B14</f>
        <v>4687</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684305</v>
      </c>
      <c r="C1759" s="2" t="s">
        <v>592</v>
      </c>
      <c r="D1759" s="2" t="str">
        <f t="shared" si="26"/>
        <v>Error?</v>
      </c>
    </row>
    <row r="1760" spans="1:5" x14ac:dyDescent="0.2">
      <c r="A1760" s="5">
        <v>1699</v>
      </c>
      <c r="B1760" s="138">
        <f>'Tax Sched 23'!D4</f>
        <v>257707</v>
      </c>
      <c r="C1760" s="2" t="s">
        <v>592</v>
      </c>
      <c r="D1760" s="2" t="str">
        <f t="shared" si="26"/>
        <v>Error?</v>
      </c>
    </row>
    <row r="1761" spans="1:5" x14ac:dyDescent="0.2">
      <c r="A1761" s="5">
        <v>1700</v>
      </c>
      <c r="B1761" s="138">
        <f>'Tax Sched 23'!D5</f>
        <v>58570</v>
      </c>
      <c r="C1761" s="2" t="s">
        <v>592</v>
      </c>
      <c r="D1761" s="2" t="str">
        <f t="shared" si="26"/>
        <v>Error?</v>
      </c>
    </row>
    <row r="1762" spans="1:5" s="8" customFormat="1" x14ac:dyDescent="0.2">
      <c r="A1762" s="5">
        <v>1701</v>
      </c>
      <c r="B1762" s="138">
        <f>'Tax Sched 23'!D6</f>
        <v>165303</v>
      </c>
      <c r="C1762" s="2" t="s">
        <v>592</v>
      </c>
      <c r="D1762" s="2" t="str">
        <f t="shared" si="26"/>
        <v>Error?</v>
      </c>
      <c r="E1762" s="9"/>
    </row>
    <row r="1763" spans="1:5" x14ac:dyDescent="0.2">
      <c r="A1763" s="5">
        <v>1702</v>
      </c>
      <c r="B1763" s="138">
        <f>'Tax Sched 23'!D7</f>
        <v>28114</v>
      </c>
      <c r="C1763" s="2" t="s">
        <v>592</v>
      </c>
      <c r="D1763" s="2" t="str">
        <f t="shared" si="26"/>
        <v>Error?</v>
      </c>
    </row>
    <row r="1764" spans="1:5" x14ac:dyDescent="0.2">
      <c r="A1764" s="5">
        <v>1703</v>
      </c>
      <c r="B1764" s="138">
        <f>'Tax Sched 23'!D8</f>
        <v>16472</v>
      </c>
      <c r="C1764" s="2" t="s">
        <v>592</v>
      </c>
      <c r="D1764" s="2" t="str">
        <f t="shared" si="26"/>
        <v>Error?</v>
      </c>
    </row>
    <row r="1765" spans="1:5" x14ac:dyDescent="0.2">
      <c r="A1765" s="5">
        <v>1704</v>
      </c>
      <c r="B1765" s="138">
        <f>'Tax Sched 23'!D10</f>
        <v>11714</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99834</v>
      </c>
      <c r="C1768" s="2" t="s">
        <v>592</v>
      </c>
      <c r="D1768" s="2" t="str">
        <f t="shared" si="26"/>
        <v>Error?</v>
      </c>
    </row>
    <row r="1769" spans="1:5" x14ac:dyDescent="0.2">
      <c r="A1769" s="5">
        <v>1708</v>
      </c>
      <c r="B1769" s="138">
        <f>'Tax Sched 23'!D12</f>
        <v>11714</v>
      </c>
      <c r="C1769" s="2" t="s">
        <v>592</v>
      </c>
      <c r="D1769" s="2" t="str">
        <f t="shared" si="26"/>
        <v>Error?</v>
      </c>
    </row>
    <row r="1770" spans="1:5" x14ac:dyDescent="0.2">
      <c r="A1770" s="5">
        <v>1709</v>
      </c>
      <c r="B1770" s="138">
        <f>'Tax Sched 23'!D14</f>
        <v>4687</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684305</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269823.07</v>
      </c>
      <c r="C1792" s="2" t="s">
        <v>592</v>
      </c>
      <c r="D1792" s="2" t="str">
        <f t="shared" si="27"/>
        <v>Error?</v>
      </c>
    </row>
    <row r="1793" spans="1:4" x14ac:dyDescent="0.2">
      <c r="A1793" s="5">
        <v>1732</v>
      </c>
      <c r="B1793" s="138">
        <f>'Tax Sched 23'!F5</f>
        <v>61323.43</v>
      </c>
      <c r="C1793" s="2" t="s">
        <v>592</v>
      </c>
      <c r="D1793" s="2" t="str">
        <f t="shared" si="27"/>
        <v>Error?</v>
      </c>
    </row>
    <row r="1794" spans="1:4" x14ac:dyDescent="0.2">
      <c r="A1794" s="5">
        <v>1733</v>
      </c>
      <c r="B1794" s="138">
        <f>'Tax Sched 23'!F6</f>
        <v>165521.74</v>
      </c>
      <c r="C1794" s="2" t="s">
        <v>592</v>
      </c>
      <c r="D1794" s="2" t="str">
        <f t="shared" si="27"/>
        <v>Error?</v>
      </c>
    </row>
    <row r="1795" spans="1:4" x14ac:dyDescent="0.2">
      <c r="A1795" s="5">
        <v>1734</v>
      </c>
      <c r="B1795" s="138">
        <f>'Tax Sched 23'!F7</f>
        <v>29435.24</v>
      </c>
      <c r="C1795" s="2" t="s">
        <v>592</v>
      </c>
      <c r="D1795" s="2" t="str">
        <f t="shared" si="27"/>
        <v>Error?</v>
      </c>
    </row>
    <row r="1796" spans="1:4" x14ac:dyDescent="0.2">
      <c r="A1796" s="5">
        <v>1735</v>
      </c>
      <c r="B1796" s="138">
        <f>'Tax Sched 23'!F8</f>
        <v>16500.91</v>
      </c>
      <c r="C1796" s="2" t="s">
        <v>592</v>
      </c>
      <c r="D1796" s="2" t="str">
        <f t="shared" si="27"/>
        <v>Error?</v>
      </c>
    </row>
    <row r="1797" spans="1:4" x14ac:dyDescent="0.2">
      <c r="A1797" s="5">
        <v>1736</v>
      </c>
      <c r="B1797" s="138">
        <f>'Tax Sched 23'!F10</f>
        <v>12264.69</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99998.88</v>
      </c>
      <c r="C1800" s="2" t="s">
        <v>592</v>
      </c>
      <c r="D1800" s="2" t="str">
        <f t="shared" si="27"/>
        <v>Error?</v>
      </c>
    </row>
    <row r="1801" spans="1:4" x14ac:dyDescent="0.2">
      <c r="A1801" s="5">
        <v>1740</v>
      </c>
      <c r="B1801" s="138">
        <f>'Tax Sched 23'!F12</f>
        <v>12264.69</v>
      </c>
      <c r="C1801" s="2" t="s">
        <v>592</v>
      </c>
      <c r="D1801" s="2" t="str">
        <f t="shared" si="27"/>
        <v>Error?</v>
      </c>
    </row>
    <row r="1802" spans="1:4" x14ac:dyDescent="0.2">
      <c r="A1802" s="5">
        <v>1741</v>
      </c>
      <c r="B1802" s="138">
        <f>'Tax Sched 23'!F14</f>
        <v>4905.87</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702803.25999999989</v>
      </c>
      <c r="C1807" s="2" t="s">
        <v>592</v>
      </c>
      <c r="D1807" s="2" t="str">
        <f t="shared" si="27"/>
        <v>Error?</v>
      </c>
    </row>
    <row r="1808" spans="1:4" x14ac:dyDescent="0.2">
      <c r="A1808" s="5">
        <v>1747</v>
      </c>
      <c r="B1808" s="138">
        <f>'Tax Sched 23'!E4</f>
        <v>269823.07</v>
      </c>
      <c r="D1808" s="2" t="str">
        <f t="shared" si="27"/>
        <v>Error?</v>
      </c>
    </row>
    <row r="1809" spans="1:4" x14ac:dyDescent="0.2">
      <c r="A1809" s="5">
        <v>1748</v>
      </c>
      <c r="B1809" s="138">
        <f>'Tax Sched 23'!E5</f>
        <v>61323.43</v>
      </c>
      <c r="D1809" s="2" t="str">
        <f t="shared" si="27"/>
        <v>Error?</v>
      </c>
    </row>
    <row r="1810" spans="1:4" x14ac:dyDescent="0.2">
      <c r="A1810" s="5">
        <v>1749</v>
      </c>
      <c r="B1810" s="138">
        <f>'Tax Sched 23'!E6</f>
        <v>165521.74</v>
      </c>
      <c r="D1810" s="2" t="str">
        <f t="shared" si="27"/>
        <v>Error?</v>
      </c>
    </row>
    <row r="1811" spans="1:4" x14ac:dyDescent="0.2">
      <c r="A1811" s="5">
        <v>1750</v>
      </c>
      <c r="B1811" s="138">
        <f>'Tax Sched 23'!E7</f>
        <v>29435.24</v>
      </c>
      <c r="D1811" s="2" t="str">
        <f t="shared" si="27"/>
        <v>Error?</v>
      </c>
    </row>
    <row r="1812" spans="1:4" x14ac:dyDescent="0.2">
      <c r="A1812" s="5">
        <v>1751</v>
      </c>
      <c r="B1812" s="138">
        <f>'Tax Sched 23'!E8</f>
        <v>16500.91</v>
      </c>
      <c r="D1812" s="2" t="str">
        <f t="shared" si="27"/>
        <v>Error?</v>
      </c>
    </row>
    <row r="1813" spans="1:4" x14ac:dyDescent="0.2">
      <c r="A1813" s="5">
        <v>1752</v>
      </c>
      <c r="B1813" s="138">
        <f>'Tax Sched 23'!E10</f>
        <v>12264.69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99998.88</v>
      </c>
      <c r="D1816" s="2" t="str">
        <f t="shared" si="27"/>
        <v>Error?</v>
      </c>
    </row>
    <row r="1817" spans="1:4" x14ac:dyDescent="0.2">
      <c r="A1817" s="5">
        <v>1756</v>
      </c>
      <c r="B1817" s="138">
        <f>'Tax Sched 23'!E12</f>
        <v>12264.69</v>
      </c>
      <c r="D1817" s="2" t="str">
        <f t="shared" si="27"/>
        <v>Error?</v>
      </c>
    </row>
    <row r="1818" spans="1:4" x14ac:dyDescent="0.2">
      <c r="A1818" s="5">
        <v>1757</v>
      </c>
      <c r="B1818" s="138">
        <f>'Tax Sched 23'!E14</f>
        <v>4905.87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702803.25999999989</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774000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4687</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4687</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85673</v>
      </c>
      <c r="D2010" s="2" t="str">
        <f t="shared" si="30"/>
        <v>Error?</v>
      </c>
    </row>
    <row r="2011" spans="1:4" x14ac:dyDescent="0.2">
      <c r="A2011" s="5">
        <v>1950</v>
      </c>
      <c r="B2011" s="138">
        <f>'Cap Outlay Deprec 26'!C12</f>
        <v>379369</v>
      </c>
      <c r="D2011" s="2" t="str">
        <f t="shared" si="30"/>
        <v>Error?</v>
      </c>
    </row>
    <row r="2012" spans="1:4" x14ac:dyDescent="0.2">
      <c r="A2012" s="5">
        <v>1951</v>
      </c>
      <c r="B2012" s="138">
        <f>'Cap Outlay Deprec 26'!C13</f>
        <v>26520</v>
      </c>
      <c r="D2012" s="2" t="str">
        <f t="shared" si="30"/>
        <v>Error?</v>
      </c>
    </row>
    <row r="2013" spans="1:4" x14ac:dyDescent="0.2">
      <c r="A2013" s="5">
        <v>1952</v>
      </c>
      <c r="B2013" s="138">
        <f>'Cap Outlay Deprec 26'!C16</f>
        <v>491562</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24982.74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24982.74</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0</v>
      </c>
      <c r="C2027" s="2" t="s">
        <v>592</v>
      </c>
      <c r="D2027" s="2" t="str">
        <f t="shared" si="30"/>
        <v>Error?</v>
      </c>
    </row>
    <row r="2028" spans="1:4" x14ac:dyDescent="0.2">
      <c r="A2028" s="5">
        <v>1967</v>
      </c>
      <c r="B2028" s="138">
        <f>'Cap Outlay Deprec 26'!F10</f>
        <v>85673</v>
      </c>
      <c r="C2028" s="2" t="s">
        <v>592</v>
      </c>
      <c r="D2028" s="2" t="str">
        <f t="shared" si="30"/>
        <v>Error?</v>
      </c>
    </row>
    <row r="2029" spans="1:4" x14ac:dyDescent="0.2">
      <c r="A2029" s="5">
        <v>1968</v>
      </c>
      <c r="B2029" s="138">
        <f>'Cap Outlay Deprec 26'!F12</f>
        <v>404351.74</v>
      </c>
      <c r="C2029" s="2" t="s">
        <v>592</v>
      </c>
      <c r="D2029" s="2" t="str">
        <f t="shared" si="30"/>
        <v>Error?</v>
      </c>
    </row>
    <row r="2030" spans="1:4" x14ac:dyDescent="0.2">
      <c r="A2030" s="5">
        <v>1969</v>
      </c>
      <c r="B2030" s="138">
        <f>'Cap Outlay Deprec 26'!F13</f>
        <v>26520</v>
      </c>
      <c r="C2030" s="2" t="s">
        <v>592</v>
      </c>
      <c r="D2030" s="2" t="str">
        <f t="shared" si="30"/>
        <v>Error?</v>
      </c>
    </row>
    <row r="2031" spans="1:4" x14ac:dyDescent="0.2">
      <c r="A2031" s="5">
        <v>1970</v>
      </c>
      <c r="B2031" s="138">
        <f>'Cap Outlay Deprec 26'!F16</f>
        <v>516544.74</v>
      </c>
      <c r="C2031" s="2" t="s">
        <v>592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34474</v>
      </c>
      <c r="D2034" s="2" t="str">
        <f t="shared" si="30"/>
        <v>Error?</v>
      </c>
    </row>
    <row r="2035" spans="1:4" x14ac:dyDescent="0.2">
      <c r="A2035" s="5">
        <v>1974</v>
      </c>
      <c r="B2035" s="138">
        <f>'Cap Outlay Deprec 26'!H12</f>
        <v>309382</v>
      </c>
      <c r="D2035" s="2" t="str">
        <f t="shared" si="30"/>
        <v>Error?</v>
      </c>
    </row>
    <row r="2036" spans="1:4" x14ac:dyDescent="0.2">
      <c r="A2036" s="5">
        <v>1975</v>
      </c>
      <c r="B2036" s="138">
        <f>'Cap Outlay Deprec 26'!H13</f>
        <v>26170</v>
      </c>
      <c r="D2036" s="2" t="str">
        <f t="shared" si="30"/>
        <v>Error?</v>
      </c>
    </row>
    <row r="2037" spans="1:4" x14ac:dyDescent="0.2">
      <c r="A2037" s="5">
        <v>1976</v>
      </c>
      <c r="B2037" s="138">
        <f>'Cap Outlay Deprec 26'!H16</f>
        <v>370026</v>
      </c>
      <c r="C2037" s="2" t="s">
        <v>592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2964.31</v>
      </c>
      <c r="D2040" s="2" t="str">
        <f t="shared" si="30"/>
        <v>Error?</v>
      </c>
    </row>
    <row r="2041" spans="1:4" x14ac:dyDescent="0.2">
      <c r="A2041" s="5">
        <v>1980</v>
      </c>
      <c r="B2041" s="138">
        <f>'Cap Outlay Deprec 26'!I12</f>
        <v>10889.66</v>
      </c>
      <c r="D2041" s="2" t="str">
        <f t="shared" si="30"/>
        <v>Error?</v>
      </c>
    </row>
    <row r="2042" spans="1:4" x14ac:dyDescent="0.2">
      <c r="A2042" s="5">
        <v>1981</v>
      </c>
      <c r="B2042" s="138">
        <f>'Cap Outlay Deprec 26'!I13</f>
        <v>350</v>
      </c>
      <c r="D2042" s="2" t="str">
        <f t="shared" si="30"/>
        <v>Error?</v>
      </c>
    </row>
    <row r="2043" spans="1:4" x14ac:dyDescent="0.2">
      <c r="A2043" s="5">
        <v>1982</v>
      </c>
      <c r="B2043" s="138">
        <f>'Cap Outlay Deprec 26'!I16</f>
        <v>14203.97</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0</v>
      </c>
      <c r="C2051" s="2" t="s">
        <v>592</v>
      </c>
      <c r="D2051" s="2" t="str">
        <f t="shared" si="31"/>
        <v>Error?</v>
      </c>
    </row>
    <row r="2052" spans="1:4" x14ac:dyDescent="0.2">
      <c r="A2052" s="5">
        <v>1991</v>
      </c>
      <c r="B2052" s="138">
        <f>'Cap Outlay Deprec 26'!K10</f>
        <v>37438.31</v>
      </c>
      <c r="C2052" s="2" t="s">
        <v>592</v>
      </c>
      <c r="D2052" s="2" t="str">
        <f t="shared" si="31"/>
        <v>Error?</v>
      </c>
    </row>
    <row r="2053" spans="1:4" x14ac:dyDescent="0.2">
      <c r="A2053" s="5">
        <v>1992</v>
      </c>
      <c r="B2053" s="138">
        <f>'Cap Outlay Deprec 26'!K12</f>
        <v>320271.65999999997</v>
      </c>
      <c r="C2053" s="2" t="s">
        <v>592</v>
      </c>
      <c r="D2053" s="2" t="str">
        <f t="shared" si="31"/>
        <v>Error?</v>
      </c>
    </row>
    <row r="2054" spans="1:4" x14ac:dyDescent="0.2">
      <c r="A2054" s="5">
        <v>1993</v>
      </c>
      <c r="B2054" s="138">
        <f>'Cap Outlay Deprec 26'!K13</f>
        <v>26520</v>
      </c>
      <c r="C2054" s="2" t="s">
        <v>592</v>
      </c>
      <c r="D2054" s="2" t="str">
        <f t="shared" si="31"/>
        <v>Error?</v>
      </c>
    </row>
    <row r="2055" spans="1:4" x14ac:dyDescent="0.2">
      <c r="A2055" s="5">
        <v>1994</v>
      </c>
      <c r="B2055" s="138">
        <f>'Cap Outlay Deprec 26'!K16</f>
        <v>384229.97</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0</v>
      </c>
      <c r="C2057" s="2" t="s">
        <v>592</v>
      </c>
      <c r="D2057" s="2" t="str">
        <f t="shared" si="31"/>
        <v>Error?</v>
      </c>
    </row>
    <row r="2058" spans="1:4" x14ac:dyDescent="0.2">
      <c r="A2058" s="5">
        <v>1997</v>
      </c>
      <c r="B2058" s="138">
        <f>'Cap Outlay Deprec 26'!L10</f>
        <v>48234.69</v>
      </c>
      <c r="C2058" s="2" t="s">
        <v>592</v>
      </c>
      <c r="D2058" s="2" t="str">
        <f t="shared" si="31"/>
        <v>Error?</v>
      </c>
    </row>
    <row r="2059" spans="1:4" x14ac:dyDescent="0.2">
      <c r="A2059" s="5">
        <v>1998</v>
      </c>
      <c r="B2059" s="138">
        <f>'Cap Outlay Deprec 26'!L12</f>
        <v>84080.080000000016</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132314.77000000002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20839</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21128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410471</v>
      </c>
      <c r="C2551" s="2" t="s">
        <v>592</v>
      </c>
      <c r="D2551" s="2" t="str">
        <f t="shared" si="38"/>
        <v>Error?</v>
      </c>
    </row>
    <row r="2552" spans="1:4" x14ac:dyDescent="0.2">
      <c r="A2552" s="10">
        <v>2491</v>
      </c>
      <c r="D2552" s="2" t="str">
        <f t="shared" si="38"/>
        <v>OK</v>
      </c>
    </row>
    <row r="2553" spans="1:4" x14ac:dyDescent="0.2">
      <c r="A2553" s="5">
        <v>2492</v>
      </c>
      <c r="B2553" s="138">
        <f>'Acct Summary 7-8'!C6</f>
        <v>452029</v>
      </c>
      <c r="C2553" s="2" t="s">
        <v>592</v>
      </c>
      <c r="D2553" s="2" t="str">
        <f t="shared" si="38"/>
        <v>Error?</v>
      </c>
    </row>
    <row r="2554" spans="1:4" x14ac:dyDescent="0.2">
      <c r="A2554" s="5">
        <v>2493</v>
      </c>
      <c r="B2554" s="138">
        <f>'Acct Summary 7-8'!C7</f>
        <v>61911</v>
      </c>
      <c r="C2554" s="2" t="s">
        <v>592</v>
      </c>
      <c r="D2554" s="2" t="str">
        <f t="shared" si="38"/>
        <v>Error?</v>
      </c>
    </row>
    <row r="2555" spans="1:4" x14ac:dyDescent="0.2">
      <c r="A2555" s="5">
        <v>2494</v>
      </c>
      <c r="B2555" s="138">
        <f>'Acct Summary 7-8'!C8</f>
        <v>924411</v>
      </c>
      <c r="C2555" s="2" t="s">
        <v>592</v>
      </c>
      <c r="D2555" s="2" t="str">
        <f t="shared" si="38"/>
        <v>Error?</v>
      </c>
    </row>
    <row r="2556" spans="1:4" x14ac:dyDescent="0.2">
      <c r="A2556" s="5">
        <v>2495</v>
      </c>
      <c r="B2556" s="138">
        <f>'Acct Summary 7-8'!C12</f>
        <v>640008</v>
      </c>
      <c r="C2556" s="2" t="s">
        <v>592</v>
      </c>
      <c r="D2556" s="2" t="str">
        <f t="shared" si="38"/>
        <v>Error?</v>
      </c>
    </row>
    <row r="2557" spans="1:4" x14ac:dyDescent="0.2">
      <c r="A2557" s="5">
        <v>2496</v>
      </c>
      <c r="B2557" s="138">
        <f>'Acct Summary 7-8'!C13</f>
        <v>221494</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20839</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882341</v>
      </c>
      <c r="C2561" s="2" t="s">
        <v>592</v>
      </c>
      <c r="D2561" s="2" t="str">
        <f t="shared" si="39"/>
        <v>Error?</v>
      </c>
    </row>
    <row r="2562" spans="1:4" x14ac:dyDescent="0.2">
      <c r="A2562" s="5">
        <v>2501</v>
      </c>
      <c r="B2562" s="138">
        <f>'Acct Summary 7-8'!C20</f>
        <v>42070</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62080</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62080</v>
      </c>
      <c r="C2568" s="2" t="s">
        <v>592</v>
      </c>
      <c r="D2568" s="2" t="str">
        <f t="shared" si="39"/>
        <v>Error?</v>
      </c>
    </row>
    <row r="2569" spans="1:4" x14ac:dyDescent="0.2">
      <c r="A2569" s="5">
        <v>2508</v>
      </c>
      <c r="B2569" s="138">
        <f>'Acct Summary 7-8'!D13</f>
        <v>140133</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140133</v>
      </c>
      <c r="C2573" s="2" t="s">
        <v>592</v>
      </c>
      <c r="D2573" s="2" t="str">
        <f t="shared" si="39"/>
        <v>Error?</v>
      </c>
    </row>
    <row r="2574" spans="1:4" x14ac:dyDescent="0.2">
      <c r="A2574" s="5">
        <v>2513</v>
      </c>
      <c r="B2574" s="138">
        <f>'Acct Summary 7-8'!D20</f>
        <v>-78053</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38142</v>
      </c>
      <c r="C2591" s="2" t="s">
        <v>592</v>
      </c>
      <c r="D2591" s="2" t="str">
        <f t="shared" si="39"/>
        <v>Error?</v>
      </c>
    </row>
    <row r="2592" spans="1:4" x14ac:dyDescent="0.2">
      <c r="A2592" s="10">
        <v>2531</v>
      </c>
      <c r="D2592" s="2" t="str">
        <f t="shared" si="39"/>
        <v>OK</v>
      </c>
    </row>
    <row r="2593" spans="1:4" x14ac:dyDescent="0.2">
      <c r="A2593" s="5">
        <v>2532</v>
      </c>
      <c r="B2593" s="138">
        <f>'Acct Summary 7-8'!F6</f>
        <v>26691</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64833</v>
      </c>
      <c r="C2595" s="2" t="s">
        <v>592</v>
      </c>
      <c r="D2595" s="2" t="str">
        <f t="shared" si="39"/>
        <v>Error?</v>
      </c>
    </row>
    <row r="2596" spans="1:4" x14ac:dyDescent="0.2">
      <c r="A2596" s="5">
        <v>2535</v>
      </c>
      <c r="B2596" s="138">
        <f>'Acct Summary 7-8'!F13</f>
        <v>64589</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64589</v>
      </c>
      <c r="C2600" s="2" t="s">
        <v>592</v>
      </c>
      <c r="D2600" s="2" t="str">
        <f t="shared" si="39"/>
        <v>Error?</v>
      </c>
    </row>
    <row r="2601" spans="1:4" x14ac:dyDescent="0.2">
      <c r="A2601" s="5">
        <v>2540</v>
      </c>
      <c r="B2601" s="138">
        <f>'Acct Summary 7-8'!F20</f>
        <v>244</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35249</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35249</v>
      </c>
      <c r="C2606" s="2" t="s">
        <v>592</v>
      </c>
      <c r="D2606" s="2" t="str">
        <f t="shared" si="39"/>
        <v>Error?</v>
      </c>
    </row>
    <row r="2607" spans="1:4" x14ac:dyDescent="0.2">
      <c r="A2607" s="5">
        <v>2546</v>
      </c>
      <c r="B2607" s="138">
        <f>'Acct Summary 7-8'!G12</f>
        <v>9930</v>
      </c>
      <c r="C2607" s="2" t="s">
        <v>592</v>
      </c>
      <c r="D2607" s="2" t="str">
        <f t="shared" si="39"/>
        <v>Error?</v>
      </c>
    </row>
    <row r="2608" spans="1:4" x14ac:dyDescent="0.2">
      <c r="A2608" s="5">
        <v>2547</v>
      </c>
      <c r="B2608" s="138">
        <f>'Acct Summary 7-8'!G13</f>
        <v>20132</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30062</v>
      </c>
      <c r="C2612" s="2" t="s">
        <v>592</v>
      </c>
      <c r="D2612" s="2" t="str">
        <f t="shared" si="39"/>
        <v>Error?</v>
      </c>
    </row>
    <row r="2613" spans="1:4" x14ac:dyDescent="0.2">
      <c r="A2613" s="5">
        <v>2552</v>
      </c>
      <c r="B2613" s="138">
        <f>'Acct Summary 7-8'!G20</f>
        <v>5187</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165318</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165318</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165318</v>
      </c>
      <c r="C2634" s="2" t="s">
        <v>592</v>
      </c>
      <c r="D2634" s="2" t="str">
        <f t="shared" si="40"/>
        <v>Error?</v>
      </c>
    </row>
    <row r="2635" spans="1:4" x14ac:dyDescent="0.2">
      <c r="A2635" s="5">
        <v>2574</v>
      </c>
      <c r="B2635" s="138">
        <f>'Acct Summary 7-8'!E17</f>
        <v>165318</v>
      </c>
      <c r="C2635" s="2" t="s">
        <v>592</v>
      </c>
      <c r="D2635" s="2" t="str">
        <f t="shared" si="40"/>
        <v>Error?</v>
      </c>
    </row>
    <row r="2636" spans="1:4" x14ac:dyDescent="0.2">
      <c r="A2636" s="5">
        <v>2575</v>
      </c>
      <c r="B2636" s="138">
        <f>'Acct Summary 7-8'!E20</f>
        <v>0</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20839</v>
      </c>
      <c r="C2789" s="2" t="s">
        <v>592</v>
      </c>
      <c r="D2789" s="2" t="str">
        <f t="shared" si="42"/>
        <v>Error?</v>
      </c>
    </row>
    <row r="2790" spans="1:4" x14ac:dyDescent="0.2">
      <c r="A2790" s="5">
        <v>2729</v>
      </c>
      <c r="B2790" s="138">
        <f>'Expenditures 15-22'!E102</f>
        <v>20839</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220182</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220182</v>
      </c>
      <c r="D2912" s="2" t="str">
        <f t="shared" si="44"/>
        <v>Error?</v>
      </c>
    </row>
    <row r="2913" spans="1:4" x14ac:dyDescent="0.2">
      <c r="A2913" s="5">
        <v>2852</v>
      </c>
      <c r="B2913" s="138">
        <f>'Assets-Liab 5-6'!I41</f>
        <v>220182</v>
      </c>
      <c r="C2913" s="2" t="s">
        <v>592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592</v>
      </c>
      <c r="D2916" s="2" t="str">
        <f t="shared" si="44"/>
        <v>Error?</v>
      </c>
    </row>
    <row r="2917" spans="1:4" x14ac:dyDescent="0.2">
      <c r="A2917" s="5">
        <v>2856</v>
      </c>
      <c r="B2917" s="138">
        <f>'Assets-Liab 5-6'!L41</f>
        <v>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20839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20839</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14038</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2300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16338</v>
      </c>
      <c r="C3062" s="2" t="s">
        <v>592</v>
      </c>
      <c r="D3062" s="2" t="str">
        <f t="shared" si="46"/>
        <v>Error?</v>
      </c>
    </row>
    <row r="3063" spans="1:4" x14ac:dyDescent="0.2">
      <c r="A3063" s="10">
        <v>3002</v>
      </c>
      <c r="D3063" s="2" t="str">
        <f t="shared" si="46"/>
        <v>OK</v>
      </c>
    </row>
    <row r="3064" spans="1:4" x14ac:dyDescent="0.2">
      <c r="A3064" s="5">
        <v>3003</v>
      </c>
      <c r="B3064" s="138">
        <f>'Expenditures 15-22'!D219</f>
        <v>2106</v>
      </c>
      <c r="D3064" s="2" t="str">
        <f t="shared" si="46"/>
        <v>Error?</v>
      </c>
    </row>
    <row r="3065" spans="1:4" x14ac:dyDescent="0.2">
      <c r="A3065" s="5">
        <v>3004</v>
      </c>
      <c r="B3065" s="138">
        <f>'Expenditures 15-22'!K219</f>
        <v>2106</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11717</v>
      </c>
      <c r="C3225" s="2" t="s">
        <v>592</v>
      </c>
      <c r="D3225" s="2" t="str">
        <f t="shared" si="49"/>
        <v>Error?</v>
      </c>
    </row>
    <row r="3226" spans="1:4" x14ac:dyDescent="0.2">
      <c r="A3226" s="5">
        <v>3165</v>
      </c>
      <c r="B3226" s="138">
        <f>'Acct Summary 7-8'!I8</f>
        <v>11717</v>
      </c>
      <c r="C3226" s="2" t="s">
        <v>592</v>
      </c>
      <c r="D3226" s="2" t="str">
        <f t="shared" si="49"/>
        <v>Error?</v>
      </c>
    </row>
    <row r="3227" spans="1:4" x14ac:dyDescent="0.2">
      <c r="A3227" s="5">
        <v>3166</v>
      </c>
      <c r="B3227" s="138">
        <f>'Acct Summary 7-8'!I20</f>
        <v>11717</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42070</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20000</v>
      </c>
      <c r="C3238" s="2" t="s">
        <v>592</v>
      </c>
      <c r="D3238" s="2" t="str">
        <f t="shared" si="49"/>
        <v>Error?</v>
      </c>
    </row>
    <row r="3239" spans="1:4" x14ac:dyDescent="0.2">
      <c r="A3239" s="5">
        <v>3178</v>
      </c>
      <c r="B3239" s="138">
        <f>'Acct Summary 7-8'!D78</f>
        <v>-58053</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244</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5187</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0</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20000</v>
      </c>
      <c r="C3318" s="2" t="s">
        <v>592</v>
      </c>
      <c r="D3318" s="2" t="str">
        <f t="shared" si="50"/>
        <v>Error?</v>
      </c>
    </row>
    <row r="3319" spans="1:4" x14ac:dyDescent="0.2">
      <c r="A3319" s="5">
        <v>3258</v>
      </c>
      <c r="B3319" s="138">
        <f>'Acct Summary 7-8'!I77</f>
        <v>-20000</v>
      </c>
      <c r="C3319" s="2" t="s">
        <v>592</v>
      </c>
      <c r="D3319" s="2" t="str">
        <f t="shared" si="50"/>
        <v>Error?</v>
      </c>
    </row>
    <row r="3320" spans="1:4" x14ac:dyDescent="0.2">
      <c r="A3320" s="5">
        <v>3259</v>
      </c>
      <c r="B3320" s="138">
        <f>'Acct Summary 7-8'!I78</f>
        <v>-8283</v>
      </c>
      <c r="C3320" s="2" t="s">
        <v>592</v>
      </c>
      <c r="D3320" s="2" t="str">
        <f t="shared" si="50"/>
        <v>Error?</v>
      </c>
    </row>
    <row r="3321" spans="1:4" x14ac:dyDescent="0.2">
      <c r="A3321" s="5">
        <v>3260</v>
      </c>
      <c r="B3321" s="138">
        <f>'Acct Summary 7-8'!I79</f>
        <v>228465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220182</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27068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200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31919</v>
      </c>
      <c r="C3380" s="2" t="s">
        <v>592</v>
      </c>
      <c r="D3380" s="2" t="str">
        <f t="shared" si="51"/>
        <v>Error?</v>
      </c>
    </row>
    <row r="3381" spans="1:4" x14ac:dyDescent="0.2">
      <c r="A3381" s="5">
        <v>3320</v>
      </c>
      <c r="B3381" s="138">
        <f>'Expenditures 15-22'!K19</f>
        <v>200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6102</v>
      </c>
      <c r="D3387" s="2" t="str">
        <f t="shared" si="51"/>
        <v>Error?</v>
      </c>
    </row>
    <row r="3388" spans="1:4" x14ac:dyDescent="0.2">
      <c r="A3388" s="5">
        <v>3327</v>
      </c>
      <c r="B3388" s="138">
        <f>'Expenditures 15-22'!D217</f>
        <v>392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6102</v>
      </c>
      <c r="C3390" s="2" t="s">
        <v>592</v>
      </c>
      <c r="D3390" s="2" t="str">
        <f t="shared" si="51"/>
        <v>Error?</v>
      </c>
    </row>
    <row r="3391" spans="1:4" x14ac:dyDescent="0.2">
      <c r="A3391" s="5">
        <v>3330</v>
      </c>
      <c r="B3391" s="138">
        <f>'Expenditures 15-22'!K217</f>
        <v>392</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559321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36311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73486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46393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220182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18473</v>
      </c>
      <c r="C3446" s="2" t="s">
        <v>592</v>
      </c>
      <c r="D3446" s="2" t="str">
        <f t="shared" si="52"/>
        <v>Error?</v>
      </c>
    </row>
    <row r="3447" spans="1:4" x14ac:dyDescent="0.2">
      <c r="A3447" s="5">
        <v>3386</v>
      </c>
      <c r="B3447" s="138">
        <f>'Tax Sched 23'!D16</f>
        <v>18473</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18500.05</v>
      </c>
      <c r="C3449" s="2" t="s">
        <v>592</v>
      </c>
      <c r="D3449" s="2" t="str">
        <f t="shared" si="52"/>
        <v>Error?</v>
      </c>
    </row>
    <row r="3450" spans="1:4" x14ac:dyDescent="0.2">
      <c r="A3450" s="5">
        <v>3389</v>
      </c>
      <c r="B3450" s="138">
        <f>'Tax Sched 23'!E16</f>
        <v>18500.05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53085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53085</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53085</v>
      </c>
      <c r="D3567" s="2" t="str">
        <f t="shared" si="54"/>
        <v>Error?</v>
      </c>
    </row>
    <row r="3568" spans="1:4" x14ac:dyDescent="0.2">
      <c r="A3568" s="5">
        <v>3507</v>
      </c>
      <c r="B3568" s="138">
        <f>'Assets-Liab 5-6'!K41</f>
        <v>53085</v>
      </c>
      <c r="C3568" s="2" t="s">
        <v>592</v>
      </c>
      <c r="D3568" s="2" t="str">
        <f t="shared" si="54"/>
        <v>Error?</v>
      </c>
    </row>
    <row r="3569" spans="1:4" x14ac:dyDescent="0.2">
      <c r="A3569" s="5">
        <v>3508</v>
      </c>
      <c r="B3569" s="138">
        <f>'Acct Summary 7-8'!K4</f>
        <v>11717</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11717</v>
      </c>
      <c r="C3571" s="2" t="s">
        <v>592</v>
      </c>
      <c r="D3571" s="2" t="str">
        <f t="shared" si="54"/>
        <v>Error?</v>
      </c>
    </row>
    <row r="3572" spans="1:4" x14ac:dyDescent="0.2">
      <c r="A3572" s="5">
        <v>3511</v>
      </c>
      <c r="B3572" s="138">
        <f>'Acct Summary 7-8'!K13</f>
        <v>5394</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5394</v>
      </c>
      <c r="C3575" s="2" t="s">
        <v>592</v>
      </c>
      <c r="D3575" s="2" t="str">
        <f t="shared" si="54"/>
        <v>Error?</v>
      </c>
    </row>
    <row r="3576" spans="1:4" x14ac:dyDescent="0.2">
      <c r="A3576" s="5">
        <v>3515</v>
      </c>
      <c r="B3576" s="138">
        <f>'Acct Summary 7-8'!K20</f>
        <v>6323</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6323</v>
      </c>
      <c r="C3588" s="2" t="s">
        <v>592</v>
      </c>
      <c r="D3588" s="2" t="str">
        <f t="shared" si="55"/>
        <v>Error?</v>
      </c>
    </row>
    <row r="3589" spans="1:4" x14ac:dyDescent="0.2">
      <c r="A3589" s="5">
        <v>3528</v>
      </c>
      <c r="B3589" s="138">
        <f>'Acct Summary 7-8'!K79</f>
        <v>46762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53085</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1489</v>
      </c>
      <c r="D3632" s="2" t="str">
        <f t="shared" si="55"/>
        <v>Error?</v>
      </c>
    </row>
    <row r="3633" spans="1:4" x14ac:dyDescent="0.2">
      <c r="A3633" s="5">
        <v>3572</v>
      </c>
      <c r="B3633" s="138">
        <f>'Expenditures 15-22'!E350</f>
        <v>1489</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1489</v>
      </c>
      <c r="C3635" s="2" t="s">
        <v>592</v>
      </c>
      <c r="D3635" s="2" t="str">
        <f t="shared" si="55"/>
        <v>Error?</v>
      </c>
    </row>
    <row r="3636" spans="1:4" x14ac:dyDescent="0.2">
      <c r="A3636" s="5">
        <v>3575</v>
      </c>
      <c r="B3636" s="138">
        <f>'Expenditures 15-22'!E367</f>
        <v>1489</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3905</v>
      </c>
      <c r="D3646" s="2" t="str">
        <f t="shared" si="55"/>
        <v>Error?</v>
      </c>
    </row>
    <row r="3647" spans="1:4" x14ac:dyDescent="0.2">
      <c r="A3647" s="5">
        <v>3586</v>
      </c>
      <c r="B3647" s="138">
        <f>'Expenditures 15-22'!G350</f>
        <v>3905</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3905</v>
      </c>
      <c r="C3649" s="2" t="s">
        <v>592</v>
      </c>
      <c r="D3649" s="2" t="str">
        <f t="shared" si="56"/>
        <v>Error?</v>
      </c>
    </row>
    <row r="3650" spans="1:4" x14ac:dyDescent="0.2">
      <c r="A3650" s="5">
        <v>3589</v>
      </c>
      <c r="B3650" s="138">
        <f>'Expenditures 15-22'!G367</f>
        <v>3905</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5394</v>
      </c>
      <c r="C3669" s="2" t="s">
        <v>592</v>
      </c>
      <c r="D3669" s="2" t="str">
        <f t="shared" si="56"/>
        <v>Error?</v>
      </c>
    </row>
    <row r="3670" spans="1:4" x14ac:dyDescent="0.2">
      <c r="A3670" s="5">
        <v>3609</v>
      </c>
      <c r="B3670" s="138">
        <f>'Expenditures 15-22'!K350</f>
        <v>5394</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5394</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5394</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6323</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11717</v>
      </c>
      <c r="C3725" s="2" t="s">
        <v>592</v>
      </c>
      <c r="D3725" s="2" t="str">
        <f t="shared" si="57"/>
        <v>Error?</v>
      </c>
    </row>
    <row r="3726" spans="1:4" x14ac:dyDescent="0.2">
      <c r="A3726" s="5">
        <v>3665</v>
      </c>
      <c r="B3726" s="138">
        <f>'Tax Sched 23'!D13</f>
        <v>11717</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12264.69</v>
      </c>
      <c r="C3728" s="2" t="s">
        <v>592</v>
      </c>
      <c r="D3728" s="2" t="str">
        <f t="shared" si="57"/>
        <v>Error?</v>
      </c>
    </row>
    <row r="3729" spans="1:4" x14ac:dyDescent="0.2">
      <c r="A3729" s="5">
        <v>3668</v>
      </c>
      <c r="B3729" s="138">
        <f>'Tax Sched 23'!E13</f>
        <v>12264.69</v>
      </c>
      <c r="D3729" s="2" t="str">
        <f t="shared" si="57"/>
        <v>Error?</v>
      </c>
    </row>
    <row r="3730" spans="1:4" x14ac:dyDescent="0.2">
      <c r="A3730" s="5">
        <v>3669</v>
      </c>
      <c r="B3730" s="138">
        <f>'ICR Computation 30'!E10</f>
        <v>26720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257402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1181813</v>
      </c>
      <c r="C4122" s="2" t="s">
        <v>592</v>
      </c>
      <c r="D4122" s="2" t="str">
        <f t="shared" si="63"/>
        <v>Error?</v>
      </c>
    </row>
    <row r="4123" spans="1:4" x14ac:dyDescent="0.2">
      <c r="A4123" s="5">
        <v>4062</v>
      </c>
      <c r="B4123" s="138">
        <f>'Acct Summary 7-8'!D10</f>
        <v>62080</v>
      </c>
      <c r="C4123" s="2" t="s">
        <v>592</v>
      </c>
      <c r="D4123" s="2" t="str">
        <f t="shared" si="63"/>
        <v>Error?</v>
      </c>
    </row>
    <row r="4124" spans="1:4" x14ac:dyDescent="0.2">
      <c r="A4124" s="5">
        <v>4063</v>
      </c>
      <c r="B4124" s="138">
        <f>'Acct Summary 7-8'!E10</f>
        <v>165318</v>
      </c>
      <c r="C4124" s="2" t="s">
        <v>592</v>
      </c>
      <c r="D4124" s="2" t="str">
        <f t="shared" si="63"/>
        <v>Error?</v>
      </c>
    </row>
    <row r="4125" spans="1:4" x14ac:dyDescent="0.2">
      <c r="A4125" s="5">
        <v>4064</v>
      </c>
      <c r="B4125" s="138">
        <f>'Acct Summary 7-8'!F10</f>
        <v>64833</v>
      </c>
      <c r="C4125" s="2" t="s">
        <v>592</v>
      </c>
      <c r="D4125" s="2" t="str">
        <f t="shared" si="63"/>
        <v>Error?</v>
      </c>
    </row>
    <row r="4126" spans="1:4" x14ac:dyDescent="0.2">
      <c r="A4126" s="5">
        <v>4065</v>
      </c>
      <c r="B4126" s="138">
        <f>'Acct Summary 7-8'!G10</f>
        <v>35249</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11717</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11717</v>
      </c>
      <c r="C4130" s="2" t="s">
        <v>592</v>
      </c>
      <c r="D4130" s="2" t="str">
        <f t="shared" si="63"/>
        <v>Error?</v>
      </c>
    </row>
    <row r="4131" spans="1:4" x14ac:dyDescent="0.2">
      <c r="A4131" s="5">
        <v>4070</v>
      </c>
      <c r="B4131" s="138">
        <f>'Acct Summary 7-8'!C18</f>
        <v>257402</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1139743</v>
      </c>
      <c r="C4136" s="2" t="s">
        <v>592</v>
      </c>
      <c r="D4136" s="2" t="str">
        <f t="shared" si="63"/>
        <v>Error?</v>
      </c>
    </row>
    <row r="4137" spans="1:4" x14ac:dyDescent="0.2">
      <c r="A4137" s="5">
        <v>4076</v>
      </c>
      <c r="B4137" s="138">
        <f>'Acct Summary 7-8'!D19</f>
        <v>140133</v>
      </c>
      <c r="C4137" s="2" t="s">
        <v>592</v>
      </c>
      <c r="D4137" s="2" t="str">
        <f t="shared" si="63"/>
        <v>Error?</v>
      </c>
    </row>
    <row r="4138" spans="1:4" x14ac:dyDescent="0.2">
      <c r="A4138" s="5">
        <v>4077</v>
      </c>
      <c r="B4138" s="138">
        <f>'Acct Summary 7-8'!E19</f>
        <v>165318</v>
      </c>
      <c r="C4138" s="2" t="s">
        <v>592</v>
      </c>
      <c r="D4138" s="2" t="str">
        <f t="shared" si="63"/>
        <v>Error?</v>
      </c>
    </row>
    <row r="4139" spans="1:4" x14ac:dyDescent="0.2">
      <c r="A4139" s="5">
        <v>4078</v>
      </c>
      <c r="B4139" s="138">
        <f>'Acct Summary 7-8'!F19</f>
        <v>64589</v>
      </c>
      <c r="C4139" s="2" t="s">
        <v>592</v>
      </c>
      <c r="D4139" s="2" t="str">
        <f t="shared" si="63"/>
        <v>Error?</v>
      </c>
    </row>
    <row r="4140" spans="1:4" x14ac:dyDescent="0.2">
      <c r="A4140" s="5">
        <v>4079</v>
      </c>
      <c r="B4140" s="138">
        <f>'Acct Summary 7-8'!G19</f>
        <v>30062</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5394</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637000</v>
      </c>
      <c r="C4171" s="2" t="s">
        <v>592</v>
      </c>
      <c r="D4171" s="2" t="str">
        <f t="shared" si="64"/>
        <v>Error?</v>
      </c>
    </row>
    <row r="4172" spans="1:4" x14ac:dyDescent="0.2">
      <c r="A4172" s="5">
        <v>4111</v>
      </c>
      <c r="B4172" s="138">
        <f>'Short-Term Long-Term Debt 24'!J49</f>
        <v>637000</v>
      </c>
      <c r="C4172" s="2" t="s">
        <v>592</v>
      </c>
      <c r="D4172" s="2" t="str">
        <f t="shared" si="64"/>
        <v>Error?</v>
      </c>
    </row>
    <row r="4173" spans="1:4" x14ac:dyDescent="0.2">
      <c r="A4173" s="5">
        <v>4112</v>
      </c>
      <c r="B4173" s="138">
        <f>'Short-Term Long-Term Debt 24'!H49</f>
        <v>137000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1100</v>
      </c>
      <c r="C4265" s="2" t="s">
        <v>592</v>
      </c>
      <c r="D4265" s="2" t="str">
        <f t="shared" si="65"/>
        <v>Error?</v>
      </c>
      <c r="E4265" s="128"/>
    </row>
    <row r="4266" spans="1:5" x14ac:dyDescent="0.2">
      <c r="A4266" s="12">
        <v>4205</v>
      </c>
      <c r="B4266" s="138">
        <f>('FP Info 3'!F10)*100000</f>
        <v>250</v>
      </c>
      <c r="C4266" s="2" t="s">
        <v>592</v>
      </c>
      <c r="D4266" s="2" t="str">
        <f t="shared" si="65"/>
        <v>Error?</v>
      </c>
      <c r="E4266" s="128"/>
    </row>
    <row r="4267" spans="1:5" x14ac:dyDescent="0.2">
      <c r="A4267" s="12">
        <v>4206</v>
      </c>
      <c r="B4267" s="138">
        <f>('FP Info 3'!H10)*100000</f>
        <v>119.99999999999999</v>
      </c>
      <c r="C4267" s="2" t="s">
        <v>592</v>
      </c>
      <c r="D4267" s="2" t="str">
        <f t="shared" si="65"/>
        <v>Error?</v>
      </c>
      <c r="E4267" s="128"/>
    </row>
    <row r="4268" spans="1:5" x14ac:dyDescent="0.2">
      <c r="A4268" s="12">
        <v>4207</v>
      </c>
      <c r="B4268" s="138">
        <f>('FP Info 3'!J10)*100000</f>
        <v>1470</v>
      </c>
      <c r="C4268" s="2" t="s">
        <v>592</v>
      </c>
      <c r="D4268" s="2" t="str">
        <f t="shared" si="65"/>
        <v>Error?</v>
      </c>
    </row>
    <row r="4269" spans="1:5" x14ac:dyDescent="0.2">
      <c r="A4269" s="12">
        <v>4208</v>
      </c>
      <c r="B4269" s="138">
        <f>'FP Info 3'!J16</f>
        <v>1590443</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657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17480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17480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3232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24529370</v>
      </c>
      <c r="D4995" s="2" t="str">
        <f t="shared" si="77"/>
        <v>Error?</v>
      </c>
    </row>
    <row r="4996" spans="1:4" x14ac:dyDescent="0.2">
      <c r="A4996" s="12">
        <v>4935</v>
      </c>
      <c r="B4996" s="138">
        <f>'FP Info 3'!H31</f>
        <v>1692526.53</v>
      </c>
      <c r="D4996" s="2" t="str">
        <f t="shared" si="77"/>
        <v>Error?</v>
      </c>
    </row>
    <row r="4997" spans="1:4" x14ac:dyDescent="0.2">
      <c r="A4997" s="12">
        <v>4936</v>
      </c>
      <c r="B4997" s="138">
        <f>'FP Info 3'!H37</f>
        <v>637000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11717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257707</v>
      </c>
      <c r="D5061" s="2" t="str">
        <f t="shared" si="78"/>
        <v>Error?</v>
      </c>
    </row>
    <row r="5062" spans="1:4" x14ac:dyDescent="0.2">
      <c r="A5062" s="10">
        <v>5001</v>
      </c>
      <c r="D5062" s="2" t="str">
        <f t="shared" si="78"/>
        <v>OK</v>
      </c>
    </row>
    <row r="5063" spans="1:4" x14ac:dyDescent="0.2">
      <c r="A5063" s="5">
        <v>5002</v>
      </c>
      <c r="B5063" s="138">
        <f>'Revenues 9-14'!C7</f>
        <v>4687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274111</v>
      </c>
      <c r="C5066" s="2" t="s">
        <v>592</v>
      </c>
      <c r="D5066" s="2" t="str">
        <f t="shared" si="78"/>
        <v>Error?</v>
      </c>
    </row>
    <row r="5067" spans="1:4" x14ac:dyDescent="0.2">
      <c r="A5067" s="5">
        <v>5006</v>
      </c>
      <c r="B5067" s="138">
        <f>'Revenues 9-14'!C14</f>
        <v>71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5171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5242</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17147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17147</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55318</v>
      </c>
      <c r="C5096" s="2" t="s">
        <v>592</v>
      </c>
      <c r="D5096" s="2" t="str">
        <f t="shared" si="78"/>
        <v>Error?</v>
      </c>
    </row>
    <row r="5097" spans="1:4" x14ac:dyDescent="0.2">
      <c r="A5097" s="5">
        <v>5036</v>
      </c>
      <c r="B5097" s="138">
        <f>'Revenues 9-14'!C77</f>
        <v>7825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1850</v>
      </c>
      <c r="D5099" s="2" t="str">
        <f t="shared" si="78"/>
        <v>Error?</v>
      </c>
    </row>
    <row r="5100" spans="1:4" x14ac:dyDescent="0.2">
      <c r="A5100" s="5">
        <v>5039</v>
      </c>
      <c r="B5100" s="138">
        <f>'Revenues 9-14'!C80</f>
        <v>187</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9862</v>
      </c>
      <c r="C5102" s="2" t="s">
        <v>592</v>
      </c>
      <c r="D5102" s="2" t="str">
        <f t="shared" si="78"/>
        <v>Error?</v>
      </c>
    </row>
    <row r="5103" spans="1:4" x14ac:dyDescent="0.2">
      <c r="A5103" s="5">
        <v>5042</v>
      </c>
      <c r="B5103" s="138">
        <f>'Revenues 9-14'!C84</f>
        <v>8280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3675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11955</v>
      </c>
      <c r="C5112" s="2" t="s">
        <v>592</v>
      </c>
      <c r="D5112" s="2" t="str">
        <f t="shared" si="78"/>
        <v>Error?</v>
      </c>
    </row>
    <row r="5113" spans="1:4" x14ac:dyDescent="0.2">
      <c r="A5113" s="5">
        <v>5052</v>
      </c>
      <c r="B5113" s="138">
        <f>'Revenues 9-14'!C95</f>
        <v>125</v>
      </c>
      <c r="D5113" s="2" t="str">
        <f t="shared" si="78"/>
        <v>Error?</v>
      </c>
    </row>
    <row r="5114" spans="1:4" x14ac:dyDescent="0.2">
      <c r="A5114" s="5">
        <v>5053</v>
      </c>
      <c r="B5114" s="138">
        <f>'Revenues 9-14'!C96</f>
        <v>32059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4652</v>
      </c>
      <c r="D5119" s="2" t="str">
        <f t="shared" ref="D5119:D5182" si="79">IF(ISBLANK(B5119),"OK",IF(A5119-B5119=0,"OK","Error?"))</f>
        <v>Error?</v>
      </c>
    </row>
    <row r="5120" spans="1:4" x14ac:dyDescent="0.2">
      <c r="A5120" s="5">
        <v>5059</v>
      </c>
      <c r="B5120" s="138">
        <f>'Revenues 9-14'!C108</f>
        <v>36836</v>
      </c>
      <c r="C5120" s="2" t="s">
        <v>592</v>
      </c>
      <c r="D5120" s="2" t="str">
        <f t="shared" si="79"/>
        <v>Error?</v>
      </c>
    </row>
    <row r="5121" spans="1:4" x14ac:dyDescent="0.2">
      <c r="A5121" s="5">
        <v>5060</v>
      </c>
      <c r="B5121" s="138">
        <f>'Revenues 9-14'!C109</f>
        <v>410471</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438693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438693</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9340</v>
      </c>
      <c r="D5134" s="2" t="str">
        <f t="shared" si="79"/>
        <v>Error?</v>
      </c>
    </row>
    <row r="5135" spans="1:4" x14ac:dyDescent="0.2">
      <c r="A5135" s="5">
        <v>5074</v>
      </c>
      <c r="B5135" s="138">
        <f>'Revenues 9-14'!C126</f>
        <v>3857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13197</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139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13336</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452029</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16831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16831</v>
      </c>
      <c r="C5246" s="2" t="s">
        <v>592</v>
      </c>
      <c r="D5246" s="2" t="str">
        <f t="shared" si="80"/>
        <v>Error?</v>
      </c>
    </row>
    <row r="5247" spans="1:4" x14ac:dyDescent="0.2">
      <c r="A5247" s="5">
        <v>5186</v>
      </c>
      <c r="B5247" s="138">
        <f>'Revenues 9-14'!C203</f>
        <v>18460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18460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5251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5251</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61911</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61911</v>
      </c>
      <c r="C5326" s="2" t="s">
        <v>592</v>
      </c>
      <c r="D5326" s="2" t="str">
        <f t="shared" si="82"/>
        <v>Error?</v>
      </c>
    </row>
    <row r="5327" spans="1:4" x14ac:dyDescent="0.2">
      <c r="A5327" s="5">
        <v>5266</v>
      </c>
      <c r="B5327" s="138">
        <f>'Revenues 9-14'!C275</f>
        <v>924411</v>
      </c>
      <c r="C5327" s="2" t="s">
        <v>592</v>
      </c>
      <c r="D5327" s="2" t="str">
        <f t="shared" si="82"/>
        <v>Error?</v>
      </c>
    </row>
    <row r="5328" spans="1:4" x14ac:dyDescent="0.2">
      <c r="A5328" s="5">
        <v>5267</v>
      </c>
      <c r="B5328" s="138">
        <f>'Revenues 9-14'!D5</f>
        <v>58570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58570</v>
      </c>
      <c r="C5334" s="2" t="s">
        <v>592</v>
      </c>
      <c r="D5334" s="2" t="str">
        <f t="shared" si="82"/>
        <v>Error?</v>
      </c>
    </row>
    <row r="5335" spans="1:4" x14ac:dyDescent="0.2">
      <c r="A5335" s="5">
        <v>5274</v>
      </c>
      <c r="B5335" s="138">
        <f>'Revenues 9-14'!D14</f>
        <v>16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400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1594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1500</v>
      </c>
      <c r="D5354" s="2" t="str">
        <f t="shared" si="82"/>
        <v>Error?</v>
      </c>
    </row>
    <row r="5355" spans="1:4" x14ac:dyDescent="0.2">
      <c r="A5355" s="5">
        <v>5294</v>
      </c>
      <c r="B5355" s="138">
        <f>'Revenues 9-14'!D108</f>
        <v>3494</v>
      </c>
      <c r="C5355" s="2" t="s">
        <v>592</v>
      </c>
      <c r="D5355" s="2" t="str">
        <f t="shared" si="82"/>
        <v>Error?</v>
      </c>
    </row>
    <row r="5356" spans="1:4" x14ac:dyDescent="0.2">
      <c r="A5356" s="5">
        <v>5295</v>
      </c>
      <c r="B5356" s="138">
        <f>'Revenues 9-14'!D109</f>
        <v>62080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62080</v>
      </c>
      <c r="C5508" s="2" t="s">
        <v>592</v>
      </c>
      <c r="D5508" s="2" t="str">
        <f t="shared" si="85"/>
        <v>Error?</v>
      </c>
    </row>
    <row r="5509" spans="1:4" x14ac:dyDescent="0.2">
      <c r="A5509" s="5">
        <v>5448</v>
      </c>
      <c r="B5509" s="138">
        <f>'Revenues 9-14'!E5</f>
        <v>165303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165303</v>
      </c>
      <c r="C5513" s="2" t="s">
        <v>592</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165318</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165318</v>
      </c>
      <c r="C5552" s="2" t="s">
        <v>592</v>
      </c>
      <c r="D5552" s="2" t="str">
        <f t="shared" si="85"/>
        <v>Error?</v>
      </c>
    </row>
    <row r="5553" spans="1:4" x14ac:dyDescent="0.2">
      <c r="A5553" s="5">
        <v>5492</v>
      </c>
      <c r="B5553" s="138">
        <f>'Revenues 9-14'!F5</f>
        <v>28114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28114</v>
      </c>
      <c r="C5557" s="2" t="s">
        <v>592</v>
      </c>
      <c r="D5557" s="2" t="str">
        <f t="shared" si="85"/>
        <v>Error?</v>
      </c>
    </row>
    <row r="5558" spans="1:4" x14ac:dyDescent="0.2">
      <c r="A5558" s="5">
        <v>5497</v>
      </c>
      <c r="B5558" s="138">
        <f>'Revenues 9-14'!F14</f>
        <v>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9940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9940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80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80</v>
      </c>
      <c r="C5587" s="2" t="s">
        <v>592</v>
      </c>
      <c r="D5587" s="2" t="str">
        <f t="shared" si="86"/>
        <v>Error?</v>
      </c>
    </row>
    <row r="5588" spans="1:4" x14ac:dyDescent="0.2">
      <c r="A5588" s="5">
        <v>5527</v>
      </c>
      <c r="B5588" s="138">
        <f>'Revenues 9-14'!F109</f>
        <v>38142</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26691</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26691</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26691</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26691</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64833</v>
      </c>
      <c r="C5720" s="2" t="s">
        <v>592</v>
      </c>
      <c r="D5720" s="2" t="str">
        <f t="shared" si="88"/>
        <v>Error?</v>
      </c>
    </row>
    <row r="5721" spans="1:4" x14ac:dyDescent="0.2">
      <c r="A5721" s="5">
        <v>5660</v>
      </c>
      <c r="B5721" s="138">
        <f>'Revenues 9-14'!G5</f>
        <v>16472</v>
      </c>
      <c r="D5721" s="2" t="str">
        <f t="shared" si="88"/>
        <v>Error?</v>
      </c>
    </row>
    <row r="5722" spans="1:4" x14ac:dyDescent="0.2">
      <c r="A5722" s="5">
        <v>5661</v>
      </c>
      <c r="B5722" s="138">
        <f>'Revenues 9-14'!G7</f>
        <v>0</v>
      </c>
      <c r="D5722" s="2" t="str">
        <f t="shared" si="88"/>
        <v>Error?</v>
      </c>
    </row>
    <row r="5723" spans="1:4" x14ac:dyDescent="0.2">
      <c r="A5723" s="5">
        <v>5662</v>
      </c>
      <c r="B5723" s="138">
        <f>'Revenues 9-14'!G8</f>
        <v>18473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34945</v>
      </c>
      <c r="C5725" s="2" t="s">
        <v>592</v>
      </c>
      <c r="D5725" s="2" t="str">
        <f t="shared" si="88"/>
        <v>Error?</v>
      </c>
    </row>
    <row r="5726" spans="1:4" x14ac:dyDescent="0.2">
      <c r="A5726" s="5">
        <v>5665</v>
      </c>
      <c r="B5726" s="138">
        <f>'Revenues 9-14'!G14</f>
        <v>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304</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35249</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11714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11714</v>
      </c>
      <c r="C5918" s="2" t="s">
        <v>592</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11717</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11714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11714</v>
      </c>
      <c r="C5987" s="2" t="s">
        <v>592</v>
      </c>
      <c r="D5987" s="2" t="str">
        <f t="shared" si="92"/>
        <v>Error?</v>
      </c>
    </row>
    <row r="5988" spans="1:4" x14ac:dyDescent="0.2">
      <c r="A5988" s="5">
        <v>5927</v>
      </c>
      <c r="B5988" s="138">
        <f>'Revenues 9-14'!K14</f>
        <v>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11717</v>
      </c>
      <c r="C6023" s="2" t="s">
        <v>592</v>
      </c>
      <c r="D6023" s="2" t="str">
        <f t="shared" si="93"/>
        <v>Error?</v>
      </c>
    </row>
    <row r="6024" spans="1:5" x14ac:dyDescent="0.2">
      <c r="A6024" s="5">
        <v>5963</v>
      </c>
      <c r="B6024" s="138">
        <f>'Revenues 9-14'!G109</f>
        <v>35249</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11717</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11717</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54879</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5919.11</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158.63999999999999</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184566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184566</v>
      </c>
      <c r="D6215" s="2" t="str">
        <f t="shared" si="96"/>
        <v>Error?</v>
      </c>
      <c r="E6215" s="2" t="s">
        <v>199</v>
      </c>
    </row>
    <row r="6216" spans="1:5" x14ac:dyDescent="0.2">
      <c r="A6216">
        <v>6155</v>
      </c>
      <c r="B6216" s="138">
        <f>'Assets-Liab 5-6'!J41</f>
        <v>184566</v>
      </c>
      <c r="D6216" s="2" t="str">
        <f t="shared" si="96"/>
        <v>Error?</v>
      </c>
      <c r="E6216" s="2" t="s">
        <v>199</v>
      </c>
    </row>
    <row r="6217" spans="1:5" x14ac:dyDescent="0.2">
      <c r="A6217">
        <v>6156</v>
      </c>
      <c r="B6217" s="138">
        <f>'Assets-Liab 5-6'!J4</f>
        <v>184566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99860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99860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99860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72583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72583</v>
      </c>
      <c r="D6229" s="2" t="str">
        <f t="shared" si="96"/>
        <v>Error?</v>
      </c>
      <c r="E6229" s="2" t="s">
        <v>199</v>
      </c>
    </row>
    <row r="6230" spans="1:5" x14ac:dyDescent="0.2">
      <c r="A6230">
        <v>6169</v>
      </c>
      <c r="B6230" s="138">
        <f>'Acct Summary 7-8'!J20</f>
        <v>27277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27277</v>
      </c>
      <c r="D6263" s="2" t="str">
        <f t="shared" si="96"/>
        <v>Error?</v>
      </c>
      <c r="E6263" s="2" t="s">
        <v>199</v>
      </c>
    </row>
    <row r="6264" spans="1:5" x14ac:dyDescent="0.2">
      <c r="A6264">
        <v>6203</v>
      </c>
      <c r="B6264" s="138">
        <f>'Acct Summary 7-8'!J79</f>
        <v>157289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184566</v>
      </c>
      <c r="D6266" s="2" t="str">
        <f t="shared" si="96"/>
        <v>Error?</v>
      </c>
      <c r="E6266" s="2" t="s">
        <v>199</v>
      </c>
    </row>
    <row r="6267" spans="1:5" x14ac:dyDescent="0.2">
      <c r="A6267">
        <v>6206</v>
      </c>
      <c r="B6267" s="138">
        <f>'Acct Summary 7-8'!C82</f>
        <v>42070</v>
      </c>
      <c r="D6267" s="2" t="str">
        <f t="shared" si="96"/>
        <v>Error?</v>
      </c>
      <c r="E6267" s="2" t="s">
        <v>199</v>
      </c>
    </row>
    <row r="6268" spans="1:5" x14ac:dyDescent="0.2">
      <c r="A6268">
        <v>6207</v>
      </c>
      <c r="B6268" s="138">
        <f>'Acct Summary 7-8'!D82</f>
        <v>-58053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244</v>
      </c>
      <c r="D6270" s="2" t="str">
        <f t="shared" si="96"/>
        <v>Error?</v>
      </c>
      <c r="E6270" s="2" t="s">
        <v>199</v>
      </c>
    </row>
    <row r="6271" spans="1:5" x14ac:dyDescent="0.2">
      <c r="A6271">
        <v>6210</v>
      </c>
      <c r="B6271" s="138">
        <f>'Acct Summary 7-8'!G82</f>
        <v>5187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-8283</v>
      </c>
      <c r="D6273" s="2" t="str">
        <f t="shared" si="97"/>
        <v>Error?</v>
      </c>
      <c r="E6273" s="2" t="s">
        <v>199</v>
      </c>
    </row>
    <row r="6274" spans="1:5" x14ac:dyDescent="0.2">
      <c r="A6274">
        <v>6213</v>
      </c>
      <c r="B6274" s="138">
        <f>'Acct Summary 7-8'!J82</f>
        <v>27277</v>
      </c>
      <c r="D6274" s="2" t="str">
        <f t="shared" si="97"/>
        <v>Error?</v>
      </c>
      <c r="E6274" s="2" t="s">
        <v>199</v>
      </c>
    </row>
    <row r="6275" spans="1:5" x14ac:dyDescent="0.2">
      <c r="A6275">
        <v>6214</v>
      </c>
      <c r="B6275" s="138">
        <f>'Acct Summary 7-8'!K82</f>
        <v>6323</v>
      </c>
      <c r="D6275" s="2" t="str">
        <f t="shared" si="97"/>
        <v>Error?</v>
      </c>
      <c r="E6275" s="2" t="s">
        <v>199</v>
      </c>
    </row>
    <row r="6276" spans="1:5" x14ac:dyDescent="0.2">
      <c r="A6276">
        <v>6215</v>
      </c>
      <c r="B6276" s="138">
        <f>'Acct Summary 7-8'!C83</f>
        <v>3.3376597824293273E-2</v>
      </c>
      <c r="D6276" s="2" t="str">
        <f t="shared" si="97"/>
        <v>Error?</v>
      </c>
      <c r="E6276" s="2" t="s">
        <v>199</v>
      </c>
    </row>
    <row r="6277" spans="1:5" x14ac:dyDescent="0.2">
      <c r="A6277">
        <v>6216</v>
      </c>
      <c r="B6277" s="138">
        <f>'Acct Summary 7-8'!D83</f>
        <v>-1.5987717220676929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3.3203603407451761E-3</v>
      </c>
      <c r="D6279" s="2" t="str">
        <f t="shared" si="97"/>
        <v>Error?</v>
      </c>
      <c r="E6279" s="2" t="s">
        <v>199</v>
      </c>
    </row>
    <row r="6280" spans="1:5" x14ac:dyDescent="0.2">
      <c r="A6280">
        <v>6219</v>
      </c>
      <c r="B6280" s="138">
        <f>'Acct Summary 7-8'!G83</f>
        <v>0.11180566033668872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-3.7618878927432757E-2</v>
      </c>
      <c r="D6282" s="2" t="str">
        <f t="shared" si="97"/>
        <v>Error?</v>
      </c>
      <c r="E6282" s="2" t="s">
        <v>199</v>
      </c>
    </row>
    <row r="6283" spans="1:5" x14ac:dyDescent="0.2">
      <c r="A6283">
        <v>6222</v>
      </c>
      <c r="B6283" s="138">
        <f>'Acct Summary 7-8'!J83</f>
        <v>0.14778995047841964</v>
      </c>
      <c r="D6283" s="2" t="str">
        <f t="shared" si="97"/>
        <v>Error?</v>
      </c>
      <c r="E6283" s="2" t="s">
        <v>199</v>
      </c>
    </row>
    <row r="6284" spans="1:5" x14ac:dyDescent="0.2">
      <c r="A6284">
        <v>6223</v>
      </c>
      <c r="B6284" s="138">
        <f>'Acct Summary 7-8'!K83</f>
        <v>0.11911085994160309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99834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99834</v>
      </c>
      <c r="D6301" s="2" t="str">
        <f t="shared" si="97"/>
        <v>Error?</v>
      </c>
      <c r="E6301" s="2" t="s">
        <v>199</v>
      </c>
    </row>
    <row r="6302" spans="1:5" x14ac:dyDescent="0.2">
      <c r="A6302">
        <v>6241</v>
      </c>
      <c r="B6302" s="138">
        <f>'Revenues 9-14'!J14</f>
        <v>26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99860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72583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99860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2499</v>
      </c>
      <c r="D7093" s="2" t="str">
        <f t="shared" si="109"/>
        <v>Error?</v>
      </c>
    </row>
    <row r="7094" spans="1:4" x14ac:dyDescent="0.2">
      <c r="A7094">
        <v>7033</v>
      </c>
      <c r="B7094" s="138">
        <f>'Expenditures 15-22'!K254</f>
        <v>2499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9479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9479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2377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2377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39885</v>
      </c>
      <c r="D7172" s="2" t="str">
        <f t="shared" si="111"/>
        <v>Error?</v>
      </c>
    </row>
    <row r="7173" spans="1:4" x14ac:dyDescent="0.2">
      <c r="A7173">
        <v>7112</v>
      </c>
      <c r="B7173" s="138">
        <f>'Expenditures 15-22'!D325</f>
        <v>3344</v>
      </c>
      <c r="D7173" s="2" t="str">
        <f t="shared" si="111"/>
        <v>Error?</v>
      </c>
    </row>
    <row r="7174" spans="1:4" x14ac:dyDescent="0.2">
      <c r="A7174">
        <v>7113</v>
      </c>
      <c r="B7174" s="138">
        <f>'Expenditures 15-22'!E325</f>
        <v>4708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47937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3720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3720</v>
      </c>
      <c r="D7198" s="2" t="str">
        <f t="shared" si="111"/>
        <v>Error?</v>
      </c>
    </row>
    <row r="7199" spans="1:4" x14ac:dyDescent="0.2">
      <c r="A7199">
        <v>7138</v>
      </c>
      <c r="B7199" s="138">
        <f>'Expenditures 15-22'!C330</f>
        <v>39885</v>
      </c>
      <c r="D7199" s="2" t="str">
        <f t="shared" si="111"/>
        <v>Error?</v>
      </c>
    </row>
    <row r="7200" spans="1:4" x14ac:dyDescent="0.2">
      <c r="A7200">
        <v>7139</v>
      </c>
      <c r="B7200" s="138">
        <f>'Expenditures 15-22'!D330</f>
        <v>3344</v>
      </c>
      <c r="D7200" s="2" t="str">
        <f t="shared" si="111"/>
        <v>Error?</v>
      </c>
    </row>
    <row r="7201" spans="1:4" x14ac:dyDescent="0.2">
      <c r="A7201">
        <v>7140</v>
      </c>
      <c r="B7201" s="138">
        <f>'Expenditures 15-22'!E330</f>
        <v>29354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72583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39885</v>
      </c>
      <c r="D7216" s="2" t="str">
        <f t="shared" si="111"/>
        <v>Error?</v>
      </c>
    </row>
    <row r="7217" spans="1:4" x14ac:dyDescent="0.2">
      <c r="A7217">
        <v>7156</v>
      </c>
      <c r="B7217" s="138">
        <f>'Expenditures 15-22'!D342</f>
        <v>3344</v>
      </c>
      <c r="D7217" s="2" t="str">
        <f t="shared" si="111"/>
        <v>Error?</v>
      </c>
    </row>
    <row r="7218" spans="1:4" x14ac:dyDescent="0.2">
      <c r="A7218">
        <v>7157</v>
      </c>
      <c r="B7218" s="138">
        <f>'Expenditures 15-22'!E342</f>
        <v>29354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72583</v>
      </c>
      <c r="D7224" s="2" t="str">
        <f t="shared" si="111"/>
        <v>Error?</v>
      </c>
    </row>
    <row r="7225" spans="1:4" x14ac:dyDescent="0.2">
      <c r="A7225">
        <v>7164</v>
      </c>
      <c r="B7225" s="138">
        <f>'Expenditures 15-22'!K343</f>
        <v>27277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14203.97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4687</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20000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67186</v>
      </c>
      <c r="D7797" s="2" t="str">
        <f t="shared" si="127"/>
        <v>Error?</v>
      </c>
      <c r="E7797" s="4" t="s">
        <v>2018</v>
      </c>
    </row>
    <row r="7798" spans="1:5" x14ac:dyDescent="0.2">
      <c r="A7798">
        <v>7737</v>
      </c>
      <c r="B7798" s="138">
        <f>'Contracts Paid in CY 29'!F141</f>
        <v>37411</v>
      </c>
      <c r="D7798" s="2" t="str">
        <f t="shared" si="127"/>
        <v>Error?</v>
      </c>
      <c r="E7798" s="4" t="s">
        <v>2018</v>
      </c>
    </row>
    <row r="7799" spans="1:5" x14ac:dyDescent="0.2">
      <c r="A7799">
        <v>7738</v>
      </c>
      <c r="B7799" s="138">
        <f>'Contracts Paid in CY 29'!G141</f>
        <v>29775</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2" t="s">
        <v>1251</v>
      </c>
      <c r="B2" s="2432"/>
      <c r="C2" s="2432"/>
      <c r="D2" s="2432"/>
      <c r="E2" s="2432"/>
      <c r="F2" s="2432"/>
      <c r="G2" s="2432"/>
      <c r="H2" s="2432"/>
      <c r="I2" s="2432"/>
      <c r="J2" s="2432"/>
      <c r="K2" s="2432"/>
      <c r="L2" s="2432"/>
    </row>
    <row r="3" spans="1:29" ht="13.5" customHeight="1" x14ac:dyDescent="0.2">
      <c r="A3" s="2418" t="s">
        <v>1250</v>
      </c>
      <c r="B3" s="2418"/>
      <c r="C3" s="2418"/>
      <c r="D3" s="2418"/>
      <c r="E3" s="2418"/>
      <c r="F3" s="2418"/>
      <c r="G3" s="2418"/>
      <c r="H3" s="2418"/>
      <c r="I3" s="2418"/>
      <c r="J3" s="2418"/>
      <c r="K3" s="2418"/>
      <c r="L3" s="2418"/>
    </row>
    <row r="4" spans="1:29" ht="13.5" customHeight="1" x14ac:dyDescent="0.2">
      <c r="A4" s="2432" t="s">
        <v>1797</v>
      </c>
      <c r="B4" s="2449"/>
      <c r="C4" s="2449"/>
      <c r="D4" s="2449"/>
      <c r="E4" s="2449"/>
      <c r="F4" s="2449"/>
      <c r="G4" s="2449"/>
      <c r="H4" s="2449"/>
      <c r="I4" s="2449"/>
      <c r="J4" s="2449"/>
      <c r="K4" s="2449"/>
      <c r="L4" s="244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12" t="str">
        <f>COVER!A17</f>
        <v>Bartelso SD 57</v>
      </c>
      <c r="B7" s="2413"/>
      <c r="C7" s="2413"/>
      <c r="D7" s="2450"/>
      <c r="E7" s="2451">
        <f>COVER!A13</f>
        <v>13014057002</v>
      </c>
      <c r="F7" s="2452"/>
      <c r="G7" s="2419" t="str">
        <f>COVER!T23</f>
        <v>066-004976</v>
      </c>
      <c r="H7" s="2420"/>
      <c r="I7" s="2420"/>
      <c r="J7" s="2420"/>
      <c r="K7" s="2420"/>
      <c r="L7" s="2421"/>
    </row>
    <row r="8" spans="1:29" ht="13.5" customHeight="1" x14ac:dyDescent="0.2">
      <c r="A8" s="1185" t="s">
        <v>1595</v>
      </c>
      <c r="B8" s="1186"/>
      <c r="C8" s="1187"/>
      <c r="D8" s="1187"/>
      <c r="E8" s="1192"/>
      <c r="F8" s="1191"/>
      <c r="G8" s="1193" t="s">
        <v>1246</v>
      </c>
      <c r="H8" s="1194"/>
      <c r="I8" s="1194"/>
      <c r="J8" s="1194"/>
      <c r="K8" s="1194"/>
      <c r="L8" s="1195"/>
    </row>
    <row r="9" spans="1:29" ht="13.5" customHeight="1" x14ac:dyDescent="0.2">
      <c r="A9" s="2422"/>
      <c r="B9" s="2423"/>
      <c r="C9" s="2423"/>
      <c r="D9" s="2423"/>
      <c r="E9" s="2423"/>
      <c r="F9" s="2424"/>
      <c r="G9" s="2425" t="str">
        <f>COVER!T13</f>
        <v>Glass and Shuffett, Ltd.</v>
      </c>
      <c r="H9" s="2426"/>
      <c r="I9" s="2426"/>
      <c r="J9" s="2426"/>
      <c r="K9" s="2426"/>
      <c r="L9" s="2427"/>
    </row>
    <row r="10" spans="1:29" ht="13.5" customHeight="1" x14ac:dyDescent="0.2">
      <c r="A10" s="2409" t="str">
        <f>COVER!A38</f>
        <v>Tom Siegler</v>
      </c>
      <c r="B10" s="2410"/>
      <c r="C10" s="2410"/>
      <c r="D10" s="2410"/>
      <c r="E10" s="2410"/>
      <c r="F10" s="2411"/>
      <c r="G10" s="2425" t="str">
        <f>COVER!T17</f>
        <v>1819 West McCord St., P.O. Box489</v>
      </c>
      <c r="H10" s="2438"/>
      <c r="I10" s="2438"/>
      <c r="J10" s="2438"/>
      <c r="K10" s="2438"/>
      <c r="L10" s="2439"/>
    </row>
    <row r="11" spans="1:29" ht="13.5" customHeight="1" x14ac:dyDescent="0.2">
      <c r="A11" s="1185" t="s">
        <v>1597</v>
      </c>
      <c r="B11" s="1186"/>
      <c r="C11" s="1187"/>
      <c r="D11" s="1192"/>
      <c r="E11" s="1187"/>
      <c r="F11" s="1191"/>
      <c r="G11" s="2425" t="str">
        <f>COVER!T19</f>
        <v>Centralia</v>
      </c>
      <c r="H11" s="2438"/>
      <c r="I11" s="2438"/>
      <c r="J11" s="2438"/>
      <c r="K11" s="2438"/>
      <c r="L11" s="2439"/>
    </row>
    <row r="12" spans="1:29" ht="13.5" customHeight="1" x14ac:dyDescent="0.2">
      <c r="A12" s="2443" t="s">
        <v>1596</v>
      </c>
      <c r="B12" s="2444"/>
      <c r="C12" s="2444"/>
      <c r="D12" s="2444"/>
      <c r="E12" s="2444"/>
      <c r="F12" s="2445"/>
      <c r="G12" s="2440"/>
      <c r="H12" s="2441"/>
      <c r="I12" s="2441"/>
      <c r="J12" s="2441"/>
      <c r="K12" s="2441"/>
      <c r="L12" s="2442"/>
    </row>
    <row r="13" spans="1:29" ht="13.5" customHeight="1" x14ac:dyDescent="0.2">
      <c r="A13" s="2425"/>
      <c r="B13" s="2438"/>
      <c r="C13" s="2438"/>
      <c r="D13" s="2438"/>
      <c r="E13" s="2438"/>
      <c r="F13" s="2439"/>
      <c r="G13" s="2433" t="s">
        <v>1598</v>
      </c>
      <c r="H13" s="2434"/>
      <c r="I13" s="2446" t="str">
        <f>COVER!T25</f>
        <v>gandscpa@sbcglobal.net</v>
      </c>
      <c r="J13" s="2447"/>
      <c r="K13" s="2447"/>
      <c r="L13" s="2448"/>
    </row>
    <row r="14" spans="1:29" ht="13.5" customHeight="1" x14ac:dyDescent="0.2">
      <c r="A14" s="2425" t="str">
        <f>COVER!A19</f>
        <v>306 S Washington</v>
      </c>
      <c r="B14" s="2438"/>
      <c r="C14" s="2438"/>
      <c r="D14" s="2438"/>
      <c r="E14" s="2438"/>
      <c r="F14" s="2439"/>
      <c r="G14" s="1196" t="s">
        <v>1245</v>
      </c>
      <c r="H14" s="1194"/>
      <c r="I14" s="1194"/>
      <c r="J14" s="1194"/>
      <c r="K14" s="1194"/>
      <c r="L14" s="1195"/>
    </row>
    <row r="15" spans="1:29" ht="13.5" customHeight="1" x14ac:dyDescent="0.2">
      <c r="A15" s="2425" t="str">
        <f>COVER!A21</f>
        <v>Bartelso</v>
      </c>
      <c r="B15" s="2438"/>
      <c r="C15" s="2438"/>
      <c r="D15" s="2438"/>
      <c r="E15" s="2438"/>
      <c r="F15" s="2439"/>
      <c r="G15" s="2435" t="str">
        <f>COVER!T15</f>
        <v>Douglas A. Ess, CPA</v>
      </c>
      <c r="H15" s="2436"/>
      <c r="I15" s="2436"/>
      <c r="J15" s="2436"/>
      <c r="K15" s="2436"/>
      <c r="L15" s="2437"/>
    </row>
    <row r="16" spans="1:29" ht="12.2" customHeight="1" x14ac:dyDescent="0.2">
      <c r="A16" s="2415">
        <f>COVER!A25</f>
        <v>62218</v>
      </c>
      <c r="B16" s="2416"/>
      <c r="C16" s="2416"/>
      <c r="D16" s="2416"/>
      <c r="E16" s="2416"/>
      <c r="F16" s="2417"/>
      <c r="G16" s="2428"/>
      <c r="H16" s="2429"/>
      <c r="I16" s="2429"/>
      <c r="J16" s="2429"/>
      <c r="K16" s="2429"/>
      <c r="L16" s="2430"/>
    </row>
    <row r="17" spans="1:13" ht="12.2" customHeight="1" x14ac:dyDescent="0.2">
      <c r="A17" s="2431"/>
      <c r="B17" s="2416"/>
      <c r="C17" s="2416"/>
      <c r="D17" s="2416"/>
      <c r="E17" s="2416"/>
      <c r="F17" s="2417"/>
      <c r="G17" s="1196" t="s">
        <v>1244</v>
      </c>
      <c r="H17" s="1194"/>
      <c r="I17" s="1194"/>
      <c r="J17" s="1194"/>
      <c r="K17" s="1198" t="s">
        <v>1243</v>
      </c>
      <c r="L17" s="1191"/>
      <c r="M17" s="1184"/>
    </row>
    <row r="18" spans="1:13" ht="12.2" customHeight="1" x14ac:dyDescent="0.2">
      <c r="A18" s="2409"/>
      <c r="B18" s="2410"/>
      <c r="C18" s="2410"/>
      <c r="D18" s="2410"/>
      <c r="E18" s="2410"/>
      <c r="F18" s="2411"/>
      <c r="G18" s="2412" t="str">
        <f>COVER!T21</f>
        <v>618-532-5683</v>
      </c>
      <c r="H18" s="2413"/>
      <c r="I18" s="2413"/>
      <c r="J18" s="2413"/>
      <c r="K18" s="2412" t="str">
        <f>COVER!X21</f>
        <v>618-532-5684</v>
      </c>
      <c r="L18" s="241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3" t="str">
        <f>'Single Audit Cover'!A7</f>
        <v>Bartelso SD 57</v>
      </c>
      <c r="B1" s="2449"/>
      <c r="C1" s="2449"/>
      <c r="D1" s="2449"/>
    </row>
    <row r="2" spans="1:11" s="1215" customFormat="1" ht="12.75" x14ac:dyDescent="0.2">
      <c r="A2" s="2454">
        <f>'Single Audit Cover'!E7</f>
        <v>13014057002</v>
      </c>
      <c r="B2" s="2455"/>
      <c r="C2" s="2455"/>
      <c r="D2" s="2455"/>
    </row>
    <row r="3" spans="1:11" s="1215" customFormat="1" ht="12.75" x14ac:dyDescent="0.2">
      <c r="A3" s="2453" t="s">
        <v>1591</v>
      </c>
      <c r="B3" s="2449"/>
      <c r="C3" s="2449"/>
      <c r="D3" s="2449"/>
    </row>
    <row r="4" spans="1:11" s="1215" customFormat="1" ht="4.5"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7" t="str">
        <f>'Single Audit Cover'!A7</f>
        <v>Bartelso SD 57</v>
      </c>
      <c r="B1" s="2457"/>
      <c r="C1" s="2457"/>
      <c r="D1" s="2457"/>
      <c r="E1" s="2457"/>
    </row>
    <row r="2" spans="1:5" x14ac:dyDescent="0.2">
      <c r="A2" s="2458">
        <f>'Single Audit Cover'!E7</f>
        <v>13014057002</v>
      </c>
      <c r="B2" s="2458"/>
      <c r="C2" s="2458"/>
      <c r="D2" s="2458"/>
      <c r="E2" s="2458"/>
    </row>
    <row r="3" spans="1:5" ht="4.5" customHeight="1" x14ac:dyDescent="0.2"/>
    <row r="4" spans="1:5" x14ac:dyDescent="0.2">
      <c r="A4" s="2457" t="s">
        <v>1305</v>
      </c>
      <c r="B4" s="2457"/>
      <c r="C4" s="2457"/>
      <c r="D4" s="2457"/>
      <c r="E4" s="2457"/>
    </row>
    <row r="5" spans="1:5" x14ac:dyDescent="0.2">
      <c r="A5" s="2460" t="str">
        <f>'Single Audit Cover'!A4</f>
        <v>Year Ending June 30, 2018</v>
      </c>
      <c r="B5" s="2460"/>
      <c r="C5" s="2460"/>
      <c r="D5" s="2460"/>
      <c r="E5" s="2460"/>
    </row>
    <row r="6" spans="1:5" x14ac:dyDescent="0.2">
      <c r="A6" s="2457" t="s">
        <v>1304</v>
      </c>
      <c r="B6" s="2457"/>
      <c r="C6" s="2457"/>
      <c r="D6" s="2457"/>
      <c r="E6" s="2457"/>
    </row>
    <row r="8" spans="1:5" x14ac:dyDescent="0.2">
      <c r="A8" s="1260" t="s">
        <v>1303</v>
      </c>
    </row>
    <row r="10" spans="1:5" x14ac:dyDescent="0.2">
      <c r="A10" s="1261" t="s">
        <v>1302</v>
      </c>
      <c r="B10" s="1262" t="s">
        <v>1301</v>
      </c>
      <c r="C10" s="1262"/>
      <c r="D10" s="1263">
        <f>SUM('Acct Summary 7-8'!C7:K7)</f>
        <v>61911</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5919.11</v>
      </c>
    </row>
    <row r="15" spans="1:5" x14ac:dyDescent="0.2">
      <c r="A15" s="1261"/>
      <c r="B15" s="1262"/>
      <c r="C15" s="1262"/>
    </row>
    <row r="16" spans="1:5" x14ac:dyDescent="0.2">
      <c r="A16" s="1261" t="s">
        <v>1954</v>
      </c>
      <c r="B16" s="1262"/>
      <c r="C16" s="1262"/>
    </row>
    <row r="17" spans="1:4" x14ac:dyDescent="0.2">
      <c r="A17" s="1261" t="s">
        <v>1599</v>
      </c>
      <c r="B17" s="1262" t="s">
        <v>1296</v>
      </c>
      <c r="C17" s="1262"/>
      <c r="D17" s="1264">
        <f>-SUM('Revenues 9-14'!C271:D271,'Revenues 9-14'!F271:G271)</f>
        <v>0</v>
      </c>
    </row>
    <row r="19" spans="1:4" ht="13.5" thickBot="1" x14ac:dyDescent="0.25">
      <c r="A19" s="1265" t="s">
        <v>1295</v>
      </c>
      <c r="D19" s="1266">
        <f>SUM(D10:D17)</f>
        <v>67830.11</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9"/>
      <c r="B24" s="2459"/>
      <c r="D24" s="1268"/>
    </row>
    <row r="25" spans="1:4" x14ac:dyDescent="0.2">
      <c r="A25" s="2456"/>
      <c r="B25" s="2456"/>
      <c r="D25" s="1268"/>
    </row>
    <row r="26" spans="1:4" x14ac:dyDescent="0.2">
      <c r="A26" s="2456"/>
      <c r="B26" s="2456"/>
      <c r="D26" s="1268"/>
    </row>
    <row r="27" spans="1:4" x14ac:dyDescent="0.2">
      <c r="A27" s="2456"/>
      <c r="B27" s="2456"/>
      <c r="D27" s="1268"/>
    </row>
    <row r="28" spans="1:4" x14ac:dyDescent="0.2">
      <c r="A28" s="2456"/>
      <c r="B28" s="2456"/>
      <c r="D28" s="1268"/>
    </row>
    <row r="29" spans="1:4" x14ac:dyDescent="0.2">
      <c r="A29" s="2456"/>
      <c r="B29" s="2456"/>
      <c r="D29" s="1268"/>
    </row>
    <row r="30" spans="1:4" x14ac:dyDescent="0.2">
      <c r="A30" s="2456"/>
      <c r="B30" s="2456"/>
      <c r="D30" s="1268"/>
    </row>
    <row r="32" spans="1:4" x14ac:dyDescent="0.2">
      <c r="A32" s="1260" t="s">
        <v>1293</v>
      </c>
      <c r="D32" s="1263">
        <f>SUM(D19:D30)</f>
        <v>67830.11</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35" customHeight="1" x14ac:dyDescent="0.2">
      <c r="A39" s="1267" t="s">
        <v>1288</v>
      </c>
    </row>
    <row r="40" spans="1:4" x14ac:dyDescent="0.2">
      <c r="A40" s="2456"/>
      <c r="B40" s="2456"/>
      <c r="D40" s="1268"/>
    </row>
    <row r="41" spans="1:4" x14ac:dyDescent="0.2">
      <c r="A41" s="2456"/>
      <c r="B41" s="2456"/>
      <c r="D41" s="1271"/>
    </row>
    <row r="42" spans="1:4" x14ac:dyDescent="0.2">
      <c r="A42" s="2456"/>
      <c r="B42" s="2456"/>
      <c r="D42" s="1271"/>
    </row>
    <row r="43" spans="1:4" x14ac:dyDescent="0.2">
      <c r="A43" s="2456"/>
      <c r="B43" s="2456"/>
      <c r="D43" s="1271"/>
    </row>
    <row r="44" spans="1:4" x14ac:dyDescent="0.2">
      <c r="A44" s="2456"/>
      <c r="B44" s="2456"/>
      <c r="D44" s="1271"/>
    </row>
    <row r="45" spans="1:4" x14ac:dyDescent="0.2">
      <c r="A45" s="2456"/>
      <c r="B45" s="2456"/>
      <c r="D45" s="1271"/>
    </row>
    <row r="47" spans="1:4" x14ac:dyDescent="0.2">
      <c r="B47" s="1272" t="s">
        <v>1287</v>
      </c>
      <c r="C47" s="1272"/>
      <c r="D47" s="1273">
        <f>SUM(D35:D45)</f>
        <v>0</v>
      </c>
    </row>
    <row r="49" spans="2:4" x14ac:dyDescent="0.2">
      <c r="B49" s="1272" t="s">
        <v>1286</v>
      </c>
      <c r="C49" s="1272"/>
      <c r="D49" s="1273">
        <f>D32-D47</f>
        <v>67830.11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Bartelso SD 57</v>
      </c>
      <c r="B1" s="2462"/>
      <c r="C1" s="2462"/>
      <c r="D1" s="2462"/>
      <c r="E1" s="2462"/>
      <c r="F1" s="2462"/>
    </row>
    <row r="2" spans="1:7" ht="13.5" customHeight="1" x14ac:dyDescent="0.2">
      <c r="A2" s="2463">
        <f>'Single Audit Cover'!E7</f>
        <v>13014057002</v>
      </c>
      <c r="B2" s="2463"/>
      <c r="C2" s="2463"/>
      <c r="D2" s="2463"/>
      <c r="E2" s="2463"/>
      <c r="F2" s="2463"/>
      <c r="G2" s="1275"/>
    </row>
    <row r="3" spans="1:7" ht="15.75" customHeight="1" x14ac:dyDescent="0.2">
      <c r="A3" s="2464" t="s">
        <v>1331</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1829</v>
      </c>
      <c r="C6" s="317"/>
      <c r="D6" s="317"/>
    </row>
    <row r="7" spans="1:7" ht="60.95" customHeight="1" x14ac:dyDescent="0.2">
      <c r="A7" s="2461" t="s">
        <v>1830</v>
      </c>
      <c r="B7" s="2461"/>
      <c r="C7" s="2461"/>
      <c r="D7" s="2461"/>
      <c r="E7" s="2461"/>
      <c r="F7" s="246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61" t="s">
        <v>1832</v>
      </c>
      <c r="B13" s="2461"/>
      <c r="C13" s="2461"/>
      <c r="D13" s="2461"/>
      <c r="E13" s="2461"/>
      <c r="F13" s="2461"/>
    </row>
    <row r="14" spans="1:7" ht="9.75" customHeight="1" x14ac:dyDescent="0.2">
      <c r="C14" s="1260"/>
      <c r="D14" s="1260"/>
    </row>
    <row r="15" spans="1:7" ht="13.5" customHeight="1" x14ac:dyDescent="0.2">
      <c r="C15" s="1871" t="s">
        <v>1330</v>
      </c>
      <c r="D15" s="2467" t="s">
        <v>1329</v>
      </c>
      <c r="E15" s="2467"/>
      <c r="F15" s="2467"/>
    </row>
    <row r="16" spans="1:7" ht="13.5" customHeight="1" x14ac:dyDescent="0.2">
      <c r="A16" s="1282"/>
      <c r="B16" s="1276" t="s">
        <v>1328</v>
      </c>
      <c r="C16" s="1871" t="s">
        <v>1327</v>
      </c>
      <c r="D16" s="2468" t="s">
        <v>1668</v>
      </c>
      <c r="E16" s="2468"/>
      <c r="F16" s="2468"/>
    </row>
    <row r="17" spans="1:6" ht="20.45" customHeight="1" x14ac:dyDescent="0.2">
      <c r="A17" s="1283"/>
      <c r="B17" s="1284"/>
      <c r="C17" s="1285"/>
      <c r="D17" s="2466"/>
      <c r="E17" s="2466"/>
      <c r="F17" s="2466"/>
    </row>
    <row r="18" spans="1:6" ht="20.65" customHeight="1" x14ac:dyDescent="0.2">
      <c r="A18" s="1283"/>
      <c r="B18" s="1284"/>
      <c r="C18" s="1285"/>
      <c r="D18" s="2466"/>
      <c r="E18" s="2466"/>
      <c r="F18" s="2466"/>
    </row>
    <row r="19" spans="1:6" ht="20.65" customHeight="1" x14ac:dyDescent="0.2">
      <c r="A19" s="1283"/>
      <c r="B19" s="1284"/>
      <c r="C19" s="1285"/>
      <c r="D19" s="2466"/>
      <c r="E19" s="2466"/>
      <c r="F19" s="2466"/>
    </row>
    <row r="20" spans="1:6" ht="20.65" customHeight="1" x14ac:dyDescent="0.2">
      <c r="A20" s="1283"/>
      <c r="B20" s="1284"/>
      <c r="C20" s="1285"/>
      <c r="D20" s="2466"/>
      <c r="E20" s="2466"/>
      <c r="F20" s="2466"/>
    </row>
    <row r="21" spans="1:6" ht="20.65" customHeight="1" x14ac:dyDescent="0.2">
      <c r="A21" s="1283"/>
      <c r="B21" s="1284"/>
      <c r="C21" s="1285"/>
      <c r="D21" s="2466"/>
      <c r="E21" s="2466"/>
      <c r="F21" s="2466"/>
    </row>
    <row r="22" spans="1:6" ht="20.65" customHeight="1" x14ac:dyDescent="0.2">
      <c r="A22" s="1283"/>
      <c r="B22" s="1284"/>
      <c r="C22" s="1285"/>
      <c r="D22" s="2466"/>
      <c r="E22" s="2466"/>
      <c r="F22" s="2466"/>
    </row>
    <row r="23" spans="1:6" ht="20.65" customHeight="1" x14ac:dyDescent="0.2">
      <c r="A23" s="1283"/>
      <c r="B23" s="1284"/>
      <c r="C23" s="1285"/>
      <c r="D23" s="2466"/>
      <c r="E23" s="2466"/>
      <c r="F23" s="2466"/>
    </row>
    <row r="24" spans="1:6" ht="20.65" customHeight="1" x14ac:dyDescent="0.2">
      <c r="A24" s="1283"/>
      <c r="B24" s="1284"/>
      <c r="C24" s="1285"/>
      <c r="D24" s="2466"/>
      <c r="E24" s="2466"/>
      <c r="F24" s="2466"/>
    </row>
    <row r="25" spans="1:6" ht="20.65" customHeight="1" x14ac:dyDescent="0.2">
      <c r="A25" s="1283"/>
      <c r="B25" s="1284"/>
      <c r="C25" s="1285"/>
      <c r="D25" s="2466"/>
      <c r="E25" s="2466"/>
      <c r="F25" s="2466"/>
    </row>
    <row r="26" spans="1:6" ht="20.65" customHeight="1" x14ac:dyDescent="0.2">
      <c r="A26" s="1283"/>
      <c r="B26" s="1284"/>
      <c r="C26" s="1285"/>
      <c r="D26" s="2466"/>
      <c r="E26" s="2466"/>
      <c r="F26" s="2466"/>
    </row>
    <row r="27" spans="1:6" ht="20.65" customHeight="1" x14ac:dyDescent="0.2">
      <c r="A27" s="1283"/>
      <c r="B27" s="1284"/>
      <c r="C27" s="1285"/>
      <c r="D27" s="2466"/>
      <c r="E27" s="2466"/>
      <c r="F27" s="2466"/>
    </row>
    <row r="28" spans="1:6" ht="20.65" customHeight="1" x14ac:dyDescent="0.2">
      <c r="A28" s="1283"/>
      <c r="B28" s="1284"/>
      <c r="C28" s="1285"/>
      <c r="D28" s="2466"/>
      <c r="E28" s="2466"/>
      <c r="F28" s="2466"/>
    </row>
    <row r="29" spans="1:6" ht="20.65" customHeight="1" x14ac:dyDescent="0.2">
      <c r="A29" s="1283"/>
      <c r="B29" s="1284"/>
      <c r="C29" s="1285"/>
      <c r="D29" s="2466"/>
      <c r="E29" s="2466"/>
      <c r="F29" s="2466"/>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70" t="s">
        <v>1833</v>
      </c>
      <c r="B32" s="2470"/>
      <c r="C32" s="2470"/>
      <c r="D32" s="2470"/>
      <c r="E32" s="2470"/>
      <c r="F32" s="2470"/>
    </row>
    <row r="33" spans="1:6" ht="13.5" customHeight="1" x14ac:dyDescent="0.2">
      <c r="A33" s="328" t="s">
        <v>1507</v>
      </c>
      <c r="B33" s="328"/>
      <c r="C33" s="1288">
        <v>0</v>
      </c>
      <c r="D33" s="1928"/>
      <c r="E33" s="1286"/>
    </row>
    <row r="34" spans="1:6" ht="13.5" customHeight="1" x14ac:dyDescent="0.2">
      <c r="A34" s="328" t="s">
        <v>1947</v>
      </c>
      <c r="B34" s="328"/>
      <c r="C34" s="1289">
        <v>0</v>
      </c>
      <c r="D34" s="1928" t="s">
        <v>1669</v>
      </c>
      <c r="E34" s="2471">
        <f>+C33+C34</f>
        <v>0</v>
      </c>
      <c r="F34" s="2472"/>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3" t="s">
        <v>1670</v>
      </c>
      <c r="C49" s="2473"/>
      <c r="D49" s="2473"/>
      <c r="E49" s="1399"/>
    </row>
    <row r="50" spans="1:5" s="1300" customFormat="1" ht="3.75" customHeight="1" x14ac:dyDescent="0.2">
      <c r="A50" s="1299"/>
      <c r="B50" s="1870"/>
      <c r="C50" s="1870"/>
      <c r="D50" s="1870"/>
      <c r="E50" s="1399"/>
    </row>
    <row r="51" spans="1:5" s="1300" customFormat="1" ht="20.25" customHeight="1" x14ac:dyDescent="0.2">
      <c r="A51" s="1301">
        <v>6</v>
      </c>
      <c r="B51" s="2469" t="s">
        <v>1630</v>
      </c>
      <c r="C51" s="2469"/>
      <c r="D51" s="2469"/>
    </row>
    <row r="52" spans="1:5" ht="14.25" customHeight="1" x14ac:dyDescent="0.2">
      <c r="A52" s="1301"/>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8" t="str">
        <f>'Single Audit Cover'!A7</f>
        <v>Bartelso SD 57</v>
      </c>
      <c r="C1" s="2474"/>
      <c r="D1" s="2474"/>
      <c r="E1" s="2474"/>
      <c r="F1" s="2474"/>
      <c r="G1" s="2474"/>
      <c r="H1" s="2474"/>
      <c r="I1" s="2474"/>
      <c r="J1" s="2474"/>
      <c r="K1" s="2474"/>
      <c r="L1" s="2474"/>
      <c r="M1" s="2474"/>
    </row>
    <row r="2" spans="2:14" ht="15" x14ac:dyDescent="0.2">
      <c r="B2" s="2463">
        <f>'Single Audit Cover'!E7</f>
        <v>13014057002</v>
      </c>
      <c r="C2" s="2463"/>
      <c r="D2" s="2463"/>
      <c r="E2" s="2463"/>
      <c r="F2" s="2463"/>
      <c r="G2" s="2463"/>
      <c r="H2" s="2463"/>
      <c r="I2" s="2463"/>
      <c r="J2" s="2463"/>
      <c r="K2" s="2463"/>
      <c r="L2" s="2463"/>
      <c r="M2" s="2463"/>
      <c r="N2" s="1302"/>
    </row>
    <row r="3" spans="2:14" ht="15" x14ac:dyDescent="0.2">
      <c r="B3" s="2475" t="s">
        <v>1279</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1948</v>
      </c>
      <c r="K8" s="1319" t="s">
        <v>1321</v>
      </c>
      <c r="L8" s="1320" t="s">
        <v>1317</v>
      </c>
      <c r="M8" s="1321" t="s">
        <v>30</v>
      </c>
    </row>
    <row r="9" spans="2:14" ht="14.25" x14ac:dyDescent="0.2">
      <c r="B9" s="1325" t="s">
        <v>1319</v>
      </c>
      <c r="C9" s="1313" t="s">
        <v>1836</v>
      </c>
      <c r="D9" s="1314" t="s">
        <v>1837</v>
      </c>
      <c r="E9" s="1322" t="s">
        <v>1661</v>
      </c>
      <c r="F9" s="1323" t="s">
        <v>1948</v>
      </c>
      <c r="G9" s="1324" t="s">
        <v>1661</v>
      </c>
      <c r="H9" s="1317" t="s">
        <v>1662</v>
      </c>
      <c r="I9" s="1319" t="s">
        <v>1948</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Bartelso SD 57</v>
      </c>
      <c r="C1" s="2482"/>
      <c r="D1" s="2482"/>
      <c r="E1" s="2482"/>
      <c r="F1" s="2482"/>
      <c r="G1" s="2482"/>
      <c r="H1" s="2482"/>
      <c r="I1" s="2482"/>
      <c r="J1" s="1422"/>
    </row>
    <row r="2" spans="2:10" s="317" customFormat="1" ht="12.75" customHeight="1" x14ac:dyDescent="0.2">
      <c r="B2" s="2483">
        <f>'Single Audit Cover'!E7</f>
        <v>13014057002</v>
      </c>
      <c r="C2" s="2484"/>
      <c r="D2" s="2484"/>
      <c r="E2" s="2484"/>
      <c r="F2" s="2484"/>
      <c r="G2" s="2484"/>
      <c r="H2" s="2484"/>
      <c r="I2" s="2484"/>
      <c r="J2" s="1422"/>
    </row>
    <row r="3" spans="2:10" s="317" customFormat="1" ht="12.75" customHeight="1" x14ac:dyDescent="0.2">
      <c r="B3" s="2485" t="s">
        <v>1345</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1229</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1344</v>
      </c>
      <c r="C7" s="2486"/>
      <c r="D7" s="2486"/>
      <c r="E7" s="2486"/>
      <c r="F7" s="2486"/>
      <c r="G7" s="2486"/>
      <c r="H7" s="2486"/>
      <c r="I7" s="2486"/>
    </row>
    <row r="8" spans="2:10" s="317" customFormat="1" ht="6.2"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487"/>
      <c r="D11" s="2487"/>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88"/>
      <c r="E29" s="2488"/>
      <c r="F29" s="2488"/>
      <c r="G29" s="2488"/>
      <c r="H29" s="2488"/>
      <c r="I29" s="2488"/>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9" t="s">
        <v>1852</v>
      </c>
      <c r="D37" s="2490"/>
      <c r="E37" s="2490"/>
      <c r="F37" s="2491"/>
      <c r="G37" s="2489" t="s">
        <v>1672</v>
      </c>
      <c r="H37" s="2490"/>
      <c r="I37" s="2491"/>
    </row>
    <row r="38" spans="2:9" ht="16.5" customHeight="1" x14ac:dyDescent="0.2">
      <c r="B38" s="1444"/>
      <c r="C38" s="2477"/>
      <c r="D38" s="2478"/>
      <c r="E38" s="2478"/>
      <c r="F38" s="2479"/>
      <c r="G38" s="2492"/>
      <c r="H38" s="2493"/>
      <c r="I38" s="2494"/>
    </row>
    <row r="39" spans="2:9" ht="16.5" customHeight="1" x14ac:dyDescent="0.2">
      <c r="B39" s="1444"/>
      <c r="C39" s="2477"/>
      <c r="D39" s="2478"/>
      <c r="E39" s="2478"/>
      <c r="F39" s="2479"/>
      <c r="G39" s="2480"/>
      <c r="H39" s="2480"/>
      <c r="I39" s="2480"/>
    </row>
    <row r="40" spans="2:9" ht="16.5" customHeight="1" x14ac:dyDescent="0.2">
      <c r="B40" s="1444"/>
      <c r="C40" s="2477"/>
      <c r="D40" s="2478"/>
      <c r="E40" s="2478"/>
      <c r="F40" s="2479"/>
      <c r="G40" s="2480"/>
      <c r="H40" s="2480"/>
      <c r="I40" s="2480"/>
    </row>
    <row r="41" spans="2:9" ht="16.5" customHeight="1" x14ac:dyDescent="0.2">
      <c r="B41" s="1444"/>
      <c r="C41" s="2477"/>
      <c r="D41" s="2478"/>
      <c r="E41" s="2478"/>
      <c r="F41" s="2479"/>
      <c r="G41" s="2480"/>
      <c r="H41" s="2480"/>
      <c r="I41" s="2480"/>
    </row>
    <row r="42" spans="2:9" ht="16.5" customHeight="1" x14ac:dyDescent="0.2">
      <c r="B42" s="1444"/>
      <c r="C42" s="2477"/>
      <c r="D42" s="2478"/>
      <c r="E42" s="2478"/>
      <c r="F42" s="2479"/>
      <c r="G42" s="2480"/>
      <c r="H42" s="2480"/>
      <c r="I42" s="2480"/>
    </row>
    <row r="43" spans="2:9" ht="16.5" customHeight="1" x14ac:dyDescent="0.2">
      <c r="B43" s="1444"/>
      <c r="C43" s="2495" t="s">
        <v>1673</v>
      </c>
      <c r="D43" s="2496"/>
      <c r="E43" s="2496"/>
      <c r="F43" s="2497"/>
      <c r="G43" s="2498">
        <f>SUM(G38:I42)</f>
        <v>0</v>
      </c>
      <c r="H43" s="2498"/>
      <c r="I43" s="2498"/>
    </row>
    <row r="44" spans="2:9" ht="12.75" customHeight="1" x14ac:dyDescent="0.2"/>
    <row r="45" spans="2:9" ht="12.75" customHeight="1" x14ac:dyDescent="0.2">
      <c r="B45" s="1435" t="s">
        <v>1950</v>
      </c>
      <c r="D45" s="2499">
        <v>0</v>
      </c>
      <c r="E45" s="2500"/>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9.9499999999999993" customHeight="1" x14ac:dyDescent="0.2"/>
    <row r="49" spans="1:9" x14ac:dyDescent="0.2">
      <c r="B49" s="1368" t="s">
        <v>1333</v>
      </c>
      <c r="C49" s="1282"/>
      <c r="D49" s="1282"/>
      <c r="E49" s="2501"/>
      <c r="F49" s="2501"/>
      <c r="G49" s="2501"/>
      <c r="H49" s="322"/>
    </row>
    <row r="51" spans="1:9" ht="13.5"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1677</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O22" sqref="O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Bartelso SD 57</v>
      </c>
      <c r="C1" s="2481"/>
      <c r="D1" s="2481"/>
      <c r="E1" s="2481"/>
      <c r="F1" s="2481"/>
      <c r="G1" s="2481"/>
      <c r="H1" s="2481"/>
      <c r="I1" s="2481"/>
      <c r="J1" s="2481"/>
      <c r="K1" s="2481"/>
      <c r="L1" s="1374"/>
      <c r="M1" s="1374"/>
    </row>
    <row r="2" spans="1:13" ht="12" customHeight="1" x14ac:dyDescent="0.2">
      <c r="B2" s="2483">
        <f>'Single Audit Cover'!E7</f>
        <v>13014057002</v>
      </c>
      <c r="C2" s="2483"/>
      <c r="D2" s="2483"/>
      <c r="E2" s="2483"/>
      <c r="F2" s="2483"/>
      <c r="G2" s="2483"/>
      <c r="H2" s="2483"/>
      <c r="I2" s="2483"/>
      <c r="J2" s="2483"/>
      <c r="K2" s="2483"/>
      <c r="L2" s="1375"/>
      <c r="M2" s="1376"/>
    </row>
    <row r="3" spans="1:13" ht="10.35" customHeight="1" x14ac:dyDescent="0.2">
      <c r="B3" s="2504" t="s">
        <v>1345</v>
      </c>
      <c r="C3" s="2504"/>
      <c r="D3" s="2504"/>
      <c r="E3" s="2504"/>
      <c r="F3" s="2504"/>
      <c r="G3" s="2504"/>
      <c r="H3" s="2504"/>
      <c r="I3" s="2504"/>
      <c r="J3" s="2504"/>
      <c r="K3" s="2504"/>
      <c r="L3" s="1377"/>
      <c r="M3" s="1377"/>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1361</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503"/>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503"/>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507"/>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503"/>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503"/>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502"/>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502"/>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Bartelso SD 57</v>
      </c>
      <c r="C1" s="2508"/>
      <c r="D1" s="2508"/>
      <c r="E1" s="2508"/>
      <c r="F1" s="2508"/>
      <c r="G1" s="2508"/>
      <c r="H1" s="2508"/>
      <c r="I1" s="2508"/>
      <c r="J1" s="2508"/>
      <c r="K1" s="2508"/>
      <c r="L1" s="1465"/>
    </row>
    <row r="2" spans="1:12" ht="12.75" customHeight="1" x14ac:dyDescent="0.2">
      <c r="B2" s="2509">
        <f>'Single Audit Cover'!E7</f>
        <v>13014057002</v>
      </c>
      <c r="C2" s="2509"/>
      <c r="D2" s="2509"/>
      <c r="E2" s="2509"/>
      <c r="F2" s="2509"/>
      <c r="G2" s="2509"/>
      <c r="H2" s="2509"/>
      <c r="I2" s="2509"/>
      <c r="J2" s="2509"/>
      <c r="K2" s="2509"/>
      <c r="L2" s="1466"/>
    </row>
    <row r="3" spans="1:12" ht="12.75" customHeight="1" x14ac:dyDescent="0.2">
      <c r="B3" s="2504" t="s">
        <v>1345</v>
      </c>
      <c r="C3" s="2504"/>
      <c r="D3" s="2504"/>
      <c r="E3" s="2504"/>
      <c r="F3" s="2504"/>
      <c r="G3" s="2504"/>
      <c r="H3" s="2504"/>
      <c r="I3" s="2504"/>
      <c r="J3" s="2504"/>
      <c r="K3" s="2504"/>
      <c r="L3" s="1377"/>
    </row>
    <row r="4" spans="1:12" ht="12.75" customHeight="1" x14ac:dyDescent="0.2">
      <c r="B4" s="2504" t="str">
        <f>'Single Audit Cover'!A4</f>
        <v>Year Ending June 30, 2018</v>
      </c>
      <c r="C4" s="2504"/>
      <c r="D4" s="2504"/>
      <c r="E4" s="2504"/>
      <c r="F4" s="2504"/>
      <c r="G4" s="2504"/>
      <c r="H4" s="2504"/>
      <c r="I4" s="2504"/>
      <c r="J4" s="2504"/>
      <c r="K4" s="2504"/>
      <c r="L4" s="1377"/>
    </row>
    <row r="5" spans="1:12" ht="5.25" customHeight="1" x14ac:dyDescent="0.2">
      <c r="B5" s="1260" t="s">
        <v>1229</v>
      </c>
      <c r="C5" s="1260"/>
      <c r="L5" s="322"/>
    </row>
    <row r="6" spans="1:12" ht="30.75" customHeight="1" x14ac:dyDescent="0.2">
      <c r="A6" s="322"/>
      <c r="B6" s="2510" t="s">
        <v>1373</v>
      </c>
      <c r="C6" s="2510"/>
      <c r="D6" s="2510"/>
      <c r="E6" s="2510"/>
      <c r="F6" s="2510"/>
      <c r="G6" s="2510"/>
      <c r="H6" s="2510"/>
      <c r="I6" s="2510"/>
      <c r="J6" s="2510"/>
      <c r="K6" s="2510"/>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488"/>
      <c r="G12" s="2488"/>
      <c r="H12" s="2488"/>
      <c r="I12" s="2488"/>
      <c r="J12" s="2488"/>
      <c r="K12" s="248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11"/>
      <c r="E14" s="2511"/>
      <c r="F14" s="2511"/>
      <c r="H14" s="1475" t="s">
        <v>1368</v>
      </c>
      <c r="I14" s="2512"/>
      <c r="J14" s="2512"/>
      <c r="K14" s="251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12"/>
      <c r="E16" s="2512"/>
      <c r="F16" s="2512"/>
      <c r="G16" s="2512"/>
      <c r="H16" s="2512"/>
      <c r="I16" s="2512"/>
      <c r="J16" s="2512"/>
      <c r="K16" s="2512"/>
      <c r="L16" s="322"/>
    </row>
    <row r="17" spans="2:12" ht="13.5" customHeight="1" x14ac:dyDescent="0.2">
      <c r="B17" s="1387" t="s">
        <v>1366</v>
      </c>
      <c r="C17" s="1387"/>
      <c r="D17" s="2513"/>
      <c r="E17" s="2513"/>
      <c r="F17" s="2513"/>
      <c r="G17" s="2513"/>
      <c r="H17" s="2513"/>
      <c r="I17" s="2513"/>
      <c r="J17" s="2513"/>
      <c r="K17" s="251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503"/>
      <c r="C20" s="2503"/>
      <c r="D20" s="2503"/>
      <c r="E20" s="2503"/>
      <c r="F20" s="2503"/>
      <c r="G20" s="2503"/>
      <c r="H20" s="2503"/>
      <c r="I20" s="2503"/>
      <c r="J20" s="2503"/>
      <c r="K20" s="250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Bartelso SD 57</v>
      </c>
      <c r="C1" s="2481"/>
      <c r="D1" s="2481"/>
      <c r="E1" s="1491"/>
    </row>
    <row r="2" spans="2:5" s="1282" customFormat="1" ht="12.75" customHeight="1" x14ac:dyDescent="0.2">
      <c r="B2" s="2483">
        <f>'Single Audit Cover'!E7</f>
        <v>13014057002</v>
      </c>
      <c r="C2" s="2483"/>
      <c r="D2" s="2483"/>
      <c r="E2" s="1492"/>
    </row>
    <row r="3" spans="2:5" ht="12.75" customHeight="1" x14ac:dyDescent="0.2">
      <c r="B3" s="2504" t="s">
        <v>1867</v>
      </c>
      <c r="C3" s="2504"/>
      <c r="D3" s="2504"/>
      <c r="E3" s="1274"/>
    </row>
    <row r="4" spans="2:5" s="1282" customFormat="1" ht="12.75" customHeight="1" x14ac:dyDescent="0.2">
      <c r="B4" s="2514" t="str">
        <f>'Single Audit Cover'!A4</f>
        <v>Year Ending June 30, 2018</v>
      </c>
      <c r="C4" s="2514"/>
      <c r="D4" s="2514"/>
      <c r="E4" s="1493"/>
    </row>
    <row r="5" spans="2:5" s="1282" customFormat="1" ht="40.15" customHeight="1" x14ac:dyDescent="0.2">
      <c r="B5" s="1494" t="s">
        <v>1868</v>
      </c>
      <c r="C5" s="328"/>
      <c r="D5" s="328"/>
      <c r="E5" s="328"/>
    </row>
    <row r="6" spans="2:5" s="1282" customFormat="1" ht="13.5" customHeight="1" x14ac:dyDescent="0.2">
      <c r="B6" s="1495" t="s">
        <v>1380</v>
      </c>
      <c r="C6" s="1495" t="s">
        <v>1379</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http://schemas.microsoft.com/sharepoint/v3"/>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2018-10-15T18:47:01Z</cp:lastPrinted>
  <dcterms:created xsi:type="dcterms:W3CDTF">2003-10-29T19:06:34Z</dcterms:created>
  <dcterms:modified xsi:type="dcterms:W3CDTF">2018-11-26T14:51:54Z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c44e72e6-5482-4a7e-8cfd-a72810cb2a87</vt:lpwstr>
  </property>
</Properties>
</file>