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5"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F18" i="179" l="1"/>
  <c r="G18" i="179"/>
  <c r="E5" i="5" l="1"/>
  <c r="E14" i="5"/>
  <c r="H169" i="29"/>
  <c r="C69" i="5"/>
  <c r="C194" i="5"/>
  <c r="I12" i="11"/>
  <c r="J32" i="8"/>
  <c r="J31" i="8"/>
  <c r="E13" i="7" l="1"/>
  <c r="E12" i="7"/>
  <c r="E10" i="7"/>
  <c r="E6" i="7"/>
  <c r="E16" i="7"/>
  <c r="E14" i="7"/>
  <c r="E11" i="7"/>
  <c r="E8" i="7"/>
  <c r="E7" i="7"/>
  <c r="E5" i="7"/>
  <c r="E4" i="7"/>
  <c r="C39" i="3"/>
  <c r="D5" i="29"/>
  <c r="F55" i="29" l="1"/>
  <c r="E49" i="29"/>
  <c r="E36" i="29"/>
  <c r="C14" i="29"/>
  <c r="D39" i="3"/>
  <c r="D124" i="29"/>
  <c r="D216" i="29"/>
  <c r="D215" i="29"/>
  <c r="F75" i="29"/>
  <c r="C75" i="29"/>
  <c r="G13" i="29"/>
  <c r="F13" i="29"/>
  <c r="C84" i="5"/>
  <c r="C79" i="5"/>
  <c r="C65" i="5"/>
  <c r="F4" i="3" l="1"/>
  <c r="J85" i="28"/>
  <c r="I18" i="179" l="1"/>
  <c r="L18" i="179" s="1"/>
  <c r="M18" i="179" l="1"/>
  <c r="M24" i="183" s="1"/>
  <c r="M25" i="185" s="1"/>
  <c r="I17" i="185"/>
  <c r="G17" i="185"/>
  <c r="G23" i="185" s="1"/>
  <c r="F17" i="185"/>
  <c r="E17" i="185"/>
  <c r="E23" i="185" s="1"/>
  <c r="I22" i="183"/>
  <c r="G22" i="183"/>
  <c r="F22" i="183"/>
  <c r="E22" i="183"/>
  <c r="I16" i="183"/>
  <c r="F16" i="183"/>
  <c r="G16" i="183"/>
  <c r="E16" i="183"/>
  <c r="I24" i="179"/>
  <c r="F24" i="179"/>
  <c r="G24" i="179"/>
  <c r="E24" i="179"/>
  <c r="E18" i="179"/>
  <c r="I21" i="185"/>
  <c r="F21" i="185"/>
  <c r="I23" i="185" l="1"/>
  <c r="F23" i="185"/>
  <c r="G24" i="183"/>
  <c r="G25" i="185" s="1"/>
  <c r="E24" i="183"/>
  <c r="E25" i="185" s="1"/>
  <c r="F24" i="183"/>
  <c r="F25" i="185" s="1"/>
  <c r="I24" i="183"/>
  <c r="I25" i="185" s="1"/>
  <c r="L27" i="185"/>
  <c r="L26" i="185"/>
  <c r="L24" i="185"/>
  <c r="L23" i="185"/>
  <c r="L22" i="185"/>
  <c r="L21" i="185"/>
  <c r="L20" i="185"/>
  <c r="L19" i="185"/>
  <c r="L18" i="185"/>
  <c r="L17" i="185"/>
  <c r="L16" i="185"/>
  <c r="L15" i="185"/>
  <c r="L14" i="185"/>
  <c r="L13" i="185"/>
  <c r="L12" i="185"/>
  <c r="L11" i="185"/>
  <c r="B4" i="185"/>
  <c r="L27" i="183"/>
  <c r="L26" i="183"/>
  <c r="L25" i="183"/>
  <c r="L23" i="183"/>
  <c r="L22" i="183"/>
  <c r="L21" i="183"/>
  <c r="L20" i="183"/>
  <c r="L19" i="183"/>
  <c r="L18" i="183"/>
  <c r="L17" i="183"/>
  <c r="L16" i="183"/>
  <c r="L15" i="183"/>
  <c r="L14" i="183"/>
  <c r="L13" i="183"/>
  <c r="L12" i="183"/>
  <c r="L11" i="183"/>
  <c r="B4" i="183"/>
  <c r="L25" i="185" l="1"/>
  <c r="L24" i="18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H334" i="29"/>
  <c r="B7789" i="106" s="1"/>
  <c r="K282" i="29"/>
  <c r="B7784" i="106" s="1"/>
  <c r="H160" i="29"/>
  <c r="K159" i="29"/>
  <c r="K158" i="29"/>
  <c r="B7780" i="106" s="1"/>
  <c r="K157" i="29"/>
  <c r="B7778" i="106" s="1"/>
  <c r="B7795" i="106"/>
  <c r="K133" i="29"/>
  <c r="B7776" i="106" s="1"/>
  <c r="B7793" i="106"/>
  <c r="B7791" i="106"/>
  <c r="B7787" i="106"/>
  <c r="B7786"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7" i="179"/>
  <c r="L16" i="179"/>
  <c r="L15" i="179"/>
  <c r="L14" i="179"/>
  <c r="L13" i="179"/>
  <c r="L12" i="179"/>
  <c r="L11" i="179"/>
  <c r="D14" i="171" l="1"/>
  <c r="D12" i="171"/>
  <c r="A10" i="169"/>
  <c r="A16" i="169"/>
  <c r="A15" i="169"/>
  <c r="A14" i="169"/>
  <c r="K18" i="169"/>
  <c r="G18" i="169"/>
  <c r="G15" i="169"/>
  <c r="I13" i="169"/>
  <c r="G11" i="169"/>
  <c r="G10" i="169"/>
  <c r="G9" i="169"/>
  <c r="G7" i="169"/>
  <c r="E7" i="169"/>
  <c r="A2" i="173"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83"/>
  <c r="B2" i="185"/>
  <c r="B2" i="179"/>
  <c r="B1" i="185"/>
  <c r="B1" i="183"/>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B7758" i="106"/>
  <c r="D7758" i="106" s="1"/>
  <c r="J88" i="28"/>
  <c r="J90" i="28" s="1"/>
  <c r="K6" i="29"/>
  <c r="B7763" i="106" s="1"/>
  <c r="B7762" i="106"/>
  <c r="K12" i="12"/>
  <c r="K23" i="12"/>
  <c r="J12" i="12"/>
  <c r="B7718" i="106" s="1"/>
  <c r="D7718" i="106" s="1"/>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B5286" i="106" s="1"/>
  <c r="D5286" i="106" s="1"/>
  <c r="C228" i="5"/>
  <c r="C259" i="5"/>
  <c r="B6833" i="106" s="1"/>
  <c r="D6833" i="106" s="1"/>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B6997" i="106" s="1"/>
  <c r="D6997" i="106" s="1"/>
  <c r="K94" i="29"/>
  <c r="B6999" i="106" s="1"/>
  <c r="D6999" i="106" s="1"/>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D22" i="37"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B6289" i="106" l="1"/>
  <c r="D6289" i="106" s="1"/>
  <c r="K24" i="12"/>
  <c r="J22" i="37"/>
  <c r="E28" i="108"/>
  <c r="F28" i="108"/>
  <c r="G29" i="108"/>
  <c r="E29" i="108"/>
  <c r="C129" i="29"/>
  <c r="F94" i="34"/>
  <c r="B7235" i="106"/>
  <c r="D7235" i="106" s="1"/>
  <c r="B7231" i="106"/>
  <c r="D7231" i="106" s="1"/>
  <c r="F42" i="34"/>
  <c r="F131" i="34"/>
  <c r="H112" i="29"/>
  <c r="B7018" i="106" s="1"/>
  <c r="D7018" i="106" s="1"/>
  <c r="F128" i="34"/>
  <c r="I24" i="12"/>
  <c r="I26" i="12" s="1"/>
  <c r="B7741" i="106" s="1"/>
  <c r="D7741" i="106" s="1"/>
  <c r="F44" i="34"/>
  <c r="F106" i="34"/>
  <c r="F127" i="34"/>
  <c r="F136" i="34"/>
  <c r="B3619" i="106"/>
  <c r="D3619" i="106" s="1"/>
  <c r="B2734" i="106"/>
  <c r="D2734" i="106" s="1"/>
  <c r="L15" i="11"/>
  <c r="B3459" i="106" s="1"/>
  <c r="D3459" i="106" s="1"/>
  <c r="H28" i="118"/>
  <c r="K28" i="118" s="1"/>
  <c r="O27" i="118" s="1"/>
  <c r="O29" i="118" s="1"/>
  <c r="B2733" i="106"/>
  <c r="D2733" i="106" s="1"/>
  <c r="L342" i="29"/>
  <c r="H365" i="29"/>
  <c r="B7242" i="106" s="1"/>
  <c r="D7242" i="106" s="1"/>
  <c r="D7245" i="106"/>
  <c r="N22" i="3"/>
  <c r="B283" i="106" s="1"/>
  <c r="D283" i="106" s="1"/>
  <c r="D69" i="36"/>
  <c r="D17" i="7"/>
  <c r="B4104" i="106" s="1"/>
  <c r="D4104" i="106" s="1"/>
  <c r="K76" i="4"/>
  <c r="B3586" i="106" s="1"/>
  <c r="D3586" i="106" s="1"/>
  <c r="B1990" i="106"/>
  <c r="D1990" i="106" s="1"/>
  <c r="D24" i="37"/>
  <c r="B4270" i="106" s="1"/>
  <c r="D4270" i="106" s="1"/>
  <c r="F19" i="7"/>
  <c r="B1807" i="106" s="1"/>
  <c r="D1807" i="106" s="1"/>
  <c r="J210" i="29"/>
  <c r="B7072" i="106" s="1"/>
  <c r="D7072" i="106" s="1"/>
  <c r="I210" i="29"/>
  <c r="B7071" i="106" s="1"/>
  <c r="D7071" i="106" s="1"/>
  <c r="G352" i="29"/>
  <c r="G367" i="29" s="1"/>
  <c r="B3650" i="106" s="1"/>
  <c r="D3650" i="106" s="1"/>
  <c r="K350" i="29"/>
  <c r="B3670" i="106" s="1"/>
  <c r="D3670" i="106" s="1"/>
  <c r="K173" i="5"/>
  <c r="K6" i="4" s="1"/>
  <c r="B3570" i="106" s="1"/>
  <c r="D3570" i="106" s="1"/>
  <c r="G172" i="5"/>
  <c r="G173" i="5" s="1"/>
  <c r="H173" i="5"/>
  <c r="B5906" i="106" s="1"/>
  <c r="D5906" i="106" s="1"/>
  <c r="K274" i="5"/>
  <c r="K7" i="4" s="1"/>
  <c r="B3718" i="106" s="1"/>
  <c r="D3718" i="106" s="1"/>
  <c r="F172" i="5"/>
  <c r="B5644" i="106" s="1"/>
  <c r="D5644" i="106" s="1"/>
  <c r="C109" i="5"/>
  <c r="B5121" i="106" s="1"/>
  <c r="D5121" i="106" s="1"/>
  <c r="B4268" i="106"/>
  <c r="D4268" i="106" s="1"/>
  <c r="D31" i="36"/>
  <c r="H33" i="118"/>
  <c r="J41" i="3"/>
  <c r="B6216" i="106" s="1"/>
  <c r="D6216" i="106" s="1"/>
  <c r="E109" i="5"/>
  <c r="E4" i="4" s="1"/>
  <c r="B2630" i="106" s="1"/>
  <c r="D2630" i="106" s="1"/>
  <c r="F36" i="34"/>
  <c r="B1329" i="106"/>
  <c r="D1329" i="106" s="1"/>
  <c r="F61" i="34"/>
  <c r="D5" i="7"/>
  <c r="B1761" i="106" s="1"/>
  <c r="D1761" i="106" s="1"/>
  <c r="D4" i="7"/>
  <c r="B1760" i="106" s="1"/>
  <c r="D1760" i="106" s="1"/>
  <c r="I342" i="29"/>
  <c r="B7222" i="106" s="1"/>
  <c r="D7222" i="106" s="1"/>
  <c r="G109" i="5"/>
  <c r="B3621" i="106"/>
  <c r="D3621" i="106" s="1"/>
  <c r="C367" i="29"/>
  <c r="B3622" i="106" s="1"/>
  <c r="D3622" i="106" s="1"/>
  <c r="J274" i="5"/>
  <c r="B7054" i="106" s="1"/>
  <c r="D7054" i="106" s="1"/>
  <c r="C342" i="29"/>
  <c r="B7216" i="106" s="1"/>
  <c r="D7216" i="106" s="1"/>
  <c r="H76" i="4"/>
  <c r="B3298" i="106" s="1"/>
  <c r="D3298" i="106" s="1"/>
  <c r="G210" i="29"/>
  <c r="D13" i="7"/>
  <c r="B3726" i="106" s="1"/>
  <c r="D3726" i="106" s="1"/>
  <c r="L367" i="29"/>
  <c r="D15" i="7"/>
  <c r="B1772" i="106" s="1"/>
  <c r="D1772" i="106" s="1"/>
  <c r="L5" i="11"/>
  <c r="B2056" i="106" s="1"/>
  <c r="D2056" i="106" s="1"/>
  <c r="D11" i="7"/>
  <c r="B1768" i="106" s="1"/>
  <c r="D1768" i="106" s="1"/>
  <c r="D54" i="36"/>
  <c r="H342" i="29"/>
  <c r="B7221" i="106" s="1"/>
  <c r="D7221" i="106" s="1"/>
  <c r="D12" i="7"/>
  <c r="B1769" i="106" s="1"/>
  <c r="D1769" i="106" s="1"/>
  <c r="L312" i="29"/>
  <c r="F46" i="34"/>
  <c r="L13" i="11"/>
  <c r="B2060" i="106" s="1"/>
  <c r="D2060" i="106" s="1"/>
  <c r="D9" i="7"/>
  <c r="B1767" i="106" s="1"/>
  <c r="D1767" i="106" s="1"/>
  <c r="B1746" i="106"/>
  <c r="D1746" i="106" s="1"/>
  <c r="D11" i="37"/>
  <c r="F45" i="34"/>
  <c r="I274" i="5"/>
  <c r="B4435" i="106" s="1"/>
  <c r="D4435" i="106" s="1"/>
  <c r="F49" i="34"/>
  <c r="K41" i="3"/>
  <c r="B1410" i="106"/>
  <c r="D1410" i="106" s="1"/>
  <c r="F77" i="4"/>
  <c r="B3255" i="106" s="1"/>
  <c r="D3255" i="106" s="1"/>
  <c r="H109" i="5"/>
  <c r="J129" i="29"/>
  <c r="B7038" i="106" s="1"/>
  <c r="D7038" i="106" s="1"/>
  <c r="D6103" i="106"/>
  <c r="D7" i="7"/>
  <c r="B1763" i="106" s="1"/>
  <c r="D1763" i="106" s="1"/>
  <c r="C172" i="5"/>
  <c r="B5214" i="106" s="1"/>
  <c r="D5214" i="106" s="1"/>
  <c r="I129" i="29"/>
  <c r="B7037" i="106" s="1"/>
  <c r="D7037" i="106" s="1"/>
  <c r="D109" i="5"/>
  <c r="K184" i="29"/>
  <c r="F13" i="4" s="1"/>
  <c r="B2596" i="106" s="1"/>
  <c r="D2596" i="106" s="1"/>
  <c r="B4412" i="106"/>
  <c r="D4412" i="106" s="1"/>
  <c r="E174" i="29"/>
  <c r="B1309" i="106" s="1"/>
  <c r="D1309" i="106" s="1"/>
  <c r="F21" i="8"/>
  <c r="J77" i="4"/>
  <c r="B6262" i="106" s="1"/>
  <c r="D6262" i="106" s="1"/>
  <c r="K285" i="29"/>
  <c r="F111" i="34"/>
  <c r="I173" i="5"/>
  <c r="B4216" i="106" s="1"/>
  <c r="D4216" i="106" s="1"/>
  <c r="F130" i="34"/>
  <c r="G5" i="4"/>
  <c r="B3409" i="106" s="1"/>
  <c r="D3409" i="106" s="1"/>
  <c r="F50" i="34"/>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274" i="5" l="1"/>
  <c r="B7733" i="106"/>
  <c r="D7733" i="106" s="1"/>
  <c r="K26" i="12"/>
  <c r="B7743" i="106" s="1"/>
  <c r="D7743" i="106" s="1"/>
  <c r="N23" i="3"/>
  <c r="B284" i="106" s="1"/>
  <c r="D284" i="106" s="1"/>
  <c r="B1996" i="106"/>
  <c r="D1996" i="106" s="1"/>
  <c r="B1381" i="106"/>
  <c r="D1381" i="106" s="1"/>
  <c r="B3628" i="106"/>
  <c r="D3628" i="106" s="1"/>
  <c r="K77" i="4"/>
  <c r="B3587" i="106" s="1"/>
  <c r="D3587" i="106" s="1"/>
  <c r="B5778" i="106"/>
  <c r="D5778" i="106" s="1"/>
  <c r="G6" i="4"/>
  <c r="B2604" i="106" s="1"/>
  <c r="D2604" i="106" s="1"/>
  <c r="C4" i="4"/>
  <c r="B2551" i="106" s="1"/>
  <c r="D2551" i="106" s="1"/>
  <c r="B3649" i="106"/>
  <c r="D3649" i="106" s="1"/>
  <c r="F66" i="34"/>
  <c r="B5770" i="106"/>
  <c r="D5770" i="106" s="1"/>
  <c r="H6" i="4"/>
  <c r="B2656" i="106" s="1"/>
  <c r="D2656" i="106" s="1"/>
  <c r="J16" i="4"/>
  <c r="B6226" i="106" s="1"/>
  <c r="D6226" i="106" s="1"/>
  <c r="K352" i="29"/>
  <c r="D7251" i="106"/>
  <c r="D7253" i="106"/>
  <c r="F173" i="5"/>
  <c r="B5653" i="106" s="1"/>
  <c r="D5653" i="106" s="1"/>
  <c r="H275" i="5"/>
  <c r="B5915" i="106" s="1"/>
  <c r="D5915" i="106" s="1"/>
  <c r="K342" i="29"/>
  <c r="F13" i="34" s="1"/>
  <c r="B5914" i="106"/>
  <c r="D5914" i="106" s="1"/>
  <c r="B6022" i="106"/>
  <c r="D6022" i="106" s="1"/>
  <c r="D51" i="36"/>
  <c r="D44" i="36"/>
  <c r="L16" i="11"/>
  <c r="B2061" i="106" s="1"/>
  <c r="D2061" i="106" s="1"/>
  <c r="I151" i="29"/>
  <c r="F59" i="34" s="1"/>
  <c r="J151" i="29"/>
  <c r="B7052" i="106" s="1"/>
  <c r="D7052" i="106" s="1"/>
  <c r="I7" i="4"/>
  <c r="B4444" i="106" s="1"/>
  <c r="D4444" i="106" s="1"/>
  <c r="J7" i="4"/>
  <c r="B6222" i="106" s="1"/>
  <c r="D6222" i="106" s="1"/>
  <c r="H77" i="4"/>
  <c r="B3299" i="106" s="1"/>
  <c r="D3299" i="106" s="1"/>
  <c r="I6" i="4"/>
  <c r="B5011" i="106" s="1"/>
  <c r="D5011" i="106" s="1"/>
  <c r="F73" i="34"/>
  <c r="G15" i="4"/>
  <c r="B6032" i="106" s="1"/>
  <c r="D6032" i="106" s="1"/>
  <c r="B1879" i="106"/>
  <c r="D1879" i="106" s="1"/>
  <c r="H22" i="37"/>
  <c r="B5356" i="106"/>
  <c r="D5356" i="106" s="1"/>
  <c r="D4" i="4"/>
  <c r="B2564" i="106" s="1"/>
  <c r="D2564" i="106" s="1"/>
  <c r="B1365" i="106"/>
  <c r="D1365" i="106" s="1"/>
  <c r="F65" i="34"/>
  <c r="C114" i="29"/>
  <c r="B757" i="106" s="1"/>
  <c r="D757" i="106" s="1"/>
  <c r="K365" i="29"/>
  <c r="K16" i="4" s="1"/>
  <c r="B6025" i="106"/>
  <c r="D6025" i="106" s="1"/>
  <c r="H4" i="4"/>
  <c r="B6024" i="106"/>
  <c r="D6024" i="106" s="1"/>
  <c r="G4" i="4"/>
  <c r="B2603" i="106" s="1"/>
  <c r="D2603" i="106" s="1"/>
  <c r="L114" i="29"/>
  <c r="C173" i="5"/>
  <c r="D7254" i="106"/>
  <c r="B3568" i="106"/>
  <c r="D3568" i="106" s="1"/>
  <c r="D52" i="36"/>
  <c r="D7255" i="106"/>
  <c r="B3724" i="106"/>
  <c r="D3724" i="106" s="1"/>
  <c r="D7256" i="106"/>
  <c r="D7250" i="106"/>
  <c r="H367" i="29"/>
  <c r="B3660" i="106" s="1"/>
  <c r="D3660" i="106" s="1"/>
  <c r="D7252" i="106"/>
  <c r="F274" i="5"/>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D7" i="4"/>
  <c r="B5507" i="106"/>
  <c r="D5507" i="106" s="1"/>
  <c r="B7298" i="106"/>
  <c r="B7299" i="106"/>
  <c r="B7224" i="106" l="1"/>
  <c r="D7224" i="106" s="1"/>
  <c r="F6" i="4"/>
  <c r="B2593" i="106" s="1"/>
  <c r="D2593" i="106" s="1"/>
  <c r="F275" i="5"/>
  <c r="B5720" i="106" s="1"/>
  <c r="D5720" i="106" s="1"/>
  <c r="B1145" i="106"/>
  <c r="D1145" i="106" s="1"/>
  <c r="K13" i="4"/>
  <c r="B3572" i="106" s="1"/>
  <c r="D3572" i="106" s="1"/>
  <c r="B3672" i="106"/>
  <c r="D3672" i="106" s="1"/>
  <c r="B7051" i="106"/>
  <c r="D7051" i="106" s="1"/>
  <c r="K367" i="29"/>
  <c r="K368" i="29" s="1"/>
  <c r="B3681" i="106" s="1"/>
  <c r="D3681" i="106" s="1"/>
  <c r="F24" i="37"/>
  <c r="B5223" i="106"/>
  <c r="D5223" i="106" s="1"/>
  <c r="C6" i="4"/>
  <c r="B2553" i="106" s="1"/>
  <c r="D2553" i="106" s="1"/>
  <c r="J17" i="4"/>
  <c r="J19" i="4" s="1"/>
  <c r="B6229" i="106" s="1"/>
  <c r="D6229" i="106" s="1"/>
  <c r="B2655" i="106"/>
  <c r="D2655" i="106" s="1"/>
  <c r="H8" i="4"/>
  <c r="J8" i="4"/>
  <c r="F7" i="4"/>
  <c r="B2594" i="106" s="1"/>
  <c r="D2594" i="106" s="1"/>
  <c r="G41" i="108"/>
  <c r="G44" i="108" s="1"/>
  <c r="G45" i="108" s="1"/>
  <c r="B5719" i="106"/>
  <c r="D5719"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3678" i="106" l="1"/>
  <c r="D3678" i="106" s="1"/>
  <c r="J20" i="4"/>
  <c r="B6223" i="106"/>
  <c r="D6223" i="106" s="1"/>
  <c r="J10" i="4"/>
  <c r="B6225" i="106" s="1"/>
  <c r="D6225" i="106" s="1"/>
  <c r="D8" i="4"/>
  <c r="D10" i="171"/>
  <c r="D19" i="171" s="1"/>
  <c r="D32" i="171" s="1"/>
  <c r="D49" i="171" s="1"/>
  <c r="F8" i="4"/>
  <c r="B2658" i="106"/>
  <c r="D2658" i="106" s="1"/>
  <c r="H10" i="4"/>
  <c r="B4127" i="106" s="1"/>
  <c r="D4127"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D20" i="4"/>
  <c r="B2595" i="106"/>
  <c r="D2595" i="106" s="1"/>
  <c r="D8" i="146"/>
  <c r="F10" i="4"/>
  <c r="B4125" i="106" s="1"/>
  <c r="D4125"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D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<sst xmlns="http://schemas.openxmlformats.org/spreadsheetml/2006/main" count="5310" uniqueCount="2209">
  <si>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</si>
  <si>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</si>
  <si>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</si>
  <si>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</si>
  <si>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</si>
  <si>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</si>
  <si>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</si>
  <si>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</si>
  <si>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</si>
  <si>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</si>
  <si>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</si>
  <si>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</si>
  <si>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</si>
  <si>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</si>
  <si>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</si>
  <si>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</si>
  <si>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</si>
  <si>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</si>
  <si>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</si>
  <si>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</si>
  <si>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</si>
  <si>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</si>
  <si>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</si>
  <si>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</si>
  <si>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</si>
  <si>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</si>
  <si>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</si>
  <si>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</si>
  <si>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</si>
  <si>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</si>
  <si>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</si>
  <si>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</si>
  <si>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</si>
  <si>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</si>
  <si>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</si>
  <si>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</si>
  <si>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</si>
  <si>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</si>
  <si>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</si>
  <si>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</si>
  <si>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</si>
  <si>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</si>
  <si>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</si>
  <si>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</si>
  <si>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</si>
  <si>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</si>
  <si>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</si>
  <si>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</si>
  <si>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</si>
  <si>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</si>
  <si>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</si>
  <si>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</si>
  <si>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</si>
  <si>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</si>
  <si>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</si>
  <si>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</si>
  <si>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</si>
  <si>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</si>
  <si>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</si>
  <si>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</si>
  <si>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</si>
  <si>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</si>
  <si>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</si>
  <si>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</si>
  <si>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</si>
  <si>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</si>
  <si>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</si>
  <si>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</si>
  <si>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</si>
  <si>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</si>
  <si>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</si>
  <si>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</si>
  <si>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</si>
  <si>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</si>
  <si>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</si>
  <si>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</si>
  <si>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</si>
  <si>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</si>
  <si>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</si>
  <si>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</si>
  <si>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</si>
  <si>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</si>
  <si>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</si>
  <si>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</si>
  <si>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</si>
  <si>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</si>
  <si>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</si>
  <si>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</si>
  <si>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</si>
  <si>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</si>
  <si>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</si>
  <si>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</si>
  <si>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</si>
  <si>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</si>
  <si>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</si>
  <si>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</si>
  <si>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</si>
  <si>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</si>
  <si>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</si>
  <si>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</si>
  <si>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</si>
  <si>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</si>
  <si>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</si>
  <si>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</si>
  <si>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</si>
  <si>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</si>
  <si>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</si>
  <si>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</si>
  <si>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</si>
  <si>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</si>
  <si>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</si>
  <si>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</si>
  <si>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</si>
  <si>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</si>
  <si>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</si>
  <si>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</si>
  <si>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</si>
  <si>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</si>
  <si>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</si>
  <si>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</si>
  <si>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</si>
  <si>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</si>
  <si>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</si>
  <si>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</si>
  <si>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</si>
  <si>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</si>
  <si>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</si>
  <si>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</si>
  <si>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</si>
  <si>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</si>
  <si>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</si>
  <si>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</si>
  <si>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</si>
  <si>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</si>
  <si>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</si>
  <si>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</si>
  <si>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</si>
  <si>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</si>
  <si>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</si>
  <si>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</si>
  <si>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</si>
  <si>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</si>
  <si>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</si>
  <si>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</si>
  <si>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</si>
  <si>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</si>
  <si>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</si>
  <si>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</si>
  <si>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</si>
  <si>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</si>
  <si>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</si>
  <si>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</si>
  <si>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</si>
  <si>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</si>
  <si>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</si>
  <si>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</si>
  <si>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</si>
  <si>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</si>
  <si>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</si>
  <si>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</si>
  <si>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</si>
  <si>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</si>
  <si>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</si>
  <si>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</si>
  <si>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</si>
  <si>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</si>
  <si>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</si>
  <si>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</si>
  <si>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</si>
  <si>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</si>
  <si>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</si>
  <si>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</si>
  <si>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</si>
  <si>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</si>
  <si>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</si>
  <si>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</si>
  <si>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</si>
  <si>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</si>
  <si>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</si>
  <si>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</si>
  <si>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</si>
  <si>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</si>
  <si>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</si>
  <si>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</si>
  <si>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</si>
  <si>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</si>
  <si>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</si>
  <si>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</si>
  <si>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</si>
  <si>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</si>
  <si>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</si>
  <si>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</si>
  <si>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</si>
  <si>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</si>
  <si>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</si>
  <si>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</si>
  <si>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</si>
  <si>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</si>
  <si>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</si>
  <si>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</si>
  <si>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</si>
  <si>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</si>
  <si>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</si>
  <si>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</si>
  <si>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</si>
  <si>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</si>
  <si>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</si>
  <si>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</si>
  <si>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</si>
  <si>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</si>
  <si>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</si>
  <si>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</si>
  <si>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</si>
  <si>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</si>
  <si>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</si>
  <si>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</si>
  <si>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</si>
  <si>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</si>
  <si>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</si>
  <si>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</si>
  <si>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</si>
  <si>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</si>
  <si>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</si>
  <si>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</si>
  <si>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</si>
  <si>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</si>
  <si>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</si>
  <si>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</si>
  <si>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</si>
  <si>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</si>
  <si>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</si>
  <si>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</si>
  <si>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</si>
  <si>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</si>
  <si>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</si>
  <si>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</si>
  <si>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</si>
  <si>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</si>
  <si>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</si>
  <si>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</si>
  <si>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</si>
  <si>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</si>
  <si>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</si>
  <si>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</si>
  <si>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</si>
  <si>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</si>
  <si>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</si>
  <si>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</si>
  <si>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</si>
  <si>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</si>
  <si>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</si>
  <si>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</si>
  <si>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</si>
  <si>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</si>
  <si>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</si>
  <si>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</si>
  <si>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</si>
  <si>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</si>
  <si>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</si>
  <si>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</si>
  <si>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</si>
  <si>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</si>
  <si>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</si>
  <si>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</si>
  <si>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</si>
  <si>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</si>
  <si>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</si>
  <si>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</si>
  <si>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</si>
  <si>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</si>
  <si>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</si>
  <si>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</si>
  <si>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</si>
  <si>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</si>
  <si>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</si>
  <si>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</si>
  <si>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</si>
  <si>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</si>
  <si>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</si>
  <si>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</si>
  <si>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</si>
  <si>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</si>
  <si>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</si>
  <si>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</si>
  <si>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</si>
  <si>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</si>
  <si>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</si>
  <si>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</si>
  <si>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</si>
  <si>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</si>
  <si>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</si>
  <si>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</si>
  <si>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</si>
  <si>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</si>
  <si>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</si>
  <si>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</si>
  <si>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</si>
  <si>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</si>
  <si>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</si>
  <si>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</si>
  <si>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</si>
  <si>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</si>
  <si>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</si>
  <si>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</si>
  <si>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</si>
  <si>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</si>
  <si>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</si>
  <si>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</si>
  <si>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</si>
  <si>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</si>
  <si>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</si>
  <si>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</si>
  <si>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</si>
  <si>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</si>
  <si>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</si>
  <si>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</si>
  <si>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</si>
  <si>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</si>
  <si>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</si>
  <si>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</si>
  <si>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</si>
  <si>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</si>
  <si>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</si>
  <si>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</si>
  <si>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</si>
  <si>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</si>
  <si>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</si>
  <si>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</si>
  <si>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</si>
  <si>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</si>
  <si>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</si>
  <si>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</si>
  <si>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</si>
  <si>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</si>
  <si>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</si>
  <si>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</si>
  <si>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</si>
  <si>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</si>
  <si>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</si>
  <si>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</si>
  <si>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</si>
  <si>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</si>
  <si>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</si>
  <si>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</si>
  <si>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</si>
  <si>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</si>
  <si>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</si>
  <si>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</si>
  <si>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</si>
  <si>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</si>
  <si>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</si>
  <si>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</si>
  <si>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</si>
  <si>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</si>
  <si>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</si>
  <si>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</si>
  <si>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</si>
  <si>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</si>
  <si>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</si>
  <si>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</si>
  <si>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</si>
  <si>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</si>
  <si>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</si>
  <si>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</si>
  <si>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</si>
  <si>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</si>
  <si>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</si>
  <si>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</si>
  <si>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</si>
  <si>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</si>
  <si>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</si>
  <si>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</si>
  <si>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</si>
  <si>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</si>
  <si>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</si>
  <si>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</si>
  <si>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</si>
  <si>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</si>
  <si>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</si>
  <si>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</si>
  <si>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</si>
  <si>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</si>
  <si>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</si>
  <si>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</si>
  <si>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</si>
  <si>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</si>
  <si>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</si>
  <si>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</si>
  <si>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</si>
  <si>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</si>
  <si>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</si>
  <si>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</si>
  <si>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</si>
  <si>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</si>
  <si>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</si>
  <si>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</si>
  <si>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</si>
  <si>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</si>
  <si>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</si>
  <si>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</si>
  <si>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</si>
  <si>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</si>
  <si>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</si>
  <si>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</si>
  <si>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</si>
  <si>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</si>
  <si>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</si>
  <si>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</si>
  <si>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</si>
  <si>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</si>
  <si>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</si>
  <si>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</si>
  <si>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</si>
  <si>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</si>
  <si>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</si>
  <si>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</si>
  <si>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</si>
  <si>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</si>
  <si>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</si>
  <si>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</si>
  <si>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</si>
  <si>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</si>
  <si>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</si>
  <si>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</si>
  <si>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</si>
  <si>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</si>
  <si>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</si>
  <si>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</si>
  <si>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</si>
  <si>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</si>
  <si>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</si>
  <si>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</si>
  <si>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</si>
  <si>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</si>
  <si>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</si>
  <si>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</si>
  <si>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</si>
  <si>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</si>
  <si>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</si>
  <si>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</si>
  <si>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</si>
  <si>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</si>
  <si>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</si>
  <si>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</si>
  <si>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</si>
  <si>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</si>
  <si>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</si>
  <si>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</si>
  <si>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</si>
  <si>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</si>
  <si>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</si>
  <si>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</si>
  <si>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</si>
  <si>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</si>
  <si>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</si>
  <si>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</si>
  <si>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</si>
  <si>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</si>
  <si>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</si>
  <si>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</si>
  <si>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</si>
  <si>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</si>
  <si>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</si>
  <si>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</si>
  <si>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</si>
  <si>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</si>
  <si>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</si>
  <si>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</si>
  <si>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</si>
  <si>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</si>
  <si>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</si>
  <si>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</si>
  <si>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</si>
  <si>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</si>
  <si>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</si>
  <si>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</si>
  <si>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</si>
  <si>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</si>
  <si>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</si>
  <si>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</si>
  <si>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</si>
  <si>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</si>
  <si>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</si>
  <si>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</si>
  <si>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</si>
  <si>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</si>
  <si>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</si>
  <si>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</si>
  <si>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</si>
  <si>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</si>
  <si>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</si>
  <si>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</si>
  <si>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</si>
  <si>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</si>
  <si>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</si>
  <si>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</si>
  <si>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</si>
  <si>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</si>
  <si>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</si>
  <si>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</si>
  <si>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</si>
  <si>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</si>
  <si>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</si>
  <si>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</si>
  <si>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</si>
  <si>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</si>
  <si>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</si>
  <si>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</si>
  <si>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</si>
  <si>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</si>
  <si>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</si>
  <si>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</si>
  <si>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</si>
  <si>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</si>
  <si>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</si>
  <si>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</si>
  <si>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</si>
  <si>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</si>
  <si>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</si>
  <si>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</si>
  <si>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</si>
  <si>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</si>
  <si>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</si>
  <si>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</si>
  <si>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</si>
  <si>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</si>
  <si>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</si>
  <si>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</si>
  <si>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</si>
  <si>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</si>
  <si>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</si>
  <si>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</si>
  <si>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</si>
  <si>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</si>
  <si>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</si>
  <si>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</si>
  <si>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</si>
  <si>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</si>
  <si>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</si>
  <si>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</si>
  <si>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</si>
  <si>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</si>
  <si>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</si>
  <si>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</si>
  <si>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</si>
  <si>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</si>
  <si>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</si>
  <si>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</si>
  <si>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</si>
  <si>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</si>
  <si>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</si>
  <si>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</si>
  <si>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</si>
  <si>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</si>
  <si>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</si>
  <si>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</si>
  <si>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</si>
  <si>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</si>
  <si>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</si>
  <si>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</si>
  <si>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</si>
  <si>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</si>
  <si>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</si>
  <si>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</si>
  <si>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</si>
  <si>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</si>
  <si>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</si>
  <si>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</si>
  <si>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</si>
  <si>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</si>
  <si>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</si>
  <si>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</si>
  <si>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</si>
  <si>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</si>
  <si>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</si>
  <si>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</si>
  <si>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</si>
  <si>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</si>
  <si>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</si>
  <si>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</si>
  <si>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</si>
  <si>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</si>
  <si>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</si>
  <si>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</si>
  <si>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</si>
  <si>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</si>
  <si>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</si>
  <si>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</si>
  <si>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</si>
  <si>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</si>
  <si>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</si>
  <si>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</si>
  <si>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</si>
  <si>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</si>
  <si>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</si>
  <si>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</si>
  <si>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</si>
  <si>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</si>
  <si>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</si>
  <si>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</si>
  <si>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</si>
  <si>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</si>
  <si>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</si>
  <si>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</si>
  <si>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</si>
  <si>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</si>
  <si>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</si>
  <si>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</si>
  <si>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</si>
  <si>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</si>
  <si>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</si>
  <si>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</si>
  <si>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</si>
  <si>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</si>
  <si>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</si>
  <si>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</si>
  <si>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</si>
  <si>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</si>
  <si>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</si>
  <si>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</si>
  <si>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</si>
  <si>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</si>
  <si>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</si>
  <si>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</si>
  <si>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</si>
  <si>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</si>
  <si>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</si>
  <si>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</si>
  <si>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</si>
  <si>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</si>
  <si>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</si>
  <si>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</si>
  <si>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</si>
  <si>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</si>
  <si>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</si>
  <si>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</si>
  <si>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</si>
  <si>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</si>
  <si>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</si>
  <si>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</si>
  <si>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</si>
  <si>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</si>
  <si>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</si>
  <si>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</si>
  <si>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</si>
  <si>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</si>
  <si>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</si>
  <si>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</si>
  <si>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</si>
  <si>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</si>
  <si>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</si>
  <si>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</si>
  <si>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</si>
  <si>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</si>
  <si>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</si>
  <si>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</si>
  <si>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</si>
  <si>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</si>
  <si>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</si>
  <si>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</si>
  <si>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</si>
  <si>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</si>
  <si>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</si>
  <si>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</si>
  <si>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</si>
  <si>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</si>
  <si>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</si>
  <si>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</si>
  <si>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</si>
  <si>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</si>
  <si>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</si>
  <si>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</si>
  <si>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</si>
  <si>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</si>
  <si>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</si>
  <si>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</si>
  <si>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</si>
  <si>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</si>
  <si>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</si>
  <si>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</si>
  <si>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</si>
  <si>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</si>
  <si>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</si>
  <si>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</si>
  <si>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</si>
  <si>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</si>
  <si>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</si>
  <si>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</si>
  <si>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</si>
  <si>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</si>
  <si>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</si>
  <si>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</si>
  <si>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</si>
  <si>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</si>
  <si>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</si>
  <si>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</si>
  <si>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</si>
  <si>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</si>
  <si>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</si>
  <si>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</si>
  <si>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</si>
  <si>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</si>
  <si>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</si>
  <si>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</si>
  <si>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</si>
  <si>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</si>
  <si>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</si>
  <si>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</si>
  <si>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</si>
  <si>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</si>
  <si>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</si>
  <si>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</si>
  <si>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</si>
  <si>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</si>
  <si>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</si>
  <si>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</si>
  <si>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</si>
  <si>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</si>
  <si>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</si>
  <si>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</si>
  <si>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</si>
  <si>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</si>
  <si>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</si>
  <si>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</si>
  <si>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</si>
  <si>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</si>
  <si>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</si>
  <si>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</si>
  <si>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</si>
  <si>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</si>
  <si>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</si>
  <si>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</si>
  <si>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</si>
  <si>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</si>
  <si>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</si>
  <si>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</si>
  <si>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</si>
  <si>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</si>
  <si>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</si>
  <si>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</si>
  <si>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</si>
  <si>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</si>
  <si>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</si>
  <si>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</si>
  <si>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</si>
  <si>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</si>
  <si>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</si>
  <si>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</si>
  <si>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</si>
  <si>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</si>
  <si>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</si>
  <si>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</si>
  <si>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</si>
  <si>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</si>
  <si>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</si>
  <si>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</si>
  <si>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</si>
  <si>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</si>
  <si>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</si>
  <si>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</si>
  <si>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</si>
  <si>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</si>
  <si>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</si>
  <si>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</si>
  <si>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</si>
  <si>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</si>
  <si>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</si>
  <si>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</si>
  <si>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</si>
  <si>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</si>
  <si>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</si>
  <si>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</si>
  <si>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</si>
  <si>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</si>
  <si>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</si>
  <si>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</si>
  <si>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</si>
  <si>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</si>
  <si>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</si>
  <si>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</si>
  <si>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</si>
  <si>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</si>
  <si>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</si>
  <si>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</si>
  <si>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</si>
  <si>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</si>
  <si>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</si>
  <si>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</si>
  <si>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</si>
  <si>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</si>
  <si>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</si>
  <si>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</si>
  <si>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</si>
  <si>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</si>
  <si>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</si>
  <si>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</si>
  <si>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</si>
  <si>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</si>
  <si>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</si>
  <si>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</si>
  <si>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</si>
  <si>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</si>
  <si>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</si>
  <si>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</si>
  <si>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</si>
  <si>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</si>
  <si>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</si>
  <si>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</si>
  <si>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</si>
  <si>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</si>
  <si>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</si>
  <si>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</si>
  <si>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</si>
  <si>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</si>
  <si>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</si>
  <si>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</si>
  <si>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</si>
  <si>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</si>
  <si>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</si>
  <si>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</si>
  <si>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</si>
  <si>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</si>
  <si>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</si>
  <si>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</si>
  <si>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</si>
  <si>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</si>
  <si>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</si>
  <si>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</si>
  <si>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</si>
  <si>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</si>
  <si>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</si>
  <si>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</si>
  <si>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</si>
  <si>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</si>
  <si>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</si>
  <si>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</si>
  <si>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</si>
  <si>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</si>
  <si>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</si>
  <si>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</si>
  <si>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</si>
  <si>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</si>
  <si>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</si>
  <si>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</si>
  <si>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</si>
  <si>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</si>
  <si>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</si>
  <si>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</si>
  <si>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</si>
  <si>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</si>
  <si>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</si>
  <si>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</si>
  <si>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</si>
  <si>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</si>
  <si>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</si>
  <si>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</si>
  <si>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</si>
  <si>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</si>
  <si>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</si>
  <si>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</si>
  <si>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</si>
  <si>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</si>
  <si>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</si>
  <si>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</si>
  <si>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</si>
  <si>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</si>
  <si>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</si>
  <si>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</si>
  <si>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</si>
  <si>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</si>
  <si>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</si>
  <si>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</si>
  <si>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</si>
  <si>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</si>
  <si>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</si>
  <si>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</si>
  <si>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</si>
  <si>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</si>
  <si>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</si>
  <si>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</si>
  <si>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</si>
  <si>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</si>
  <si>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</si>
  <si>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</si>
  <si>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</si>
  <si>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</si>
  <si>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</si>
  <si>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</si>
  <si>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</si>
  <si>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</si>
  <si>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</si>
  <si>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</si>
  <si>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</si>
  <si>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</si>
  <si>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</si>
  <si>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</si>
  <si>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</si>
  <si>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</si>
  <si>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</si>
  <si>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</si>
  <si>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</si>
  <si>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</si>
  <si>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</si>
  <si>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</si>
  <si>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</si>
  <si>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</si>
  <si>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</si>
  <si>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</si>
  <si>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</si>
  <si>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</si>
  <si>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</si>
  <si>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</si>
  <si>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</si>
  <si>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</si>
  <si>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</si>
  <si>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</si>
  <si>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</si>
  <si>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</si>
  <si>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</si>
  <si>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</si>
  <si>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</si>
  <si>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</si>
  <si>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</si>
  <si>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</si>
  <si>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</si>
  <si>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</si>
  <si>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</si>
  <si>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</si>
  <si>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</si>
  <si>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</si>
  <si>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</si>
  <si>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</si>
  <si>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</si>
  <si>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</si>
  <si>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</si>
  <si>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</si>
  <si>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</si>
  <si>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</si>
  <si>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</si>
  <si>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</si>
  <si>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</si>
  <si>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</si>
  <si>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</si>
  <si>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</si>
  <si>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</si>
  <si>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</si>
  <si>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</si>
  <si>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</si>
  <si>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</si>
  <si>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</si>
  <si>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</si>
  <si>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</si>
  <si>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</si>
  <si>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</si>
  <si>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</si>
  <si>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</si>
  <si>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</si>
  <si>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</si>
  <si>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</si>
  <si>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</si>
  <si>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</si>
  <si>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</si>
  <si>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</si>
  <si>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</si>
  <si>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</si>
  <si>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</si>
  <si>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</si>
  <si>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</si>
  <si>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</si>
  <si>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</si>
  <si>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</si>
  <si>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</si>
  <si>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</si>
  <si>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</si>
  <si>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</si>
  <si>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</si>
  <si>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</si>
  <si>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</si>
  <si>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</si>
  <si>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</si>
  <si>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</si>
  <si>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</si>
  <si>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</si>
  <si>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</si>
  <si>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</si>
  <si>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</si>
  <si>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</si>
  <si>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</si>
  <si>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</si>
  <si>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</si>
  <si>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</si>
  <si>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</si>
  <si>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</si>
  <si>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</si>
  <si>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</si>
  <si>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</si>
  <si>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</si>
  <si>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</si>
  <si>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</si>
  <si>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</si>
  <si>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</si>
  <si>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</si>
  <si>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</si>
  <si>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</si>
  <si>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</si>
  <si>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</si>
  <si>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</si>
  <si>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</si>
  <si>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</si>
  <si>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</si>
  <si>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</si>
  <si>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</si>
  <si>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</si>
  <si>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</si>
  <si>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</si>
  <si>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</si>
  <si>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</si>
  <si>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</si>
  <si>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</si>
  <si>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</si>
  <si>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</si>
  <si>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</si>
  <si>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</si>
  <si>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</si>
  <si>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</si>
  <si>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</si>
  <si>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</si>
  <si>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</si>
  <si>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</si>
  <si>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</si>
  <si>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</si>
  <si>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</si>
  <si>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</si>
  <si>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</si>
  <si>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</si>
  <si>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</si>
  <si>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</si>
  <si>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</si>
  <si>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</si>
  <si>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</si>
  <si>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</si>
  <si>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</si>
  <si>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</si>
  <si>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</si>
  <si>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</si>
  <si>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</si>
  <si>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</si>
  <si>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</si>
  <si>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</si>
  <si>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</si>
  <si>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</si>
  <si>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</si>
  <si>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</si>
  <si>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</si>
  <si>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</si>
  <si>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</si>
  <si>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</si>
  <si>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</si>
  <si>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</si>
  <si>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</si>
  <si>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</si>
  <si>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</si>
  <si>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</si>
  <si>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</si>
  <si>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</si>
  <si>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</si>
  <si>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</si>
  <si>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</si>
  <si>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</si>
  <si>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</si>
  <si>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</si>
  <si>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</si>
  <si>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</si>
  <si>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</si>
  <si>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</si>
  <si>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</si>
  <si>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</si>
  <si>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</si>
  <si>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</si>
  <si>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</si>
  <si>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</si>
  <si>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</si>
  <si>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</si>
  <si>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</si>
  <si>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</si>
  <si>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</si>
  <si>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</si>
  <si>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</si>
  <si>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</si>
  <si>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</si>
  <si>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</si>
  <si>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</si>
  <si>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</si>
  <si>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</si>
  <si>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</si>
  <si>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</si>
  <si>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</si>
  <si>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</si>
  <si>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</si>
  <si>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</si>
  <si>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</si>
  <si>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</si>
  <si>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</si>
  <si>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</si>
  <si>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</si>
  <si>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</si>
  <si>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</si>
  <si>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</si>
  <si>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</si>
  <si>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</si>
  <si>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</si>
  <si>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</si>
  <si>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</si>
  <si>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</si>
  <si>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</si>
  <si>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</si>
  <si>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</si>
  <si>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</si>
  <si>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</si>
  <si>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</si>
  <si>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</si>
  <si>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</si>
  <si>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</si>
  <si>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</si>
  <si>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</si>
  <si>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</si>
  <si>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</si>
  <si>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</si>
  <si>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</si>
  <si>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</si>
  <si>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</si>
  <si>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</si>
  <si>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</si>
  <si>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</si>
  <si>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</si>
  <si>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</si>
  <si>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</si>
  <si>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</si>
  <si>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</si>
  <si>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</si>
  <si>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</si>
  <si>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</si>
  <si>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</si>
  <si>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</si>
  <si>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</si>
  <si>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</si>
  <si>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</si>
  <si>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</si>
  <si>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</si>
  <si>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</si>
  <si>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</si>
  <si>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</si>
  <si>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</si>
  <si>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</si>
  <si>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</si>
  <si>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</si>
  <si>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</si>
  <si>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</si>
  <si>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</si>
  <si>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</si>
  <si>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</si>
  <si>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</si>
  <si>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</si>
  <si>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</si>
  <si>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</si>
  <si>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</si>
  <si>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</si>
  <si>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</si>
  <si>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</si>
  <si>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</si>
  <si>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</si>
  <si>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</si>
  <si>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</si>
  <si>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</si>
  <si>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</si>
  <si>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</si>
  <si>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</si>
  <si>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</si>
  <si>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</si>
  <si>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</si>
  <si>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</si>
  <si>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</si>
  <si>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</si>
  <si>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</si>
  <si>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</si>
  <si>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</si>
  <si>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</si>
  <si>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</si>
  <si>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</si>
  <si>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</si>
  <si>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</si>
  <si>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</si>
  <si>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</si>
  <si>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</si>
  <si>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</si>
  <si>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</si>
  <si>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</si>
  <si>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</si>
  <si>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</si>
  <si>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</si>
  <si>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</si>
  <si>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</si>
  <si>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</si>
  <si>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</si>
  <si>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</si>
  <si>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</si>
  <si>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</si>
  <si>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</si>
  <si>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</si>
  <si>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</si>
  <si>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</si>
  <si>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</si>
  <si>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</si>
  <si>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</si>
  <si>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</si>
  <si>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</si>
  <si>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</si>
  <si>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</si>
  <si>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</si>
  <si>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</si>
  <si>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</si>
  <si>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</si>
  <si>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</si>
  <si>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</si>
  <si>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</si>
  <si>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</si>
  <si>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</si>
  <si>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</si>
  <si>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</si>
  <si>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</si>
  <si>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</si>
  <si>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</si>
  <si>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</si>
  <si>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</si>
  <si>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</si>
  <si>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</si>
  <si>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</si>
  <si>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</si>
  <si>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</si>
  <si>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</si>
  <si>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</si>
  <si>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</si>
  <si>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</si>
  <si>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</si>
  <si>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</si>
  <si>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</si>
  <si>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</si>
  <si>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</si>
  <si>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</si>
  <si>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</si>
  <si>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</si>
  <si>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</si>
  <si>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</si>
  <si>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</si>
  <si>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</si>
  <si>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</si>
  <si>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</si>
  <si>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</si>
  <si>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</si>
  <si>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</si>
  <si>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</si>
  <si>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</si>
  <si>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</si>
  <si>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</si>
  <si>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</si>
  <si>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</si>
  <si>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</si>
  <si>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</si>
  <si>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</si>
  <si>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</si>
  <si>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</si>
  <si>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</si>
  <si>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</si>
  <si>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</si>
  <si>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</si>
  <si>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</si>
  <si>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</si>
  <si>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</si>
  <si>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</si>
  <si>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</si>
  <si>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</si>
  <si>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</si>
  <si>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</si>
  <si>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</si>
  <si>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</si>
  <si>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</si>
  <si>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</si>
  <si>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</si>
  <si>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</si>
  <si>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</si>
  <si>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</si>
  <si>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</si>
  <si>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</si>
  <si>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</si>
  <si>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</si>
  <si>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</si>
  <si>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</si>
  <si>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</si>
  <si>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</si>
  <si>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</si>
  <si>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</si>
  <si>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</si>
  <si>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</si>
  <si>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</si>
  <si>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</si>
  <si>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</si>
  <si>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</si>
  <si>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</si>
  <si>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</si>
  <si>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</si>
  <si>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</si>
  <si>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</si>
  <si>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</si>
  <si>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</si>
  <si>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</si>
  <si>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</si>
  <si>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</si>
  <si>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</si>
  <si>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</si>
  <si>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</si>
  <si>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</si>
  <si>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</si>
  <si>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</si>
  <si>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</si>
  <si>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</si>
  <si>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</si>
  <si>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</si>
  <si>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</si>
  <si>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</si>
  <si>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</si>
  <si>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</si>
  <si>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</si>
  <si>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</si>
  <si>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</si>
  <si>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</si>
  <si>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</si>
  <si>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</si>
  <si>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</si>
  <si>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</si>
  <si>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</si>
  <si>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</si>
  <si>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</si>
  <si>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</si>
  <si>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</si>
  <si>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</si>
  <si>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</si>
  <si>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</si>
  <si>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</si>
  <si>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</si>
  <si>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</si>
  <si>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</si>
  <si>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</si>
  <si>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</si>
  <si>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</si>
  <si>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</si>
  <si>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</si>
  <si>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</si>
  <si>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</si>
  <si>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</si>
  <si>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</si>
  <si>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</si>
  <si>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</si>
  <si>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</si>
  <si>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</si>
  <si>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</si>
  <si>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</si>
  <si>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</si>
  <si>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</si>
  <si>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</si>
  <si>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</si>
  <si>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</si>
  <si>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</si>
  <si>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</si>
  <si>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</si>
  <si>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</si>
  <si>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</si>
  <si>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</si>
  <si>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</si>
  <si>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</si>
  <si>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</si>
  <si>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</si>
  <si>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</si>
  <si>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</si>
  <si>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</si>
  <si>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</si>
  <si>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</si>
  <si>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</si>
  <si>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</si>
  <si>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</si>
  <si>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</si>
  <si>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</si>
  <si>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</si>
  <si>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</si>
  <si>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</si>
  <si>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</si>
  <si>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</si>
  <si>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</si>
  <si>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</si>
  <si>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</si>
  <si>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</si>
  <si>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</si>
  <si>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</si>
  <si>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</si>
  <si>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</si>
  <si>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</si>
  <si>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</si>
  <si>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</si>
  <si>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</si>
  <si>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</si>
  <si>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</si>
  <si>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</si>
  <si>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</si>
  <si>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</si>
  <si>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</si>
  <si>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</si>
  <si>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</si>
  <si>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</si>
  <si>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</si>
  <si>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</si>
  <si>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</si>
  <si>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</si>
  <si>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</si>
  <si>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</si>
  <si>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</si>
  <si>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</si>
  <si>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</si>
  <si>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</si>
  <si>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</si>
  <si>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</si>
  <si>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</si>
  <si>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</si>
  <si>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</si>
  <si>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</si>
  <si>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</si>
  <si>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</si>
  <si>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</si>
  <si>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</si>
  <si>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</si>
  <si>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</si>
  <si>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</si>
  <si>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</si>
  <si>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</si>
  <si>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</si>
  <si>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</si>
  <si>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</si>
  <si>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</si>
  <si>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</si>
  <si>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</si>
  <si>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</si>
  <si>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</si>
  <si>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</si>
  <si>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</si>
  <si>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</si>
  <si>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</si>
  <si>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</si>
  <si>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</si>
  <si>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</si>
  <si>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</si>
  <si>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</si>
  <si>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</si>
  <si>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</si>
  <si>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</si>
  <si>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</si>
  <si>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</si>
  <si>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</si>
  <si>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</si>
  <si>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</si>
  <si>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</si>
  <si>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</si>
  <si>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</si>
  <si>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</si>
  <si>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</si>
  <si>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</si>
  <si>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</si>
  <si>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</si>
  <si>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</si>
  <si>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</si>
  <si>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</si>
  <si>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</si>
  <si>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</si>
  <si>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</si>
  <si>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</si>
  <si>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</si>
  <si>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</si>
  <si>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</si>
  <si>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</si>
  <si>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</si>
  <si>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</si>
  <si>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</si>
  <si>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</si>
  <si>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</si>
  <si>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</si>
  <si>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</si>
  <si>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</si>
  <si>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</si>
  <si>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</si>
  <si>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</si>
  <si>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</si>
  <si>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</si>
  <si>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</si>
  <si>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</si>
  <si>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</si>
  <si>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</si>
  <si>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</si>
  <si>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</si>
  <si>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</si>
  <si>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</si>
  <si>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</si>
  <si>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</si>
  <si>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</si>
  <si>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</si>
  <si>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</si>
  <si>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</si>
  <si>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</si>
  <si>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</si>
  <si>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</si>
  <si>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</si>
  <si>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</si>
  <si>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</si>
  <si>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</si>
  <si>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</si>
  <si>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</si>
  <si>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</si>
  <si>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</si>
  <si>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</si>
  <si>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</si>
  <si>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</si>
  <si>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</si>
  <si>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</si>
  <si>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</si>
  <si>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</si>
  <si>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</si>
  <si>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</si>
  <si>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</si>
  <si>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</si>
  <si>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</si>
  <si>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</si>
  <si>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</si>
  <si>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</si>
  <si>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</si>
  <si>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</si>
  <si>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</si>
  <si>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</si>
  <si>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</si>
  <si>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</si>
  <si>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</si>
  <si>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</si>
  <si>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</si>
  <si>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</si>
  <si>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</si>
  <si>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</si>
  <si>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</si>
  <si>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</si>
  <si>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</si>
  <si>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</si>
  <si>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</si>
  <si>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</si>
  <si>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</si>
  <si>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</si>
  <si>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</si>
  <si>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</si>
  <si>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</si>
  <si>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</si>
  <si>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</si>
  <si>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</si>
  <si>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</si>
  <si>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</si>
  <si>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</si>
  <si>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</si>
  <si>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</si>
  <si>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</si>
  <si>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</si>
  <si>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</si>
  <si>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</si>
  <si>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</si>
  <si>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</si>
  <si>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</si>
  <si>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</si>
  <si>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</si>
  <si>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</si>
  <si>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</si>
  <si>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</si>
  <si>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</si>
  <si>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</si>
  <si>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</si>
  <si>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</si>
  <si>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</si>
  <si>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</si>
  <si>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</si>
  <si>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</si>
  <si>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</si>
  <si>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</si>
  <si>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</si>
  <si>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</si>
  <si>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</si>
  <si>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</si>
  <si>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</si>
  <si>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</si>
  <si>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</si>
  <si>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</si>
  <si>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</si>
  <si>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</si>
  <si>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</si>
  <si>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</si>
  <si>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</si>
  <si>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</si>
  <si>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</si>
  <si>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</si>
  <si>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</si>
  <si>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</si>
  <si>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</si>
  <si>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</si>
  <si>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</si>
  <si>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</si>
  <si>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</si>
  <si>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</si>
  <si>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</si>
  <si>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</si>
  <si>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</si>
  <si>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</si>
  <si>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</si>
  <si>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</si>
  <si>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</si>
  <si>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</si>
  <si>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</si>
  <si>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</si>
  <si>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</si>
  <si>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</si>
  <si>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</si>
  <si>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</si>
  <si>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</si>
  <si>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</si>
  <si>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</si>
  <si>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</si>
  <si>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</si>
  <si>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</si>
  <si>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</si>
  <si>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</si>
  <si>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</si>
  <si>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</si>
  <si>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</si>
  <si>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</si>
  <si>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</si>
  <si>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</si>
  <si>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</si>
  <si>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</si>
  <si>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</si>
  <si>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</si>
  <si>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</si>
  <si>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</si>
  <si>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</si>
  <si>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</si>
  <si>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</si>
  <si>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</si>
  <si>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</si>
  <si>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</si>
  <si>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</si>
  <si>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</si>
  <si>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</si>
  <si>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</si>
  <si>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</si>
  <si>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</si>
  <si>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</si>
  <si>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</si>
  <si>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</si>
  <si>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</si>
  <si>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</si>
  <si>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</si>
  <si>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</si>
  <si>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</si>
  <si>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</si>
  <si>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</si>
  <si>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</si>
  <si>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</si>
  <si>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</si>
  <si>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</si>
  <si>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</si>
  <si>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</si>
  <si>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</si>
  <si>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</si>
  <si>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</si>
  <si>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</si>
  <si>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</si>
  <si>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</si>
  <si>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</si>
  <si>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</si>
  <si>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</si>
  <si>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</si>
  <si>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</si>
  <si>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</si>
  <si>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</si>
  <si>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</si>
  <si>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</si>
  <si>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</si>
  <si>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</si>
  <si>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</si>
  <si>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</si>
  <si>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</si>
  <si>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</si>
  <si>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</si>
  <si>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</si>
  <si>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</si>
  <si>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</si>
  <si>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</si>
  <si>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</si>
  <si>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</si>
  <si>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</si>
  <si>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</si>
  <si>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</si>
  <si>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</si>
  <si>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</si>
  <si>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</si>
  <si>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</si>
  <si>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</si>
  <si>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</si>
  <si>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</si>
  <si>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</si>
  <si>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</si>
  <si>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</si>
  <si>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</si>
  <si>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</si>
  <si>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</si>
  <si>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</si>
  <si>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</si>
  <si>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</si>
  <si>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</si>
  <si>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</si>
  <si>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</si>
  <si>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</si>
  <si>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</si>
  <si>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</si>
  <si>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</si>
  <si>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</si>
  <si>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</si>
  <si>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</si>
  <si>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</si>
  <si>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</si>
  <si>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</si>
  <si>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</si>
  <si>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</si>
  <si>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</si>
  <si>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</si>
  <si>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</si>
  <si>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</si>
  <si>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</si>
  <si>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</si>
  <si>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</si>
  <si>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</si>
  <si>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</si>
  <si>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</si>
  <si>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</si>
  <si>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</si>
  <si>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</si>
  <si>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</si>
  <si>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</si>
  <si>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</si>
  <si>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</si>
  <si>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</si>
  <si>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</si>
  <si>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</si>
  <si>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</si>
  <si>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</si>
  <si>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</si>
  <si>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</si>
  <si>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</si>
  <si>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</si>
  <si>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</si>
  <si>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</si>
  <si>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</si>
  <si>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</si>
  <si>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</si>
  <si>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</si>
  <si>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</si>
  <si>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</si>
  <si>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</si>
  <si>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</si>
  <si>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</si>
  <si>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</si>
  <si>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</si>
  <si>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</si>
  <si>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</si>
  <si>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</si>
  <si>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</si>
  <si>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</si>
  <si>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</si>
  <si>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</si>
  <si>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</si>
  <si>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</si>
  <si>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</si>
  <si>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</si>
  <si>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</si>
  <si>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</si>
  <si>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</si>
  <si>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</si>
  <si>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</si>
  <si>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</si>
  <si>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</si>
  <si>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</si>
  <si>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</si>
  <si>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</si>
  <si>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</si>
  <si>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</si>
  <si>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</si>
  <si>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</si>
  <si>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</si>
  <si>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</si>
  <si>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</si>
  <si>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</si>
  <si>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</si>
  <si>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</si>
  <si>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</si>
  <si>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</si>
  <si>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</si>
  <si>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</si>
  <si>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</si>
  <si>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</si>
  <si>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</si>
  <si>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</si>
  <si>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</si>
  <si>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</si>
  <si>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</si>
  <si>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</si>
  <si>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</si>
  <si>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</si>
  <si>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</si>
  <si>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</si>
  <si>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</si>
  <si>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</si>
  <si>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</si>
  <si>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</si>
  <si>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</si>
  <si>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</si>
  <si>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</si>
  <si>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</si>
  <si>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</si>
  <si>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</si>
  <si>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</si>
  <si>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</si>
  <si>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</si>
  <si>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</si>
  <si>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</si>
  <si>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</si>
  <si>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</si>
  <si>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</si>
  <si>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</si>
  <si>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</si>
  <si>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</si>
  <si>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</si>
  <si>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</si>
  <si>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</si>
  <si>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</si>
  <si>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</si>
  <si>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</si>
  <si>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</si>
  <si>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</si>
  <si>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</si>
  <si>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</si>
  <si>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</si>
  <si>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</si>
  <si>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</si>
  <si>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</si>
  <si>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</si>
  <si>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</si>
  <si>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</si>
  <si>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</si>
  <si>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</si>
  <si>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</si>
  <si>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</si>
  <si>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</si>
  <si>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</si>
  <si>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</si>
  <si>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</si>
  <si>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</si>
  <si>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</si>
  <si>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</si>
  <si>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</si>
  <si>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</si>
  <si>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</si>
  <si>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</si>
  <si>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</si>
  <si>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</si>
  <si>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</si>
  <si>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</si>
  <si>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</si>
  <si>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</si>
  <si>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</si>
  <si>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</si>
  <si>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</si>
  <si>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</si>
  <si>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</si>
  <si>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</si>
  <si>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</si>
  <si>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</si>
  <si>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</si>
  <si>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</si>
  <si>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</si>
  <si>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</si>
  <si>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</si>
  <si>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</si>
  <si>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</si>
  <si>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</si>
  <si>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</si>
  <si>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</si>
  <si>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</si>
  <si>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</si>
  <si>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</si>
  <si>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</si>
  <si>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</si>
  <si>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</si>
  <si>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</si>
  <si>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</si>
  <si>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</si>
  <si>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</si>
  <si>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</si>
  <si>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</si>
  <si>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</si>
  <si>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</si>
  <si>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</si>
  <si>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</si>
  <si>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</si>
  <si>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</si>
  <si>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</si>
  <si>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</si>
  <si>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</si>
  <si>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</si>
  <si>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</si>
  <si>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</si>
  <si>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</si>
  <si>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</si>
  <si>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</si>
  <si>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</si>
  <si>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</si>
  <si>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</si>
  <si>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</si>
  <si>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</si>
  <si>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</si>
  <si>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</si>
  <si>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</si>
  <si>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</si>
  <si>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</si>
  <si>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</si>
  <si>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</si>
  <si>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</si>
  <si>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</si>
  <si>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</si>
  <si>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</si>
  <si>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</si>
  <si>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</si>
  <si>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</si>
  <si>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</si>
  <si>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</si>
  <si>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</si>
  <si>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</si>
  <si>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</si>
  <si>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</si>
  <si>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</si>
  <si>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</si>
  <si>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</si>
  <si>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</si>
  <si>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</si>
  <si>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</si>
  <si>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</si>
  <si>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</si>
  <si>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</si>
  <si>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</si>
  <si>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</si>
  <si>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</si>
  <si>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</si>
  <si>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</si>
  <si>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</si>
  <si>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</si>
  <si>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</si>
  <si>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</si>
  <si>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</si>
  <si>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</si>
  <si>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</si>
  <si>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</si>
  <si>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</si>
  <si>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</si>
  <si>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</si>
  <si>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</si>
  <si>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</si>
  <si>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</si>
  <si>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</si>
  <si>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</si>
  <si>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</si>
  <si>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</si>
  <si>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</si>
  <si>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</si>
  <si>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</si>
  <si>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</si>
  <si>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</si>
  <si>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</si>
  <si>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</si>
  <si>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</si>
  <si>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</si>
  <si>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</si>
  <si>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</si>
  <si>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</si>
  <si>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</si>
  <si>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</si>
  <si>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</si>
  <si>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</si>
  <si>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</si>
  <si>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</si>
  <si>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</si>
  <si>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</si>
  <si>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</si>
  <si>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</si>
  <si>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</si>
  <si>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</si>
  <si>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</si>
  <si>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</si>
  <si>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</si>
  <si>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</si>
  <si>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</si>
  <si>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</si>
  <si>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</si>
  <si>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</si>
  <si>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</si>
  <si>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</si>
  <si>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</si>
  <si>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</si>
  <si>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</si>
  <si>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</si>
  <si>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</si>
  <si>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</si>
  <si>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</si>
  <si>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</si>
  <si>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</si>
  <si>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</si>
  <si>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</si>
  <si>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</si>
  <si>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</si>
  <si>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</si>
  <si>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</si>
  <si>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</si>
  <si>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</si>
  <si>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</si>
  <si>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</si>
  <si>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</si>
  <si>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</si>
  <si>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</si>
  <si>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</si>
  <si>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</si>
  <si>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</si>
  <si>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</si>
  <si>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</si>
  <si>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</si>
  <si>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</si>
  <si>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</si>
  <si>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</si>
  <si>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</si>
  <si>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</si>
  <si>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</si>
  <si>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</si>
  <si>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</si>
  <si>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</si>
  <si>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</si>
  <si>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</si>
  <si>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</si>
  <si>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</si>
  <si>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</si>
  <si>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</si>
  <si>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</si>
  <si>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</si>
  <si>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</si>
  <si>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</si>
  <si>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</si>
  <si>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</si>
  <si>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</si>
  <si>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</si>
  <si>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</si>
  <si>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</si>
  <si>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</si>
  <si>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</si>
  <si>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Rice Sullivan, LLC</t>
  </si>
  <si>
    <t>Bill R. Dixon, CPA</t>
  </si>
  <si>
    <t>3121 North Illinois Street, Suite A</t>
  </si>
  <si>
    <t>Swansea</t>
  </si>
  <si>
    <t>IL</t>
  </si>
  <si>
    <t>618-233-0186</t>
  </si>
  <si>
    <t>618-234-5804</t>
  </si>
  <si>
    <t>bdixon@rsco.net</t>
  </si>
  <si>
    <t>066.004582</t>
  </si>
  <si>
    <t>FUND</t>
  </si>
  <si>
    <t>PAGE</t>
  </si>
  <si>
    <t>ROW</t>
  </si>
  <si>
    <t>DESCRIPTION</t>
  </si>
  <si>
    <t>AMOUNT</t>
  </si>
  <si>
    <t>Clinton / St. Clair</t>
  </si>
  <si>
    <t>699 Wesclin Road</t>
  </si>
  <si>
    <t>Trenton</t>
  </si>
  <si>
    <t>filyawj@wesclin.k12.il.us</t>
  </si>
  <si>
    <t>Jennifer Filyaw</t>
  </si>
  <si>
    <t>618-224-7583</t>
  </si>
  <si>
    <t>618-224-9106</t>
  </si>
  <si>
    <t>U.S. DEPARTMENT OF EDUCATION</t>
  </si>
  <si>
    <t>PASSED THROUGH ISBE</t>
  </si>
  <si>
    <t>TITLE I - LOW INCOME - FY18</t>
  </si>
  <si>
    <t>TITLE I - LOW INCOME - FY17</t>
  </si>
  <si>
    <t>TITLE II - TEACHER QUALITY - FY18</t>
  </si>
  <si>
    <t>TITLE II - TEACHER QUALITY - FY17</t>
  </si>
  <si>
    <t xml:space="preserve">     SUB-TOTAL</t>
  </si>
  <si>
    <t>DIRECT PROGRAM</t>
  </si>
  <si>
    <t>IMPACT AID P.L. 81-874</t>
  </si>
  <si>
    <t>2018-4001</t>
  </si>
  <si>
    <t>2017-4001</t>
  </si>
  <si>
    <t>2018-4300</t>
  </si>
  <si>
    <t>2017-4300</t>
  </si>
  <si>
    <t>2018-4932</t>
  </si>
  <si>
    <t>2017-4932</t>
  </si>
  <si>
    <t>U.S. DEPARTMENT OF EDCUATION (CONT.)</t>
  </si>
  <si>
    <t>PASSED THROUGH BASSC:</t>
  </si>
  <si>
    <t>I.D.E.A. PART B FLOW THROUGH 94-142 - FY18</t>
  </si>
  <si>
    <t>I.D.E.A. PART B FLOW THROUGH 94-142 - FY17</t>
  </si>
  <si>
    <t>PASSED THROUGH ST. CLAIR CO/SWIC REG VOC SYS</t>
  </si>
  <si>
    <t>TITLE IIC SECONDARY - CTE PERKINS - FY18</t>
  </si>
  <si>
    <t>TITLE IIC SECONDARY - CTE PERKINS - FY17</t>
  </si>
  <si>
    <t>TOTAL U.S. DEPARTMENT OF EDUCATION</t>
  </si>
  <si>
    <t>2018-4620</t>
  </si>
  <si>
    <t>2017-4620</t>
  </si>
  <si>
    <t>2018-4745</t>
  </si>
  <si>
    <t>2017-4745</t>
  </si>
  <si>
    <t>NON-CASH COMMODITIES</t>
  </si>
  <si>
    <t>TOTAL U.S. DEPARTMENT OF AGRICULTURE</t>
  </si>
  <si>
    <t>TOTAL FEDERAL ASSISTANCE</t>
  </si>
  <si>
    <t>2018-4210</t>
  </si>
  <si>
    <t>2017-4210</t>
  </si>
  <si>
    <t>2018-4220</t>
  </si>
  <si>
    <t>2017-4220</t>
  </si>
  <si>
    <t>N/A</t>
  </si>
  <si>
    <t>I.D.E.A. ROOM &amp; BOARD - FY17</t>
  </si>
  <si>
    <t>2017-4625</t>
  </si>
  <si>
    <t>13014003026A1</t>
  </si>
  <si>
    <t>Egyptian Benefit Trust Insurance Group</t>
  </si>
  <si>
    <t>Clinton County Cooperative</t>
  </si>
  <si>
    <t>Share Expenses with ROE 13 Schools</t>
  </si>
  <si>
    <t>Belleville Area Special Ed Cooperative (BASSC)</t>
  </si>
  <si>
    <t>St. Clair County ROE Sponsored Program / SAFB</t>
  </si>
  <si>
    <t>St. Clair RDS</t>
  </si>
  <si>
    <t>General Obligation School Bond, Series 2012</t>
  </si>
  <si>
    <t>General Obligation School Bond, Series 2016</t>
  </si>
  <si>
    <t>Other District/School Activity Revenue</t>
  </si>
  <si>
    <t>*Before/After School Child Care</t>
  </si>
  <si>
    <t>Other Local Revenue</t>
  </si>
  <si>
    <t>*Other</t>
  </si>
  <si>
    <t>TRAN</t>
  </si>
  <si>
    <t>*State Library Grant</t>
  </si>
  <si>
    <t>CTE-Other</t>
  </si>
  <si>
    <t>*Title IIC Secondary - CTE Perkins</t>
  </si>
  <si>
    <t>Other Support Services - Pupils</t>
  </si>
  <si>
    <t>*Art Supplies</t>
  </si>
  <si>
    <t>Debt Services - Other</t>
  </si>
  <si>
    <t>*Bond Fees</t>
  </si>
  <si>
    <t>None</t>
  </si>
  <si>
    <t>Unmodified</t>
  </si>
  <si>
    <t>x</t>
  </si>
  <si>
    <t>The Illinois Compiled Statutes, Chapter 105, Section 5, Paragraph 17-1, requires that total expenditures and transfers not exceed budgeted expenditures and transfers for any fund.  During the year ended June 30, 2018 the Educational Fund had expenditures and/or transfers in excess of budget.</t>
  </si>
  <si>
    <t>Actual expenditures and/or transfers exceeded budgeted amounts.</t>
  </si>
  <si>
    <t>The Educational Fund had expenditures and/or transfers in excess of budgeted amounts.</t>
  </si>
  <si>
    <t>The District did not increase the provision for contingencies budgeted items.</t>
  </si>
  <si>
    <t>Recommendation that the District, in the future, should increase the provision for contingencies line item in order to cover any unexpected expenditures and/or transfers.</t>
  </si>
  <si>
    <t>The District will monitor the budgeted expenditures more diligently.</t>
  </si>
  <si>
    <t>2017-001</t>
  </si>
  <si>
    <t>Actual expenditures and/or transfers</t>
  </si>
  <si>
    <t>exceeded budgeted amounts.</t>
  </si>
  <si>
    <t>See 2018-001</t>
  </si>
  <si>
    <t>Line 19:  Illinois Public Risk Fund - Workman's Compensation</t>
  </si>
  <si>
    <r>
      <t xml:space="preserve">The accompanying Schedule of Expenditures of Federal Awards includes the federal grant activity of </t>
    </r>
    <r>
      <rPr>
        <b/>
        <sz val="9"/>
        <rFont val="Calibri"/>
        <family val="2"/>
        <scheme val="minor"/>
      </rPr>
      <t>Wesclin Community Unit School District No. 3</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</si>
  <si>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Wesclin Community Unit School District No. 3</t>
    </r>
    <r>
      <rPr>
        <sz val="9"/>
        <rFont val="Calibri"/>
        <family val="2"/>
        <scheme val="minor"/>
      </rPr>
      <t xml:space="preserve"> provided federal awards to subrecipients as follows:</t>
    </r>
  </si>
  <si>
    <t>10.555, 10.553</t>
  </si>
  <si>
    <t>CHILD NUTRITION CLUSTER</t>
  </si>
  <si>
    <t>IMPACT AID P.L. 81-874 (M)</t>
  </si>
  <si>
    <t>NATIONAL SCHOOL LUNCH PROGRAM - FY18 (M)</t>
  </si>
  <si>
    <t>NATIONAL SCHOOL LUNCH PROGRAM - FY17 (M)</t>
  </si>
  <si>
    <t>SCHOOL BREAKFAST PROGRAM - FY18 (M)</t>
  </si>
  <si>
    <t>SCHOOL BREAKFAST PROGRAM - FY17 (M)</t>
  </si>
  <si>
    <t>COMMODITIES (M)</t>
  </si>
  <si>
    <t>U.S. DEPARTMENT OF AGRICULTURE - PASS THROUGH ISBE:</t>
  </si>
  <si>
    <t>CHILD NUTRITION CLUSTER:</t>
  </si>
  <si>
    <t>Adverse (GAAP), Unmodified (Regulatory)</t>
  </si>
  <si>
    <t>10-1200-310</t>
  </si>
  <si>
    <t>Integra Therapy Services</t>
  </si>
  <si>
    <t>Brechts Database</t>
  </si>
  <si>
    <t>Americom</t>
  </si>
  <si>
    <t>10-2310-310</t>
  </si>
  <si>
    <t>Common Goal</t>
  </si>
  <si>
    <t>80-2369-318</t>
  </si>
  <si>
    <t>Hodges Loizzi</t>
  </si>
  <si>
    <t>10-2410-310</t>
  </si>
  <si>
    <t>Pitney Bowes</t>
  </si>
  <si>
    <t>Quality Network Solutions</t>
  </si>
  <si>
    <t>SOCS</t>
  </si>
  <si>
    <t>Sodexo</t>
  </si>
  <si>
    <t>10-2520-310</t>
  </si>
  <si>
    <t>Specialized Data Systems</t>
  </si>
  <si>
    <t>Charter Business</t>
  </si>
  <si>
    <t>Tort-Legal Services-Purchased Services</t>
  </si>
  <si>
    <t>O&amp;M-Telephone-Purchased Services</t>
  </si>
  <si>
    <t>ED-Contract Services-Purchased Services</t>
  </si>
  <si>
    <t>ED-Copier Services-Purchased Services</t>
  </si>
  <si>
    <t>ED-Contract Services -SPED-Purchased Services</t>
  </si>
  <si>
    <t>Wesclin CUSD 3</t>
  </si>
  <si>
    <t>10-1000-300</t>
  </si>
  <si>
    <t>20-2540-300</t>
  </si>
  <si>
    <t>10-2300-300</t>
  </si>
  <si>
    <t>10-2200-300</t>
  </si>
  <si>
    <t>10-2560-300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</si>
</sst>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64" fillId="0" borderId="166" xfId="0" applyFont="1" applyBorder="1" applyAlignment="1">
      <alignment horizontal="center"/>
    </xf>
    <xf numFmtId="164" fontId="64" fillId="0" borderId="166" xfId="0" applyNumberFormat="1" applyFont="1" applyBorder="1" applyAlignment="1">
      <alignment horizontal="center"/>
    </xf>
    <xf numFmtId="164" fontId="56" fillId="0" borderId="0" xfId="0" applyNumberFormat="1" applyFont="1" applyAlignment="1">
      <alignment horizontal="center"/>
    </xf>
    <xf numFmtId="0" fontId="56" fillId="0" borderId="0" xfId="0" applyFont="1" applyAlignment="1">
      <alignment horizontal="center"/>
    </xf>
    <xf numFmtId="181" fontId="56" fillId="0" borderId="0" xfId="1" applyNumberFormat="1" applyFont="1"/>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649432</xdr:colOff>
          <xdr:row>3</xdr:row>
          <xdr:rowOff>112568</xdr:rowOff>
        </xdr:from>
        <xdr:to>
          <xdr:col>1</xdr:col>
          <xdr:colOff>1563832</xdr:colOff>
          <xdr:row>7</xdr:row>
          <xdr:rowOff>150668</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9" t="s">
        <v>425</v>
      </c>
      <c r="J1" s="2040"/>
      <c r="K1" s="2040"/>
      <c r="L1" s="2040"/>
      <c r="M1" s="2040"/>
      <c r="N1" s="2040"/>
      <c r="O1" s="2040"/>
      <c r="P1" s="2040"/>
      <c r="Q1" s="2040"/>
      <c r="R1" s="2040"/>
      <c r="S1" s="2040"/>
    </row>
    <row r="2" spans="1:28" ht="12" customHeight="1" x14ac:dyDescent="0.2">
      <c r="A2" s="47" t="s">
        <v>1684</v>
      </c>
      <c r="D2" s="48"/>
      <c r="I2" s="2041" t="s">
        <v>1036</v>
      </c>
      <c r="J2" s="2040"/>
      <c r="K2" s="2040"/>
      <c r="L2" s="2040"/>
      <c r="M2" s="2040"/>
      <c r="N2" s="2040"/>
      <c r="O2" s="2040"/>
      <c r="P2" s="2040"/>
      <c r="Q2" s="2040"/>
      <c r="R2" s="2040"/>
      <c r="S2" s="2040"/>
    </row>
    <row r="3" spans="1:28" ht="12" customHeight="1" x14ac:dyDescent="0.2">
      <c r="A3" s="155" t="s">
        <v>1685</v>
      </c>
      <c r="B3" s="156"/>
      <c r="C3" s="156"/>
      <c r="D3" s="157"/>
      <c r="I3" s="2041" t="s">
        <v>54</v>
      </c>
      <c r="J3" s="2040"/>
      <c r="K3" s="2040"/>
      <c r="L3" s="2040"/>
      <c r="M3" s="2040"/>
      <c r="N3" s="2040"/>
      <c r="O3" s="2040"/>
      <c r="P3" s="2040"/>
      <c r="Q3" s="2040"/>
      <c r="R3" s="2040"/>
      <c r="S3" s="2040"/>
    </row>
    <row r="4" spans="1:28" ht="12" customHeight="1" x14ac:dyDescent="0.2">
      <c r="A4" s="37"/>
      <c r="I4" s="2041" t="s">
        <v>545</v>
      </c>
      <c r="J4" s="2040"/>
      <c r="K4" s="2040"/>
      <c r="L4" s="2040"/>
      <c r="M4" s="2040"/>
      <c r="N4" s="2040"/>
      <c r="O4" s="2040"/>
      <c r="P4" s="2040"/>
      <c r="Q4" s="2040"/>
      <c r="R4" s="2040"/>
      <c r="S4" s="2040"/>
    </row>
    <row r="5" spans="1:28" ht="14.1" customHeight="1" x14ac:dyDescent="0.2">
      <c r="B5" s="104" t="s">
        <v>2075</v>
      </c>
      <c r="C5" s="26" t="s">
        <v>966</v>
      </c>
      <c r="D5" s="84"/>
      <c r="E5" s="84"/>
      <c r="H5" s="38"/>
      <c r="I5" s="2048" t="s">
        <v>701</v>
      </c>
      <c r="J5" s="1992"/>
      <c r="K5" s="1992"/>
      <c r="L5" s="1992"/>
      <c r="M5" s="1992"/>
      <c r="N5" s="1992"/>
      <c r="O5" s="1992"/>
      <c r="P5" s="1992"/>
      <c r="Q5" s="1992"/>
      <c r="R5" s="1992"/>
      <c r="S5" s="1992"/>
    </row>
    <row r="6" spans="1:28" ht="14.1" customHeight="1" x14ac:dyDescent="0.2">
      <c r="B6" s="104"/>
      <c r="C6" s="26" t="s">
        <v>967</v>
      </c>
      <c r="D6" s="84"/>
      <c r="E6" s="84"/>
      <c r="I6" s="2047" t="s">
        <v>938</v>
      </c>
      <c r="J6" s="1992"/>
      <c r="K6" s="1992"/>
      <c r="L6" s="1992"/>
      <c r="M6" s="1992"/>
      <c r="N6" s="1992"/>
      <c r="O6" s="1992"/>
      <c r="P6" s="1992"/>
      <c r="Q6" s="1992"/>
      <c r="R6" s="1992"/>
      <c r="S6" s="1992"/>
    </row>
    <row r="7" spans="1:28" ht="12.2" customHeight="1" x14ac:dyDescent="0.2">
      <c r="I7" s="2042">
        <v>43281</v>
      </c>
      <c r="J7" s="2043"/>
      <c r="K7" s="2043"/>
      <c r="L7" s="2043"/>
      <c r="M7" s="2043"/>
      <c r="N7" s="2043"/>
      <c r="O7" s="2043"/>
      <c r="P7" s="2043"/>
      <c r="Q7" s="2043"/>
      <c r="R7" s="2043"/>
      <c r="S7" s="204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4" t="s">
        <v>695</v>
      </c>
      <c r="J9" s="2045"/>
      <c r="K9" s="2045"/>
      <c r="L9" s="2045"/>
      <c r="M9" s="2045"/>
      <c r="N9" s="2045"/>
      <c r="O9" s="2045"/>
      <c r="P9" s="2045"/>
      <c r="Q9" s="2045"/>
      <c r="R9" s="2045"/>
      <c r="S9" s="2046"/>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27"/>
      <c r="J11" s="74"/>
      <c r="K11" s="27"/>
      <c r="O11" s="148" t="s">
        <v>2075</v>
      </c>
      <c r="P11" s="100" t="s">
        <v>210</v>
      </c>
      <c r="Q11" s="30"/>
      <c r="R11" s="28"/>
      <c r="S11" s="27"/>
      <c r="T11" s="1994"/>
      <c r="U11" s="1995"/>
      <c r="V11" s="1995"/>
      <c r="W11" s="1995"/>
      <c r="X11" s="1995"/>
      <c r="Y11" s="1995"/>
      <c r="Z11" s="1995"/>
      <c r="AA11" s="199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8">
        <v>13014003026</v>
      </c>
      <c r="B13" s="2009"/>
      <c r="C13" s="2009"/>
      <c r="D13" s="2009"/>
      <c r="E13" s="2009"/>
      <c r="F13" s="2009"/>
      <c r="G13" s="2009"/>
      <c r="H13" s="2010"/>
      <c r="I13" s="31"/>
      <c r="J13" s="30"/>
      <c r="K13" s="28"/>
      <c r="L13" s="30"/>
      <c r="M13" s="30"/>
      <c r="N13" s="30"/>
      <c r="O13" s="30"/>
      <c r="P13" s="30"/>
      <c r="Q13" s="30"/>
      <c r="R13" s="30"/>
      <c r="S13" s="30"/>
      <c r="T13" s="2013" t="s">
        <v>2076</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6" t="s">
        <v>2090</v>
      </c>
      <c r="B15" s="2011"/>
      <c r="C15" s="2011"/>
      <c r="D15" s="2011"/>
      <c r="E15" s="2011"/>
      <c r="F15" s="2011"/>
      <c r="G15" s="2011"/>
      <c r="H15" s="2012"/>
      <c r="T15" s="1974" t="s">
        <v>2077</v>
      </c>
      <c r="U15" s="1975"/>
      <c r="V15" s="1975"/>
      <c r="W15" s="1975"/>
      <c r="X15" s="1975"/>
      <c r="Y15" s="2017"/>
      <c r="Z15" s="2017"/>
      <c r="AA15" s="20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6" t="s">
        <v>2203</v>
      </c>
      <c r="B17" s="2037"/>
      <c r="C17" s="2037"/>
      <c r="D17" s="2037"/>
      <c r="E17" s="2037"/>
      <c r="F17" s="2037"/>
      <c r="G17" s="2037"/>
      <c r="H17" s="2038"/>
      <c r="T17" s="2023" t="s">
        <v>2078</v>
      </c>
      <c r="U17" s="2024"/>
      <c r="V17" s="2024"/>
      <c r="W17" s="2024"/>
      <c r="X17" s="2024"/>
      <c r="Y17" s="2024"/>
      <c r="Z17" s="2024"/>
      <c r="AA17" s="2025"/>
    </row>
    <row r="18" spans="1:27" ht="13.5" customHeight="1" x14ac:dyDescent="0.2">
      <c r="A18" s="85" t="s">
        <v>551</v>
      </c>
      <c r="B18" s="76"/>
      <c r="C18" s="72"/>
      <c r="D18" s="76"/>
      <c r="E18" s="76"/>
      <c r="F18" s="76"/>
      <c r="G18" s="76"/>
      <c r="H18" s="56"/>
      <c r="I18" s="2033" t="s">
        <v>697</v>
      </c>
      <c r="J18" s="2034"/>
      <c r="K18" s="2034"/>
      <c r="L18" s="2034"/>
      <c r="M18" s="2034"/>
      <c r="N18" s="2034"/>
      <c r="O18" s="2034"/>
      <c r="P18" s="2034"/>
      <c r="Q18" s="2034"/>
      <c r="R18" s="2034"/>
      <c r="S18" s="2035"/>
      <c r="T18" s="85" t="s">
        <v>735</v>
      </c>
      <c r="U18" s="51"/>
      <c r="V18" s="72"/>
      <c r="W18" s="50"/>
      <c r="X18" s="85" t="s">
        <v>284</v>
      </c>
      <c r="Y18" s="81"/>
      <c r="Z18" s="159" t="s">
        <v>698</v>
      </c>
      <c r="AA18" s="46"/>
    </row>
    <row r="19" spans="1:27" ht="13.5" customHeight="1" x14ac:dyDescent="0.2">
      <c r="A19" s="2006" t="s">
        <v>2091</v>
      </c>
      <c r="B19" s="2007"/>
      <c r="C19" s="2007"/>
      <c r="D19" s="2007"/>
      <c r="E19" s="2007"/>
      <c r="F19" s="2007"/>
      <c r="G19" s="2007"/>
      <c r="H19" s="2005"/>
      <c r="I19" s="30"/>
      <c r="J19" s="99"/>
      <c r="K19" s="40"/>
      <c r="L19" s="38"/>
      <c r="M19" s="112" t="s">
        <v>333</v>
      </c>
      <c r="P19" s="27"/>
      <c r="Q19" s="27"/>
      <c r="R19" s="27"/>
      <c r="S19" s="31"/>
      <c r="T19" s="2006" t="s">
        <v>2079</v>
      </c>
      <c r="U19" s="2004"/>
      <c r="V19" s="2004"/>
      <c r="W19" s="2005"/>
      <c r="X19" s="2021" t="s">
        <v>2080</v>
      </c>
      <c r="Y19" s="2022"/>
      <c r="Z19" s="2019">
        <v>62226</v>
      </c>
      <c r="AA19" s="20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3" t="s">
        <v>2092</v>
      </c>
      <c r="B21" s="2004"/>
      <c r="C21" s="2004"/>
      <c r="D21" s="2004"/>
      <c r="E21" s="2004"/>
      <c r="F21" s="2004"/>
      <c r="G21" s="2004"/>
      <c r="H21" s="2005"/>
      <c r="I21" s="2029" t="s">
        <v>699</v>
      </c>
      <c r="J21" s="1992"/>
      <c r="K21" s="1992"/>
      <c r="L21" s="1992"/>
      <c r="M21" s="1992"/>
      <c r="N21" s="1992"/>
      <c r="O21" s="1992"/>
      <c r="P21" s="1992"/>
      <c r="Q21" s="1992"/>
      <c r="R21" s="1992"/>
      <c r="S21" s="1993"/>
      <c r="T21" s="1971" t="s">
        <v>2081</v>
      </c>
      <c r="U21" s="1972"/>
      <c r="V21" s="1972"/>
      <c r="W21" s="1972"/>
      <c r="X21" s="1985" t="s">
        <v>2082</v>
      </c>
      <c r="Y21" s="1986"/>
      <c r="Z21" s="1986"/>
      <c r="AA21" s="1987"/>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60" t="s">
        <v>1385</v>
      </c>
      <c r="Z22" s="45"/>
      <c r="AA22" s="46"/>
    </row>
    <row r="23" spans="1:27" ht="13.5" customHeight="1" x14ac:dyDescent="0.2">
      <c r="A23" s="2026" t="s">
        <v>2093</v>
      </c>
      <c r="B23" s="2027"/>
      <c r="C23" s="2027"/>
      <c r="D23" s="2027"/>
      <c r="E23" s="2027"/>
      <c r="F23" s="2027"/>
      <c r="G23" s="2027"/>
      <c r="H23" s="2028"/>
      <c r="T23" s="1966" t="s">
        <v>2084</v>
      </c>
      <c r="U23" s="1967"/>
      <c r="V23" s="1967"/>
      <c r="W23" s="1967"/>
      <c r="X23" s="1982">
        <v>43434</v>
      </c>
      <c r="Y23" s="1983"/>
      <c r="Z23" s="1983"/>
      <c r="AA23" s="1984"/>
    </row>
    <row r="24" spans="1:27" ht="14.1" customHeight="1" x14ac:dyDescent="0.2">
      <c r="A24" s="88" t="s">
        <v>698</v>
      </c>
      <c r="B24" s="49"/>
      <c r="C24" s="49"/>
      <c r="D24" s="49"/>
      <c r="E24" s="49"/>
      <c r="F24" s="49"/>
      <c r="G24" s="49"/>
      <c r="H24" s="61"/>
      <c r="J24" s="2069">
        <f>IF(B5="x",IF(AUDITCHECK!D29="AFR form Incomplete.","",IF(AUDITCHECK!D29="Deficit reduction plan is required.","School District must complete a deficit reduction plan in the 2018-2019 Budget",)),"")</f>
        <v>0</v>
      </c>
      <c r="K24" s="2069"/>
      <c r="L24" s="2069"/>
      <c r="M24" s="2069"/>
      <c r="N24" s="2069"/>
      <c r="O24" s="2069"/>
      <c r="P24" s="2069"/>
      <c r="Q24" s="2069"/>
      <c r="R24" s="2069"/>
      <c r="S24" s="2070"/>
      <c r="T24" s="105" t="s">
        <v>552</v>
      </c>
      <c r="U24" s="106"/>
      <c r="V24" s="106"/>
      <c r="W24" s="106"/>
      <c r="X24" s="107"/>
      <c r="Y24" s="107"/>
      <c r="Z24" s="107"/>
      <c r="AA24" s="108"/>
    </row>
    <row r="25" spans="1:27" ht="14.1" customHeight="1" x14ac:dyDescent="0.2">
      <c r="A25" s="2003">
        <v>62293</v>
      </c>
      <c r="B25" s="2004"/>
      <c r="C25" s="2004"/>
      <c r="D25" s="2004"/>
      <c r="E25" s="2004"/>
      <c r="F25" s="2004"/>
      <c r="G25" s="2004"/>
      <c r="H25" s="2005"/>
      <c r="I25" s="113"/>
      <c r="J25" s="2071"/>
      <c r="K25" s="2071"/>
      <c r="L25" s="2071"/>
      <c r="M25" s="2071"/>
      <c r="N25" s="2071"/>
      <c r="O25" s="2071"/>
      <c r="P25" s="2071"/>
      <c r="Q25" s="2071"/>
      <c r="R25" s="2071"/>
      <c r="S25" s="2072"/>
      <c r="T25" s="1963" t="s">
        <v>2083</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2" t="s">
        <v>1591</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2075</v>
      </c>
      <c r="K29" s="28" t="s">
        <v>597</v>
      </c>
      <c r="L29" s="148"/>
      <c r="M29" s="40" t="s">
        <v>101</v>
      </c>
      <c r="N29" s="32" t="s">
        <v>1604</v>
      </c>
      <c r="O29" s="32"/>
      <c r="P29" s="32"/>
      <c r="Q29" s="32"/>
      <c r="R29" s="32"/>
      <c r="S29" s="123"/>
      <c r="T29" s="6"/>
      <c r="U29" s="6"/>
      <c r="V29" s="6"/>
      <c r="W29" s="6"/>
      <c r="X29" s="6"/>
      <c r="Y29" s="6"/>
      <c r="Z29" s="6"/>
      <c r="AA29" s="132"/>
    </row>
    <row r="30" spans="1:27" ht="13.5" customHeight="1" x14ac:dyDescent="0.2">
      <c r="A30" s="153"/>
      <c r="B30" s="136" t="s">
        <v>2075</v>
      </c>
      <c r="C30" s="124" t="s">
        <v>1226</v>
      </c>
      <c r="D30" s="28"/>
      <c r="E30" s="28"/>
      <c r="F30" s="140"/>
      <c r="G30" s="114"/>
      <c r="H30" s="114"/>
      <c r="I30" s="54"/>
      <c r="J30" s="148" t="s">
        <v>2075</v>
      </c>
      <c r="K30" s="28" t="s">
        <v>597</v>
      </c>
      <c r="L30" s="148"/>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2075</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2075</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6" t="s">
        <v>2094</v>
      </c>
      <c r="B38" s="2037"/>
      <c r="C38" s="2037"/>
      <c r="D38" s="2037"/>
      <c r="E38" s="2037"/>
      <c r="F38" s="2004"/>
      <c r="G38" s="2004"/>
      <c r="H38" s="2005"/>
      <c r="I38" s="2056"/>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60" t="s">
        <v>552</v>
      </c>
      <c r="B39" s="2061"/>
      <c r="C39" s="72"/>
      <c r="D39" s="69"/>
      <c r="E39" s="69"/>
      <c r="F39" s="79"/>
      <c r="G39" s="69"/>
      <c r="H39" s="56"/>
      <c r="I39" s="2060" t="s">
        <v>552</v>
      </c>
      <c r="J39" s="2061"/>
      <c r="K39" s="2061"/>
      <c r="L39" s="2061"/>
      <c r="M39" s="2061"/>
      <c r="N39" s="67"/>
      <c r="O39" s="72"/>
      <c r="P39" s="72"/>
      <c r="Q39" s="78"/>
      <c r="R39" s="72"/>
      <c r="S39" s="56"/>
      <c r="T39" s="72" t="s">
        <v>552</v>
      </c>
      <c r="U39" s="51"/>
      <c r="V39" s="72"/>
      <c r="W39" s="50"/>
      <c r="X39" s="78"/>
      <c r="Y39" s="45"/>
      <c r="Z39" s="45"/>
      <c r="AA39" s="46"/>
    </row>
    <row r="40" spans="1:27" ht="13.5" customHeight="1" x14ac:dyDescent="0.2">
      <c r="A40" s="2063" t="s">
        <v>2093</v>
      </c>
      <c r="B40" s="2064"/>
      <c r="C40" s="2065"/>
      <c r="D40" s="2065"/>
      <c r="E40" s="2065"/>
      <c r="F40" s="2066"/>
      <c r="G40" s="2066"/>
      <c r="H40" s="2067"/>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3" t="s">
        <v>2095</v>
      </c>
      <c r="B42" s="2054"/>
      <c r="C42" s="2055"/>
      <c r="D42" s="2068" t="s">
        <v>2096</v>
      </c>
      <c r="E42" s="2054"/>
      <c r="F42" s="2054"/>
      <c r="G42" s="2054"/>
      <c r="H42" s="2055"/>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7"/>
      <c r="B44" s="2058"/>
      <c r="C44" s="2058"/>
      <c r="D44" s="2058"/>
      <c r="E44" s="2058"/>
      <c r="F44" s="2058"/>
      <c r="G44" s="2058"/>
      <c r="H44" s="2059"/>
      <c r="I44" s="2049"/>
      <c r="J44" s="2051"/>
      <c r="K44" s="2051"/>
      <c r="L44" s="2051"/>
      <c r="M44" s="2051"/>
      <c r="N44" s="2051"/>
      <c r="O44" s="2051"/>
      <c r="P44" s="2051"/>
      <c r="Q44" s="2051"/>
      <c r="R44" s="2051"/>
      <c r="S44" s="2052"/>
      <c r="T44" s="2049"/>
      <c r="U44" s="2050"/>
      <c r="V44" s="2050"/>
      <c r="W44" s="2050"/>
      <c r="X44" s="2050"/>
      <c r="Y44" s="2050"/>
      <c r="Z44" s="2051"/>
      <c r="AA44" s="205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&amp;L&amp;8See Notes to Financial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6" t="s">
        <v>1903</v>
      </c>
      <c r="B2" s="1549" t="s">
        <v>2035</v>
      </c>
      <c r="C2" s="715" t="s">
        <v>1908</v>
      </c>
      <c r="D2" s="715" t="s">
        <v>1909</v>
      </c>
      <c r="E2" s="715" t="s">
        <v>1910</v>
      </c>
      <c r="F2" s="715" t="s">
        <v>1911</v>
      </c>
    </row>
    <row r="3" spans="1:6" ht="12" customHeight="1" x14ac:dyDescent="0.2">
      <c r="A3" s="2207"/>
      <c r="B3" s="1546"/>
      <c r="C3" s="1547"/>
      <c r="D3" s="1548" t="s">
        <v>274</v>
      </c>
      <c r="E3" s="1547"/>
      <c r="F3" s="1548" t="s">
        <v>275</v>
      </c>
    </row>
    <row r="4" spans="1:6" ht="13.7" customHeight="1" x14ac:dyDescent="0.2">
      <c r="A4" s="716" t="s">
        <v>1217</v>
      </c>
      <c r="B4" s="1770">
        <f>'Revenues 9-14'!C5</f>
        <v>3040981</v>
      </c>
      <c r="C4" s="1545"/>
      <c r="D4" s="1773">
        <f>B4-C4</f>
        <v>3040981</v>
      </c>
      <c r="E4" s="1545">
        <f>1309+3143003</f>
        <v>3144312</v>
      </c>
      <c r="F4" s="1773">
        <f>E4-C4</f>
        <v>3144312</v>
      </c>
    </row>
    <row r="5" spans="1:6" ht="13.7" customHeight="1" x14ac:dyDescent="0.2">
      <c r="A5" s="716" t="s">
        <v>925</v>
      </c>
      <c r="B5" s="1771">
        <f>'Revenues 9-14'!D5</f>
        <v>678791</v>
      </c>
      <c r="C5" s="585"/>
      <c r="D5" s="1774">
        <f t="shared" ref="D5:D18" si="0">B5-C5</f>
        <v>678791</v>
      </c>
      <c r="E5" s="585">
        <f>292+701563</f>
        <v>701855</v>
      </c>
      <c r="F5" s="1774">
        <f>E5-C5</f>
        <v>701855</v>
      </c>
    </row>
    <row r="6" spans="1:6" ht="13.7" customHeight="1" x14ac:dyDescent="0.2">
      <c r="A6" s="716" t="s">
        <v>431</v>
      </c>
      <c r="B6" s="1771">
        <f>'Revenues 9-14'!E5</f>
        <v>928241</v>
      </c>
      <c r="C6" s="585"/>
      <c r="D6" s="1774">
        <f t="shared" si="0"/>
        <v>928241</v>
      </c>
      <c r="E6" s="585">
        <f>362+843055</f>
        <v>843417</v>
      </c>
      <c r="F6" s="1774">
        <f t="shared" ref="F6:F18" si="1">E6-C6</f>
        <v>843417</v>
      </c>
    </row>
    <row r="7" spans="1:6" ht="13.7" customHeight="1" x14ac:dyDescent="0.2">
      <c r="A7" s="716" t="s">
        <v>157</v>
      </c>
      <c r="B7" s="1771">
        <f>'Revenues 9-14'!F5</f>
        <v>271516</v>
      </c>
      <c r="C7" s="585"/>
      <c r="D7" s="1774">
        <f t="shared" si="0"/>
        <v>271516</v>
      </c>
      <c r="E7" s="585">
        <f>117+280625</f>
        <v>280742</v>
      </c>
      <c r="F7" s="1774">
        <f t="shared" si="1"/>
        <v>280742</v>
      </c>
    </row>
    <row r="8" spans="1:6" ht="13.7" customHeight="1" x14ac:dyDescent="0.2">
      <c r="A8" s="716" t="s">
        <v>1241</v>
      </c>
      <c r="B8" s="1771">
        <f>'Revenues 9-14'!G5</f>
        <v>219731</v>
      </c>
      <c r="C8" s="585"/>
      <c r="D8" s="1774">
        <f t="shared" si="0"/>
        <v>219731</v>
      </c>
      <c r="E8" s="585">
        <f>99+229902</f>
        <v>230001</v>
      </c>
      <c r="F8" s="1774">
        <f t="shared" si="1"/>
        <v>230001</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67879</v>
      </c>
      <c r="C10" s="585"/>
      <c r="D10" s="1774">
        <f t="shared" si="0"/>
        <v>67879</v>
      </c>
      <c r="E10" s="585">
        <f>29+70157</f>
        <v>70186</v>
      </c>
      <c r="F10" s="1774">
        <f t="shared" si="1"/>
        <v>70186</v>
      </c>
    </row>
    <row r="11" spans="1:6" x14ac:dyDescent="0.2">
      <c r="A11" s="716" t="s">
        <v>429</v>
      </c>
      <c r="B11" s="1771">
        <f>'Revenues 9-14'!J5</f>
        <v>599256</v>
      </c>
      <c r="C11" s="585"/>
      <c r="D11" s="1774">
        <f t="shared" si="0"/>
        <v>599256</v>
      </c>
      <c r="E11" s="585">
        <f>279+649732</f>
        <v>650011</v>
      </c>
      <c r="F11" s="1774">
        <f t="shared" si="1"/>
        <v>650011</v>
      </c>
    </row>
    <row r="12" spans="1:6" ht="13.7" customHeight="1" x14ac:dyDescent="0.2">
      <c r="A12" s="716" t="s">
        <v>159</v>
      </c>
      <c r="B12" s="1771">
        <f>'Revenues 9-14'!K5</f>
        <v>67879</v>
      </c>
      <c r="C12" s="585"/>
      <c r="D12" s="1774">
        <f t="shared" si="0"/>
        <v>67879</v>
      </c>
      <c r="E12" s="585">
        <f>29+70157</f>
        <v>70186</v>
      </c>
      <c r="F12" s="1774">
        <f t="shared" si="1"/>
        <v>70186</v>
      </c>
    </row>
    <row r="13" spans="1:6" ht="13.7" customHeight="1" x14ac:dyDescent="0.2">
      <c r="A13" s="716" t="s">
        <v>993</v>
      </c>
      <c r="B13" s="1771">
        <f>SUM('Revenues 9-14'!C6:D6)</f>
        <v>67879</v>
      </c>
      <c r="C13" s="585"/>
      <c r="D13" s="1774">
        <f t="shared" si="0"/>
        <v>67879</v>
      </c>
      <c r="E13" s="585">
        <f>29+70157</f>
        <v>70186</v>
      </c>
      <c r="F13" s="1774">
        <f t="shared" si="1"/>
        <v>70186</v>
      </c>
    </row>
    <row r="14" spans="1:6" ht="13.7" customHeight="1" x14ac:dyDescent="0.2">
      <c r="A14" s="716" t="s">
        <v>430</v>
      </c>
      <c r="B14" s="1771">
        <f>SUM('Revenues 9-14'!C7:D7,'Revenues 9-14'!F7:H7)</f>
        <v>54303</v>
      </c>
      <c r="C14" s="585"/>
      <c r="D14" s="1774">
        <f t="shared" si="0"/>
        <v>54303</v>
      </c>
      <c r="E14" s="585">
        <f>23+56125</f>
        <v>56148</v>
      </c>
      <c r="F14" s="1774">
        <f t="shared" si="1"/>
        <v>56148</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209739</v>
      </c>
      <c r="C16" s="585"/>
      <c r="D16" s="1774">
        <f t="shared" si="0"/>
        <v>209739</v>
      </c>
      <c r="E16" s="585">
        <f>95+219912</f>
        <v>220007</v>
      </c>
      <c r="F16" s="1774">
        <f t="shared" si="1"/>
        <v>220007</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6206195</v>
      </c>
      <c r="C19" s="1772">
        <f>SUM(C4:C18)</f>
        <v>0</v>
      </c>
      <c r="D19" s="1772">
        <f>SUM(D4:D18)</f>
        <v>6206195</v>
      </c>
      <c r="E19" s="1772">
        <f>SUM(E4:E18)</f>
        <v>6337051</v>
      </c>
      <c r="F19" s="1772">
        <f>SUM(F4:F18)</f>
        <v>6337051</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650</v>
      </c>
      <c r="B1" s="2213"/>
      <c r="C1" s="722"/>
    </row>
    <row r="2" spans="1:7" ht="33.75" x14ac:dyDescent="0.2">
      <c r="A2" s="2221" t="s">
        <v>1903</v>
      </c>
      <c r="B2" s="2222"/>
      <c r="C2" s="1907" t="s">
        <v>2036</v>
      </c>
      <c r="D2" s="724" t="s">
        <v>2043</v>
      </c>
      <c r="E2" s="724" t="s">
        <v>2044</v>
      </c>
      <c r="F2" s="1907" t="s">
        <v>2037</v>
      </c>
    </row>
    <row r="3" spans="1:7" ht="15.75" customHeight="1" x14ac:dyDescent="0.2">
      <c r="A3" s="2225" t="s">
        <v>1176</v>
      </c>
      <c r="B3" s="2226"/>
      <c r="C3" s="2214"/>
      <c r="D3" s="2215"/>
      <c r="E3" s="2215"/>
      <c r="F3" s="2216"/>
    </row>
    <row r="4" spans="1:7" ht="12.75" customHeight="1" thickBot="1" x14ac:dyDescent="0.25">
      <c r="A4" s="2223" t="s">
        <v>651</v>
      </c>
      <c r="B4" s="2224"/>
      <c r="C4" s="581"/>
      <c r="D4" s="581"/>
      <c r="E4" s="581"/>
      <c r="F4" s="1776">
        <f>SUM(C4+D4)-E4</f>
        <v>0</v>
      </c>
    </row>
    <row r="5" spans="1:7" ht="15.75" customHeight="1" thickTop="1" x14ac:dyDescent="0.2">
      <c r="A5" s="2208" t="s">
        <v>1172</v>
      </c>
      <c r="B5" s="2209"/>
      <c r="C5" s="2217"/>
      <c r="D5" s="2218"/>
      <c r="E5" s="2218"/>
      <c r="F5" s="2219"/>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0" t="s">
        <v>652</v>
      </c>
      <c r="B15" s="2211"/>
      <c r="C15" s="1776">
        <f>SUM(C6:C14)</f>
        <v>0</v>
      </c>
      <c r="D15" s="1776">
        <f>SUM(D6:D14)</f>
        <v>0</v>
      </c>
      <c r="E15" s="1776">
        <f>SUM(E6:E14)</f>
        <v>0</v>
      </c>
      <c r="F15" s="1776">
        <f>SUM(F6:F14)</f>
        <v>0</v>
      </c>
      <c r="G15" s="552"/>
    </row>
    <row r="16" spans="1:7" s="202" customFormat="1" ht="15.75" customHeight="1" thickTop="1" x14ac:dyDescent="0.2">
      <c r="A16" s="2220" t="s">
        <v>1173</v>
      </c>
      <c r="B16" s="2209"/>
      <c r="C16" s="2217"/>
      <c r="D16" s="2218"/>
      <c r="E16" s="2218"/>
      <c r="F16" s="2219"/>
    </row>
    <row r="17" spans="1:11" ht="12.75" customHeight="1" thickBot="1" x14ac:dyDescent="0.25">
      <c r="A17" s="2233" t="s">
        <v>66</v>
      </c>
      <c r="B17" s="2234"/>
      <c r="C17" s="727"/>
      <c r="D17" s="585"/>
      <c r="E17" s="727"/>
      <c r="F17" s="1776">
        <f>SUM(C17+D17)-E17</f>
        <v>0</v>
      </c>
    </row>
    <row r="18" spans="1:11" ht="12.75" customHeight="1" thickTop="1" thickBot="1" x14ac:dyDescent="0.25">
      <c r="A18" s="2233" t="s">
        <v>6</v>
      </c>
      <c r="B18" s="2234"/>
      <c r="C18" s="727"/>
      <c r="D18" s="585"/>
      <c r="E18" s="727"/>
      <c r="F18" s="1776">
        <f>SUM(C18+D18)-E18</f>
        <v>0</v>
      </c>
    </row>
    <row r="19" spans="1:11" ht="12.75" customHeight="1" thickTop="1" thickBot="1" x14ac:dyDescent="0.25">
      <c r="A19" s="2233" t="s">
        <v>406</v>
      </c>
      <c r="B19" s="2234"/>
      <c r="C19" s="727"/>
      <c r="D19" s="585"/>
      <c r="E19" s="727"/>
      <c r="F19" s="1776">
        <f>SUM(C19+D19)-E19</f>
        <v>0</v>
      </c>
    </row>
    <row r="20" spans="1:11" ht="12.75" customHeight="1" thickTop="1" thickBot="1" x14ac:dyDescent="0.25">
      <c r="A20" s="2233" t="s">
        <v>468</v>
      </c>
      <c r="B20" s="2234"/>
      <c r="C20" s="727"/>
      <c r="D20" s="585"/>
      <c r="E20" s="727"/>
      <c r="F20" s="1776">
        <f>SUM(C20+D20)-E20</f>
        <v>0</v>
      </c>
    </row>
    <row r="21" spans="1:11" ht="14.25" thickTop="1" thickBot="1" x14ac:dyDescent="0.25">
      <c r="A21" s="2210" t="s">
        <v>653</v>
      </c>
      <c r="B21" s="2211"/>
      <c r="C21" s="1776">
        <f>SUM(C17:C20)</f>
        <v>0</v>
      </c>
      <c r="D21" s="1776">
        <f>SUM(D17:D20)</f>
        <v>0</v>
      </c>
      <c r="E21" s="1776">
        <f>SUM(E17:E20)</f>
        <v>0</v>
      </c>
      <c r="F21" s="1776">
        <f>SUM(F17:F20)</f>
        <v>0</v>
      </c>
      <c r="G21" s="552"/>
    </row>
    <row r="22" spans="1:11" ht="15.75" customHeight="1" thickTop="1" x14ac:dyDescent="0.2">
      <c r="A22" s="2235" t="s">
        <v>1174</v>
      </c>
      <c r="B22" s="2209"/>
      <c r="C22" s="2217"/>
      <c r="D22" s="2218"/>
      <c r="E22" s="2218"/>
      <c r="F22" s="2219"/>
    </row>
    <row r="23" spans="1:11" ht="13.5" thickBot="1" x14ac:dyDescent="0.25">
      <c r="A23" s="2223" t="s">
        <v>654</v>
      </c>
      <c r="B23" s="2224"/>
      <c r="C23" s="581"/>
      <c r="D23" s="581"/>
      <c r="E23" s="581"/>
      <c r="F23" s="1776">
        <f>SUM(C23+D23)-E23</f>
        <v>0</v>
      </c>
      <c r="G23" s="552"/>
    </row>
    <row r="24" spans="1:11" ht="15.75" customHeight="1" thickTop="1" x14ac:dyDescent="0.2">
      <c r="A24" s="2235" t="s">
        <v>1175</v>
      </c>
      <c r="B24" s="2209"/>
      <c r="C24" s="2217"/>
      <c r="D24" s="2218"/>
      <c r="E24" s="2218"/>
      <c r="F24" s="2219"/>
    </row>
    <row r="25" spans="1:11" ht="13.5" thickBot="1" x14ac:dyDescent="0.25">
      <c r="A25" s="2223" t="s">
        <v>655</v>
      </c>
      <c r="B25" s="2224"/>
      <c r="C25" s="581"/>
      <c r="D25" s="581"/>
      <c r="E25" s="581"/>
      <c r="F25" s="1776">
        <f>SUM(C25+D25)-E25</f>
        <v>0</v>
      </c>
      <c r="G25" s="552"/>
    </row>
    <row r="26" spans="1:11" ht="15.75" customHeight="1" thickTop="1" x14ac:dyDescent="0.2">
      <c r="A26" s="2208" t="s">
        <v>678</v>
      </c>
      <c r="B26" s="2209"/>
      <c r="C26" s="728"/>
      <c r="D26" s="728"/>
      <c r="E26" s="728"/>
      <c r="F26" s="729"/>
    </row>
    <row r="27" spans="1:11" ht="13.5" thickBot="1" x14ac:dyDescent="0.25">
      <c r="A27" s="2210" t="s">
        <v>1130</v>
      </c>
      <c r="B27" s="2211"/>
      <c r="C27" s="585"/>
      <c r="D27" s="585"/>
      <c r="E27" s="585"/>
      <c r="F27" s="1776">
        <f>SUM(C27+D27)-E27</f>
        <v>0</v>
      </c>
      <c r="G27" s="552"/>
    </row>
    <row r="28" spans="1:11" ht="7.5" customHeight="1" thickTop="1" x14ac:dyDescent="0.2">
      <c r="A28" s="594"/>
    </row>
    <row r="29" spans="1:11" ht="23.25" customHeight="1" x14ac:dyDescent="0.2">
      <c r="A29" s="2236" t="s">
        <v>603</v>
      </c>
      <c r="B29" s="2213"/>
      <c r="C29" s="730"/>
      <c r="D29" s="730"/>
      <c r="E29" s="730"/>
      <c r="F29" s="730"/>
      <c r="G29" s="730"/>
      <c r="H29" s="730"/>
      <c r="I29" s="730"/>
      <c r="J29" s="730"/>
    </row>
    <row r="30" spans="1:11" ht="33.75" x14ac:dyDescent="0.2">
      <c r="A30" s="1550" t="s">
        <v>1131</v>
      </c>
      <c r="B30" s="731" t="s">
        <v>1186</v>
      </c>
      <c r="C30" s="1908" t="s">
        <v>604</v>
      </c>
      <c r="D30" s="1908" t="s">
        <v>1772</v>
      </c>
      <c r="E30" s="1908" t="s">
        <v>2038</v>
      </c>
      <c r="F30" s="1908" t="s">
        <v>2039</v>
      </c>
      <c r="G30" s="1908" t="s">
        <v>2042</v>
      </c>
      <c r="H30" s="1908" t="s">
        <v>2040</v>
      </c>
      <c r="I30" s="1908" t="s">
        <v>2041</v>
      </c>
      <c r="J30" s="1909" t="s">
        <v>2</v>
      </c>
      <c r="K30" s="732"/>
    </row>
    <row r="31" spans="1:11" ht="12" customHeight="1" x14ac:dyDescent="0.2">
      <c r="A31" s="733" t="s">
        <v>2141</v>
      </c>
      <c r="B31" s="734">
        <v>41030</v>
      </c>
      <c r="C31" s="735">
        <v>9600000</v>
      </c>
      <c r="D31" s="736">
        <v>6</v>
      </c>
      <c r="E31" s="735">
        <v>8845000</v>
      </c>
      <c r="F31" s="735"/>
      <c r="G31" s="735"/>
      <c r="H31" s="735">
        <v>310000</v>
      </c>
      <c r="I31" s="1777">
        <f>((E31+F31)-H31)+G31</f>
        <v>8535000</v>
      </c>
      <c r="J31" s="735">
        <f>8535000-((8535000/9505000)*2931)</f>
        <v>8532368.1130983699</v>
      </c>
      <c r="K31" s="737"/>
    </row>
    <row r="32" spans="1:11" ht="12" customHeight="1" x14ac:dyDescent="0.2">
      <c r="A32" s="733" t="s">
        <v>2142</v>
      </c>
      <c r="B32" s="734">
        <v>42429</v>
      </c>
      <c r="C32" s="735">
        <v>1525000</v>
      </c>
      <c r="D32" s="736">
        <v>4</v>
      </c>
      <c r="E32" s="735">
        <v>1255000</v>
      </c>
      <c r="F32" s="735"/>
      <c r="G32" s="735"/>
      <c r="H32" s="735">
        <v>285000</v>
      </c>
      <c r="I32" s="1777">
        <f>((E32+F32)-H32)+G32</f>
        <v>970000</v>
      </c>
      <c r="J32" s="735">
        <f>970000-((970000/9505000)*2931)</f>
        <v>969700.88690163067</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11125000</v>
      </c>
      <c r="D49" s="746"/>
      <c r="E49" s="1777">
        <f t="shared" ref="E49:J49" si="2">SUM(E31:E48)</f>
        <v>10100000</v>
      </c>
      <c r="F49" s="1777">
        <f t="shared" si="2"/>
        <v>0</v>
      </c>
      <c r="G49" s="1777">
        <f t="shared" si="2"/>
        <v>0</v>
      </c>
      <c r="H49" s="1777">
        <f t="shared" si="2"/>
        <v>595000</v>
      </c>
      <c r="I49" s="1777">
        <f t="shared" si="2"/>
        <v>9505000</v>
      </c>
      <c r="J49" s="1777">
        <f t="shared" si="2"/>
        <v>9502069</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27" t="s">
        <v>605</v>
      </c>
      <c r="C52" s="2228"/>
      <c r="D52" s="2228"/>
      <c r="E52" s="750" t="s">
        <v>900</v>
      </c>
      <c r="F52" s="2229"/>
      <c r="G52" s="2230"/>
      <c r="H52" s="737"/>
      <c r="I52" s="737"/>
      <c r="J52" s="747"/>
    </row>
    <row r="53" spans="1:11" ht="11.25" customHeight="1" x14ac:dyDescent="0.2">
      <c r="A53" s="751" t="s">
        <v>969</v>
      </c>
      <c r="B53" s="752" t="s">
        <v>1008</v>
      </c>
      <c r="C53" s="747"/>
      <c r="D53" s="738"/>
      <c r="E53" s="750" t="s">
        <v>518</v>
      </c>
      <c r="F53" s="2231"/>
      <c r="G53" s="2232"/>
      <c r="H53" s="737"/>
      <c r="I53" s="737"/>
      <c r="J53" s="747"/>
    </row>
    <row r="54" spans="1:11" ht="11.25" customHeight="1" x14ac:dyDescent="0.2">
      <c r="A54" s="753" t="s">
        <v>970</v>
      </c>
      <c r="B54" s="748" t="s">
        <v>1009</v>
      </c>
      <c r="C54" s="747"/>
      <c r="D54" s="738"/>
      <c r="E54" s="750" t="s">
        <v>519</v>
      </c>
      <c r="F54" s="2231"/>
      <c r="G54" s="223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4" sqref="K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1" t="s">
        <v>911</v>
      </c>
      <c r="B1" s="2262"/>
      <c r="C1" s="2262"/>
      <c r="D1" s="2262"/>
      <c r="E1" s="2262"/>
      <c r="F1" s="2262"/>
      <c r="G1" s="2263"/>
      <c r="H1" s="1551"/>
      <c r="I1" s="761"/>
      <c r="J1" s="433"/>
    </row>
    <row r="2" spans="1:11" ht="26.25" x14ac:dyDescent="0.2">
      <c r="A2" s="2240" t="s">
        <v>1776</v>
      </c>
      <c r="B2" s="2241"/>
      <c r="C2" s="2241"/>
      <c r="D2" s="2241"/>
      <c r="E2" s="2242"/>
      <c r="F2" s="762" t="s">
        <v>960</v>
      </c>
      <c r="G2" s="763" t="s">
        <v>1773</v>
      </c>
      <c r="H2" s="763" t="s">
        <v>430</v>
      </c>
      <c r="I2" s="763" t="s">
        <v>1220</v>
      </c>
      <c r="J2" s="763" t="s">
        <v>1917</v>
      </c>
      <c r="K2" s="763" t="s">
        <v>140</v>
      </c>
    </row>
    <row r="3" spans="1:11" x14ac:dyDescent="0.2">
      <c r="A3" s="2243" t="s">
        <v>1698</v>
      </c>
      <c r="B3" s="2244"/>
      <c r="C3" s="2244"/>
      <c r="D3" s="2244"/>
      <c r="E3" s="2245"/>
      <c r="F3" s="764"/>
      <c r="G3" s="765"/>
      <c r="H3" s="765">
        <v>0</v>
      </c>
      <c r="I3" s="765"/>
      <c r="J3" s="766"/>
      <c r="K3" s="766">
        <v>0</v>
      </c>
    </row>
    <row r="4" spans="1:11" x14ac:dyDescent="0.2">
      <c r="A4" s="2246" t="s">
        <v>387</v>
      </c>
      <c r="B4" s="2247"/>
      <c r="C4" s="2247"/>
      <c r="D4" s="2247"/>
      <c r="E4" s="2228"/>
      <c r="F4" s="767"/>
      <c r="G4" s="768"/>
      <c r="H4" s="769"/>
      <c r="I4" s="768"/>
      <c r="J4" s="770"/>
      <c r="K4" s="770"/>
    </row>
    <row r="5" spans="1:11" x14ac:dyDescent="0.2">
      <c r="A5" s="2264" t="s">
        <v>1129</v>
      </c>
      <c r="B5" s="2237"/>
      <c r="C5" s="2237"/>
      <c r="D5" s="2237"/>
      <c r="E5" s="2265"/>
      <c r="F5" s="771" t="s">
        <v>903</v>
      </c>
      <c r="G5" s="772"/>
      <c r="H5" s="765">
        <v>54303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10532</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18207</v>
      </c>
    </row>
    <row r="10" spans="1:11" x14ac:dyDescent="0.2">
      <c r="A10" s="2264" t="s">
        <v>1918</v>
      </c>
      <c r="B10" s="2237"/>
      <c r="C10" s="2237"/>
      <c r="D10" s="2237"/>
      <c r="E10" s="2266"/>
      <c r="F10" s="784" t="s">
        <v>917</v>
      </c>
      <c r="G10" s="783"/>
      <c r="H10" s="785"/>
      <c r="I10" s="765"/>
      <c r="J10" s="766"/>
      <c r="K10" s="766"/>
    </row>
    <row r="11" spans="1:11" x14ac:dyDescent="0.2">
      <c r="A11" s="2264" t="s">
        <v>162</v>
      </c>
      <c r="B11" s="2237"/>
      <c r="C11" s="2237"/>
      <c r="D11" s="2237"/>
      <c r="E11" s="2265"/>
      <c r="F11" s="771" t="s">
        <v>907</v>
      </c>
      <c r="G11" s="772"/>
      <c r="H11" s="765"/>
      <c r="I11" s="765"/>
      <c r="J11" s="766"/>
      <c r="K11" s="774"/>
    </row>
    <row r="12" spans="1:11" ht="13.5" thickBot="1" x14ac:dyDescent="0.25">
      <c r="A12" s="2254" t="s">
        <v>961</v>
      </c>
      <c r="B12" s="2255"/>
      <c r="C12" s="2255"/>
      <c r="D12" s="2255"/>
      <c r="E12" s="2256"/>
      <c r="F12" s="1778"/>
      <c r="G12" s="1779">
        <f>SUM(G5:G11)</f>
        <v>0</v>
      </c>
      <c r="H12" s="1779">
        <f>SUM(H5:H11)</f>
        <v>54303</v>
      </c>
      <c r="I12" s="1779">
        <f>SUM(I5:I11)</f>
        <v>0</v>
      </c>
      <c r="J12" s="1779">
        <f>SUM(J5:J11)</f>
        <v>0</v>
      </c>
      <c r="K12" s="1779">
        <f>SUM(K5:K11)</f>
        <v>28739</v>
      </c>
    </row>
    <row r="13" spans="1:11" ht="13.5" thickTop="1" x14ac:dyDescent="0.2">
      <c r="A13" s="2248" t="s">
        <v>388</v>
      </c>
      <c r="B13" s="2249"/>
      <c r="C13" s="2249"/>
      <c r="D13" s="2249"/>
      <c r="E13" s="2250"/>
      <c r="F13" s="786"/>
      <c r="G13" s="787"/>
      <c r="H13" s="788"/>
      <c r="I13" s="789"/>
      <c r="J13" s="789"/>
      <c r="K13" s="789"/>
    </row>
    <row r="14" spans="1:11" x14ac:dyDescent="0.2">
      <c r="A14" s="2270" t="s">
        <v>476</v>
      </c>
      <c r="B14" s="2270"/>
      <c r="C14" s="2270"/>
      <c r="D14" s="2270"/>
      <c r="E14" s="2271"/>
      <c r="F14" s="790" t="s">
        <v>909</v>
      </c>
      <c r="G14" s="783"/>
      <c r="H14" s="765">
        <v>54303</v>
      </c>
      <c r="I14" s="772"/>
      <c r="J14" s="774"/>
      <c r="K14" s="766">
        <v>28739</v>
      </c>
    </row>
    <row r="15" spans="1:11" x14ac:dyDescent="0.2">
      <c r="A15" s="2237" t="s">
        <v>4</v>
      </c>
      <c r="B15" s="2237"/>
      <c r="C15" s="2237"/>
      <c r="D15" s="2237"/>
      <c r="E15" s="2265"/>
      <c r="F15" s="790" t="s">
        <v>910</v>
      </c>
      <c r="G15" s="772"/>
      <c r="H15" s="765"/>
      <c r="I15" s="765"/>
      <c r="J15" s="766"/>
      <c r="K15" s="766"/>
    </row>
    <row r="16" spans="1:11" x14ac:dyDescent="0.2">
      <c r="A16" s="2237" t="s">
        <v>316</v>
      </c>
      <c r="B16" s="2237"/>
      <c r="C16" s="2237"/>
      <c r="D16" s="2237"/>
      <c r="E16" s="2265"/>
      <c r="F16" s="790" t="s">
        <v>980</v>
      </c>
      <c r="G16" s="773"/>
      <c r="H16" s="768"/>
      <c r="I16" s="768"/>
      <c r="J16" s="770"/>
      <c r="K16" s="770"/>
    </row>
    <row r="17" spans="1:11" x14ac:dyDescent="0.2">
      <c r="A17" s="2259" t="s">
        <v>992</v>
      </c>
      <c r="B17" s="2259"/>
      <c r="C17" s="2259"/>
      <c r="D17" s="2259"/>
      <c r="E17" s="2260"/>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72" t="s">
        <v>1914</v>
      </c>
      <c r="B19" s="2272"/>
      <c r="C19" s="2272"/>
      <c r="D19" s="2272"/>
      <c r="E19" s="2273"/>
      <c r="F19" s="790" t="s">
        <v>990</v>
      </c>
      <c r="G19" s="783"/>
      <c r="H19" s="783"/>
      <c r="I19" s="783"/>
      <c r="J19" s="766"/>
      <c r="K19" s="796"/>
    </row>
    <row r="20" spans="1:11" x14ac:dyDescent="0.2">
      <c r="A20" s="2251" t="s">
        <v>1919</v>
      </c>
      <c r="B20" s="2252"/>
      <c r="C20" s="2252"/>
      <c r="D20" s="2252"/>
      <c r="E20" s="2253"/>
      <c r="F20" s="790" t="s">
        <v>991</v>
      </c>
      <c r="G20" s="783"/>
      <c r="H20" s="783"/>
      <c r="I20" s="783"/>
      <c r="J20" s="766"/>
      <c r="K20" s="796"/>
    </row>
    <row r="21" spans="1:11" ht="13.5" thickBot="1" x14ac:dyDescent="0.25">
      <c r="A21" s="2257" t="s">
        <v>659</v>
      </c>
      <c r="B21" s="2257"/>
      <c r="C21" s="2257"/>
      <c r="D21" s="2257"/>
      <c r="E21" s="2257"/>
      <c r="F21" s="1780"/>
      <c r="G21" s="793"/>
      <c r="H21" s="797"/>
      <c r="I21" s="797"/>
      <c r="J21" s="1781">
        <f>SUM(J18:J20)</f>
        <v>0</v>
      </c>
      <c r="K21" s="794"/>
    </row>
    <row r="22" spans="1:11" ht="13.5" thickTop="1" x14ac:dyDescent="0.2">
      <c r="A22" s="2237" t="s">
        <v>1920</v>
      </c>
      <c r="B22" s="2237"/>
      <c r="C22" s="2237"/>
      <c r="D22" s="2237"/>
      <c r="E22" s="2265"/>
      <c r="F22" s="790" t="s">
        <v>917</v>
      </c>
      <c r="G22" s="783"/>
      <c r="H22" s="765"/>
      <c r="I22" s="765"/>
      <c r="J22" s="798"/>
      <c r="K22" s="766"/>
    </row>
    <row r="23" spans="1:11" ht="13.5" thickBot="1" x14ac:dyDescent="0.25">
      <c r="A23" s="2258" t="s">
        <v>962</v>
      </c>
      <c r="B23" s="2257"/>
      <c r="C23" s="2257"/>
      <c r="D23" s="2257"/>
      <c r="E23" s="2257"/>
      <c r="F23" s="1782"/>
      <c r="G23" s="1779">
        <f>SUM(G14:G16,G21,G22)</f>
        <v>0</v>
      </c>
      <c r="H23" s="1779">
        <f>SUM(H14:H16,H21,H22)</f>
        <v>54303</v>
      </c>
      <c r="I23" s="1779">
        <f>SUM(I14:I16,I21,I22)</f>
        <v>0</v>
      </c>
      <c r="J23" s="1779">
        <f>SUM(J14:J16,J21,J22)</f>
        <v>0</v>
      </c>
      <c r="K23" s="1779">
        <f>SUM(K14:K16,K21,K22)</f>
        <v>28739</v>
      </c>
    </row>
    <row r="24" spans="1:11" ht="14.25" thickTop="1" thickBot="1" x14ac:dyDescent="0.25">
      <c r="A24" s="2258" t="s">
        <v>2024</v>
      </c>
      <c r="B24" s="2257"/>
      <c r="C24" s="2257"/>
      <c r="D24" s="2257"/>
      <c r="E24" s="2257"/>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2034</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7"/>
      <c r="I31" s="2268"/>
      <c r="J31" s="2268"/>
      <c r="K31" s="2268"/>
    </row>
    <row r="32" spans="1:11" x14ac:dyDescent="0.2">
      <c r="A32" s="810"/>
      <c r="B32" s="237"/>
      <c r="C32" s="237"/>
      <c r="D32" s="237"/>
      <c r="E32" s="806"/>
      <c r="F32" s="812" t="s">
        <v>561</v>
      </c>
      <c r="G32" s="765"/>
      <c r="H32" s="2269"/>
      <c r="I32" s="2268"/>
      <c r="J32" s="2268"/>
      <c r="K32" s="2268"/>
    </row>
    <row r="33" spans="1:11" ht="1.5" customHeight="1" x14ac:dyDescent="0.2">
      <c r="A33" s="813" t="s">
        <v>1231</v>
      </c>
      <c r="B33" s="364"/>
      <c r="C33" s="364"/>
      <c r="D33" s="364"/>
      <c r="E33" s="364"/>
      <c r="F33" s="364"/>
      <c r="G33" s="814"/>
      <c r="H33" s="2269"/>
      <c r="I33" s="2268"/>
      <c r="J33" s="2268"/>
      <c r="K33" s="2268"/>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38"/>
      <c r="C41" s="2238"/>
      <c r="D41" s="2238"/>
      <c r="E41" s="2238"/>
      <c r="F41" s="223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1915</v>
      </c>
      <c r="B46" s="408" t="s">
        <v>1774</v>
      </c>
    </row>
    <row r="47" spans="1:11" s="824" customFormat="1" ht="12.75" customHeight="1" x14ac:dyDescent="0.2">
      <c r="A47" s="822"/>
      <c r="B47" s="823" t="s">
        <v>1775</v>
      </c>
      <c r="E47" s="823"/>
      <c r="K47" s="825"/>
    </row>
    <row r="48" spans="1:11" ht="12.75" customHeight="1" x14ac:dyDescent="0.2">
      <c r="A48" s="1553"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2033</v>
      </c>
      <c r="B1" s="2277"/>
      <c r="C1" s="2278"/>
      <c r="D1" s="827"/>
      <c r="E1" s="828"/>
      <c r="F1" s="828"/>
      <c r="G1" s="829"/>
      <c r="H1" s="830"/>
      <c r="I1" s="831"/>
      <c r="J1" s="2274"/>
      <c r="K1" s="2275"/>
      <c r="L1" s="2275"/>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509337</v>
      </c>
      <c r="D5" s="842"/>
      <c r="E5" s="842"/>
      <c r="F5" s="1781">
        <f>(C5+D5)-E5</f>
        <v>509337</v>
      </c>
      <c r="G5" s="838"/>
      <c r="H5" s="843"/>
      <c r="I5" s="843"/>
      <c r="J5" s="843"/>
      <c r="K5" s="794"/>
      <c r="L5" s="1790">
        <f>F5-K5</f>
        <v>509337</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36484393</v>
      </c>
      <c r="D8" s="845"/>
      <c r="E8" s="845"/>
      <c r="F8" s="1781">
        <f>(C8+D8)-E8</f>
        <v>36484393</v>
      </c>
      <c r="G8" s="844">
        <v>50</v>
      </c>
      <c r="H8" s="766">
        <v>4847661</v>
      </c>
      <c r="I8" s="766">
        <v>728972</v>
      </c>
      <c r="J8" s="766"/>
      <c r="K8" s="1790">
        <f>(H8+I8)-J8</f>
        <v>5576633</v>
      </c>
      <c r="L8" s="1790">
        <f>F8-K8</f>
        <v>30907760</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865261</v>
      </c>
      <c r="D10" s="847"/>
      <c r="E10" s="847"/>
      <c r="F10" s="1785">
        <f>(C10+D10)-E10</f>
        <v>865261</v>
      </c>
      <c r="G10" s="844">
        <v>20</v>
      </c>
      <c r="H10" s="848">
        <v>584536</v>
      </c>
      <c r="I10" s="848">
        <v>32129</v>
      </c>
      <c r="J10" s="848"/>
      <c r="K10" s="1790">
        <f>(H10+I10)-J10</f>
        <v>616665</v>
      </c>
      <c r="L10" s="1790">
        <f>F10-K10</f>
        <v>248596</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4714446</v>
      </c>
      <c r="D12" s="845">
        <v>102438</v>
      </c>
      <c r="E12" s="845"/>
      <c r="F12" s="1781">
        <f>(C12+D12)-E12</f>
        <v>4816884</v>
      </c>
      <c r="G12" s="844">
        <v>10</v>
      </c>
      <c r="H12" s="766">
        <v>3276514</v>
      </c>
      <c r="I12" s="766">
        <f>52110+191448</f>
        <v>243558</v>
      </c>
      <c r="J12" s="766"/>
      <c r="K12" s="1790">
        <f>(H12+I12)-J12</f>
        <v>3520072</v>
      </c>
      <c r="L12" s="1790">
        <f>F12-K12</f>
        <v>1296812</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42573437</v>
      </c>
      <c r="D16" s="1781">
        <f>SUM(D3,D5:D6,D8:D10,D12:D15)</f>
        <v>102438</v>
      </c>
      <c r="E16" s="1781">
        <f>SUM(E3,E5:E6,E8:E10,E12:E15)</f>
        <v>0</v>
      </c>
      <c r="F16" s="1781">
        <f>SUM(F3,F5:F6,F8:F10,F12:F15)</f>
        <v>42675875</v>
      </c>
      <c r="G16" s="844"/>
      <c r="H16" s="1781">
        <f>SUM(H3,H6,H8:H10,H12:H14,)</f>
        <v>8708711</v>
      </c>
      <c r="I16" s="1781">
        <f>SUM(I3,I6,I8:I10,I12:I14,)</f>
        <v>1004659</v>
      </c>
      <c r="J16" s="1781">
        <f>SUM(J3,J6,J8:J10,J12:J14,)</f>
        <v>0</v>
      </c>
      <c r="K16" s="1781">
        <f>(H16+I16)-J16</f>
        <v>9713370</v>
      </c>
      <c r="L16" s="1781">
        <f>F16-K16</f>
        <v>32962505</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1004659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1699</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9403153</v>
      </c>
      <c r="G8" s="866"/>
    </row>
    <row r="9" spans="1:7" x14ac:dyDescent="0.2">
      <c r="A9" s="870" t="s">
        <v>480</v>
      </c>
      <c r="B9" s="871" t="s">
        <v>1987</v>
      </c>
      <c r="C9" s="872"/>
      <c r="D9" s="870" t="s">
        <v>522</v>
      </c>
      <c r="E9" s="869"/>
      <c r="F9" s="1933">
        <f>'Expenditures 15-22'!K151</f>
        <v>810348</v>
      </c>
      <c r="G9" s="873"/>
    </row>
    <row r="10" spans="1:7" x14ac:dyDescent="0.2">
      <c r="A10" s="870" t="s">
        <v>520</v>
      </c>
      <c r="B10" s="871" t="s">
        <v>1988</v>
      </c>
      <c r="C10" s="872"/>
      <c r="D10" s="870" t="s">
        <v>522</v>
      </c>
      <c r="E10" s="869"/>
      <c r="F10" s="1933">
        <f>'Expenditures 15-22'!K174</f>
        <v>929903</v>
      </c>
      <c r="G10" s="873"/>
    </row>
    <row r="11" spans="1:7" x14ac:dyDescent="0.2">
      <c r="A11" s="870" t="s">
        <v>481</v>
      </c>
      <c r="B11" s="871" t="s">
        <v>1989</v>
      </c>
      <c r="C11" s="872"/>
      <c r="D11" s="870" t="s">
        <v>522</v>
      </c>
      <c r="E11" s="869"/>
      <c r="F11" s="1933">
        <f>'Expenditures 15-22'!K210</f>
        <v>420671</v>
      </c>
      <c r="G11" s="873"/>
    </row>
    <row r="12" spans="1:7" x14ac:dyDescent="0.2">
      <c r="A12" s="870" t="s">
        <v>482</v>
      </c>
      <c r="B12" s="871" t="s">
        <v>1990</v>
      </c>
      <c r="C12" s="872"/>
      <c r="D12" s="870" t="s">
        <v>522</v>
      </c>
      <c r="E12" s="869"/>
      <c r="F12" s="1933">
        <f>'Expenditures 15-22'!K295</f>
        <v>433803</v>
      </c>
      <c r="G12" s="873"/>
    </row>
    <row r="13" spans="1:7" x14ac:dyDescent="0.2">
      <c r="A13" s="870" t="s">
        <v>108</v>
      </c>
      <c r="B13" s="871" t="s">
        <v>1991</v>
      </c>
      <c r="C13" s="872"/>
      <c r="D13" s="870" t="s">
        <v>522</v>
      </c>
      <c r="E13" s="869"/>
      <c r="F13" s="1933">
        <f>'Expenditures 15-22'!K342</f>
        <v>620238</v>
      </c>
      <c r="G13" s="874"/>
    </row>
    <row r="14" spans="1:7" ht="12" customHeight="1" thickBot="1" x14ac:dyDescent="0.25">
      <c r="A14" s="1791"/>
      <c r="B14" s="1792"/>
      <c r="C14" s="1793"/>
      <c r="D14" s="1794" t="s">
        <v>522</v>
      </c>
      <c r="E14" s="1795" t="s">
        <v>1015</v>
      </c>
      <c r="F14" s="1796">
        <f>SUM(F8:F13)</f>
        <v>12618116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148099</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50646</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24646</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97330</v>
      </c>
      <c r="G52" s="866"/>
    </row>
    <row r="53" spans="1:7" x14ac:dyDescent="0.2">
      <c r="A53" s="870" t="s">
        <v>479</v>
      </c>
      <c r="B53" s="870" t="s">
        <v>1551</v>
      </c>
      <c r="C53" s="890">
        <f>'Expenditures 15-22'!B102</f>
        <v>4000</v>
      </c>
      <c r="D53" s="889" t="str">
        <f>'Expenditures 15-22'!A102</f>
        <v>Total Payments to Other Govt Units</v>
      </c>
      <c r="E53" s="869"/>
      <c r="F53" s="1937">
        <f>'Expenditures 15-22'!K102</f>
        <v>341937</v>
      </c>
      <c r="G53" s="866"/>
    </row>
    <row r="54" spans="1:7" x14ac:dyDescent="0.2">
      <c r="A54" s="870" t="s">
        <v>479</v>
      </c>
      <c r="B54" s="870" t="s">
        <v>1552</v>
      </c>
      <c r="C54" s="890" t="s">
        <v>1039</v>
      </c>
      <c r="D54" s="886" t="s">
        <v>1157</v>
      </c>
      <c r="E54" s="869"/>
      <c r="F54" s="1937">
        <f>'Expenditures 15-22'!G114</f>
        <v>88743</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7">
        <f>'Expenditures 15-22'!K139</f>
        <v>0</v>
      </c>
      <c r="G57" s="866"/>
    </row>
    <row r="58" spans="1:7" x14ac:dyDescent="0.2">
      <c r="A58" s="870" t="s">
        <v>480</v>
      </c>
      <c r="B58" s="870" t="s">
        <v>1993</v>
      </c>
      <c r="C58" s="887" t="s">
        <v>1039</v>
      </c>
      <c r="D58" s="886" t="s">
        <v>1157</v>
      </c>
      <c r="E58" s="869"/>
      <c r="F58" s="1939">
        <f>'Expenditures 15-22'!G151</f>
        <v>13695</v>
      </c>
      <c r="G58" s="866"/>
    </row>
    <row r="59" spans="1:7" x14ac:dyDescent="0.2">
      <c r="A59" s="894" t="s">
        <v>480</v>
      </c>
      <c r="B59" s="857" t="s">
        <v>1994</v>
      </c>
      <c r="C59" s="895" t="s">
        <v>1039</v>
      </c>
      <c r="D59" s="857" t="s">
        <v>309</v>
      </c>
      <c r="F59" s="1940">
        <f>'Expenditures 15-22'!I151</f>
        <v>0</v>
      </c>
      <c r="G59" s="866"/>
    </row>
    <row r="60" spans="1:7" x14ac:dyDescent="0.2">
      <c r="A60" s="894" t="s">
        <v>520</v>
      </c>
      <c r="B60" s="857" t="s">
        <v>1995</v>
      </c>
      <c r="C60" s="895">
        <v>4000</v>
      </c>
      <c r="D60" s="857" t="s">
        <v>330</v>
      </c>
      <c r="F60" s="1938">
        <f>'Expenditures 15-22'!K160</f>
        <v>0</v>
      </c>
      <c r="G60" s="866"/>
    </row>
    <row r="61" spans="1:7" x14ac:dyDescent="0.2">
      <c r="A61" s="896" t="s">
        <v>520</v>
      </c>
      <c r="B61" s="896" t="s">
        <v>1996</v>
      </c>
      <c r="C61" s="897" t="str">
        <f>'Expenditures 15-22'!B170</f>
        <v>5300</v>
      </c>
      <c r="D61" s="898" t="s">
        <v>329</v>
      </c>
      <c r="E61" s="880"/>
      <c r="F61" s="1937">
        <f>'Expenditures 15-22'!K170</f>
        <v>595000</v>
      </c>
      <c r="G61" s="866"/>
    </row>
    <row r="62" spans="1:7" x14ac:dyDescent="0.2">
      <c r="A62" s="870" t="s">
        <v>481</v>
      </c>
      <c r="B62" s="870" t="s">
        <v>1997</v>
      </c>
      <c r="C62" s="887">
        <f>'Expenditures 15-22'!B185</f>
        <v>3000</v>
      </c>
      <c r="D62" s="877" t="s">
        <v>469</v>
      </c>
      <c r="E62" s="869"/>
      <c r="F62" s="1937">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1999</v>
      </c>
      <c r="C64" s="897" t="str">
        <f>'Expenditures 15-22'!B206</f>
        <v>5300</v>
      </c>
      <c r="D64" s="893" t="s">
        <v>329</v>
      </c>
      <c r="E64" s="869"/>
      <c r="F64" s="1937">
        <f>'Expenditures 15-22'!K206</f>
        <v>0</v>
      </c>
      <c r="G64" s="866"/>
    </row>
    <row r="65" spans="1:8" x14ac:dyDescent="0.2">
      <c r="A65" s="870" t="s">
        <v>481</v>
      </c>
      <c r="B65" s="870" t="s">
        <v>2000</v>
      </c>
      <c r="C65" s="887" t="s">
        <v>1039</v>
      </c>
      <c r="D65" s="886" t="s">
        <v>1157</v>
      </c>
      <c r="E65" s="869"/>
      <c r="F65" s="1937">
        <f>'Expenditures 15-22'!G210</f>
        <v>0</v>
      </c>
      <c r="G65" s="866"/>
    </row>
    <row r="66" spans="1:8" x14ac:dyDescent="0.2">
      <c r="A66" s="870" t="s">
        <v>481</v>
      </c>
      <c r="B66" s="870" t="s">
        <v>2001</v>
      </c>
      <c r="C66" s="887" t="s">
        <v>1039</v>
      </c>
      <c r="D66" s="886" t="s">
        <v>309</v>
      </c>
      <c r="E66" s="869"/>
      <c r="F66" s="1937">
        <f>'Expenditures 15-22'!I210</f>
        <v>0</v>
      </c>
      <c r="G66" s="866"/>
    </row>
    <row r="67" spans="1:8" x14ac:dyDescent="0.2">
      <c r="A67" s="870" t="s">
        <v>482</v>
      </c>
      <c r="B67" s="870" t="s">
        <v>2002</v>
      </c>
      <c r="C67" s="887" t="str">
        <f>'Expenditures 15-22'!B216</f>
        <v>1125</v>
      </c>
      <c r="D67" s="893" t="str">
        <f>'Expenditures 15-22'!A216</f>
        <v>Pre-K Programs</v>
      </c>
      <c r="E67" s="869"/>
      <c r="F67" s="1937">
        <f>'Expenditures 15-22'!K216</f>
        <v>8119</v>
      </c>
      <c r="G67" s="866"/>
    </row>
    <row r="68" spans="1:8" x14ac:dyDescent="0.2">
      <c r="A68" s="870" t="s">
        <v>482</v>
      </c>
      <c r="B68" s="870" t="s">
        <v>1555</v>
      </c>
      <c r="C68" s="887" t="str">
        <f>'Expenditures 15-22'!B218</f>
        <v>1225</v>
      </c>
      <c r="D68" s="893" t="str">
        <f>'Expenditures 15-22'!A218</f>
        <v>Special Education Programs - Pre-K</v>
      </c>
      <c r="E68" s="869"/>
      <c r="F68" s="1937">
        <f>'Expenditures 15-22'!K218</f>
        <v>713</v>
      </c>
      <c r="G68" s="866"/>
    </row>
    <row r="69" spans="1:8" x14ac:dyDescent="0.2">
      <c r="A69" s="870" t="s">
        <v>482</v>
      </c>
      <c r="B69" s="870" t="s">
        <v>2003</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2004</v>
      </c>
      <c r="C70" s="887">
        <f>'Expenditures 15-22'!B221</f>
        <v>1300</v>
      </c>
      <c r="D70" s="888" t="str">
        <f>'Expenditures 15-22'!A221</f>
        <v>Adult/Continuing Education Programs</v>
      </c>
      <c r="E70" s="869"/>
      <c r="F70" s="1937">
        <f>'Expenditures 15-22'!K221</f>
        <v>0</v>
      </c>
      <c r="G70" s="866"/>
    </row>
    <row r="71" spans="1:8" x14ac:dyDescent="0.2">
      <c r="A71" s="870" t="s">
        <v>482</v>
      </c>
      <c r="B71" s="870" t="s">
        <v>2005</v>
      </c>
      <c r="C71" s="887">
        <f>'Expenditures 15-22'!B224</f>
        <v>1600</v>
      </c>
      <c r="D71" s="888" t="str">
        <f>'Expenditures 15-22'!A224</f>
        <v>Summer School Programs</v>
      </c>
      <c r="E71" s="869"/>
      <c r="F71" s="1937">
        <f>'Expenditures 15-22'!K224</f>
        <v>0</v>
      </c>
      <c r="G71" s="866"/>
    </row>
    <row r="72" spans="1:8" x14ac:dyDescent="0.2">
      <c r="A72" s="870" t="s">
        <v>482</v>
      </c>
      <c r="B72" s="870" t="s">
        <v>2006</v>
      </c>
      <c r="C72" s="887">
        <f>'Expenditures 15-22'!B280</f>
        <v>3000</v>
      </c>
      <c r="D72" s="877" t="s">
        <v>469</v>
      </c>
      <c r="E72" s="869"/>
      <c r="F72" s="1937">
        <f>'Expenditures 15-22'!K280</f>
        <v>12993</v>
      </c>
      <c r="G72" s="866"/>
    </row>
    <row r="73" spans="1:8" x14ac:dyDescent="0.2">
      <c r="A73" s="870" t="s">
        <v>482</v>
      </c>
      <c r="B73" s="870" t="s">
        <v>2007</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2008</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2009</v>
      </c>
      <c r="E76" s="1795" t="s">
        <v>1015</v>
      </c>
      <c r="F76" s="1799">
        <f>SUM(F18:F74)</f>
        <v>1381921</v>
      </c>
      <c r="G76" s="866"/>
    </row>
    <row r="77" spans="1:8" s="894" customFormat="1" ht="12" customHeight="1" thickTop="1" thickBot="1" x14ac:dyDescent="0.25">
      <c r="A77" s="1800"/>
      <c r="B77" s="1797"/>
      <c r="C77" s="1793"/>
      <c r="D77" s="1798" t="s">
        <v>2010</v>
      </c>
      <c r="E77" s="1795"/>
      <c r="F77" s="1801">
        <f>(F14-F76)</f>
        <v>11236195</v>
      </c>
      <c r="G77" s="870"/>
    </row>
    <row r="78" spans="1:8" s="894" customFormat="1" ht="12" customHeight="1" thickTop="1" x14ac:dyDescent="0.2">
      <c r="A78" s="1802"/>
      <c r="B78" s="1797"/>
      <c r="C78" s="1793"/>
      <c r="D78" s="1798" t="s">
        <v>2057</v>
      </c>
      <c r="E78" s="1795"/>
      <c r="F78" s="899">
        <v>1263.03</v>
      </c>
      <c r="G78" s="900"/>
      <c r="H78" s="870"/>
    </row>
    <row r="79" spans="1:8" s="894" customFormat="1" ht="12" customHeight="1" thickBot="1" x14ac:dyDescent="0.25">
      <c r="A79" s="1803"/>
      <c r="B79" s="1797"/>
      <c r="C79" s="1793"/>
      <c r="D79" s="1798" t="s">
        <v>2011</v>
      </c>
      <c r="E79" s="1795" t="s">
        <v>1015</v>
      </c>
      <c r="F79" s="1804">
        <f>IF(F78&gt;0,F77/F78," Complete Line 78")</f>
        <v>8896.2217841223101</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1806</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260047</v>
      </c>
      <c r="G94" s="913"/>
    </row>
    <row r="95" spans="1:7" x14ac:dyDescent="0.2">
      <c r="A95" s="909" t="s">
        <v>142</v>
      </c>
      <c r="B95" s="909" t="s">
        <v>177</v>
      </c>
      <c r="C95" s="911">
        <v>1700</v>
      </c>
      <c r="D95" s="919" t="str">
        <f>'Revenues 9-14'!A82</f>
        <v>Total District/School Activity Income</v>
      </c>
      <c r="E95" s="907"/>
      <c r="F95" s="1810">
        <f>SUM('Revenues 9-14'!C82,'Revenues 9-14'!D82)</f>
        <v>243622</v>
      </c>
      <c r="G95" s="913"/>
    </row>
    <row r="96" spans="1:7" x14ac:dyDescent="0.2">
      <c r="A96" s="909" t="s">
        <v>479</v>
      </c>
      <c r="B96" s="909" t="s">
        <v>178</v>
      </c>
      <c r="C96" s="911">
        <f>'Revenues 9-14'!B84</f>
        <v>1811</v>
      </c>
      <c r="D96" s="912" t="str">
        <f>'Revenues 9-14'!A84</f>
        <v>Rentals - Regular Textbooks</v>
      </c>
      <c r="E96" s="907"/>
      <c r="F96" s="1810">
        <f>'Revenues 9-14'!C84</f>
        <v>89392</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3602</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199433</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49302</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3913</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18207</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290597</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286515</v>
      </c>
      <c r="G129" s="931"/>
    </row>
    <row r="130" spans="1:7" x14ac:dyDescent="0.2">
      <c r="A130" s="928" t="s">
        <v>689</v>
      </c>
      <c r="B130" s="928" t="s">
        <v>804</v>
      </c>
      <c r="C130" s="933">
        <v>4300</v>
      </c>
      <c r="D130" s="934" t="str">
        <f>'Revenues 9-14'!A211</f>
        <v>Total Title I</v>
      </c>
      <c r="E130" s="907"/>
      <c r="F130" s="1810">
        <f>SUM('Revenues 9-14'!C211,'Revenues 9-14'!D211,'Revenues 9-14'!F211,'Revenues 9-14'!G211)</f>
        <v>149514</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218090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6583</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9685</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24379</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112168</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2056</v>
      </c>
      <c r="C175" s="1944">
        <v>3100</v>
      </c>
      <c r="D175" s="1945" t="s">
        <v>2059</v>
      </c>
      <c r="E175" s="907"/>
      <c r="F175" s="1929"/>
      <c r="G175" s="928"/>
    </row>
    <row r="176" spans="1:7" x14ac:dyDescent="0.2">
      <c r="A176" s="1942" t="s">
        <v>685</v>
      </c>
      <c r="B176" s="1943" t="s">
        <v>2056</v>
      </c>
      <c r="C176" s="1944">
        <v>3300</v>
      </c>
      <c r="D176" s="1945" t="s">
        <v>2060</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2012</v>
      </c>
      <c r="E178" s="1808" t="s">
        <v>1015</v>
      </c>
      <c r="F178" s="1809">
        <f>SUM(F84:F136,F161:F176)</f>
        <v>1968355</v>
      </c>
    </row>
    <row r="179" spans="1:7" ht="12" customHeight="1" x14ac:dyDescent="0.2">
      <c r="A179" s="1791"/>
      <c r="B179" s="1805"/>
      <c r="C179" s="1806"/>
      <c r="D179" s="1807" t="s">
        <v>2013</v>
      </c>
      <c r="E179" s="1808"/>
      <c r="F179" s="1810">
        <f>'PCTC-OEPP 27-28'!F77-F178</f>
        <v>9267840</v>
      </c>
    </row>
    <row r="180" spans="1:7" ht="12" customHeight="1" x14ac:dyDescent="0.2">
      <c r="A180" s="1791"/>
      <c r="B180" s="1805"/>
      <c r="C180" s="1806"/>
      <c r="D180" s="1807" t="s">
        <v>1922</v>
      </c>
      <c r="E180" s="1808"/>
      <c r="F180" s="1810">
        <f>'Cap Outlay Deprec 26'!I18</f>
        <v>1004659</v>
      </c>
    </row>
    <row r="181" spans="1:7" ht="12" customHeight="1" x14ac:dyDescent="0.2">
      <c r="A181" s="1791"/>
      <c r="B181" s="1805"/>
      <c r="C181" s="1806"/>
      <c r="D181" s="1807" t="s">
        <v>2014</v>
      </c>
      <c r="E181" s="1808"/>
      <c r="F181" s="1810">
        <f>F179+F180</f>
        <v>10272499</v>
      </c>
    </row>
    <row r="182" spans="1:7" ht="12" customHeight="1" x14ac:dyDescent="0.2">
      <c r="A182" s="1791"/>
      <c r="B182" s="1811"/>
      <c r="C182" s="1806"/>
      <c r="D182" s="1807" t="str">
        <f>D78</f>
        <v>9 Month ADA from District Average Daily Attendance/Prior General State Aid Inquiry 2017-2018</v>
      </c>
      <c r="E182" s="1808"/>
      <c r="F182" s="1812">
        <f>'PCTC-OEPP 27-28'!F78</f>
        <v>1263.03</v>
      </c>
      <c r="G182" s="931"/>
    </row>
    <row r="183" spans="1:7" ht="12" customHeight="1" thickBot="1" x14ac:dyDescent="0.25">
      <c r="A183" s="1791"/>
      <c r="B183" s="1811"/>
      <c r="C183" s="1806"/>
      <c r="D183" s="1807" t="s">
        <v>2015</v>
      </c>
      <c r="E183" s="1808" t="s">
        <v>1626</v>
      </c>
      <c r="F183" s="1813">
        <f>F181/F182</f>
        <v>8133.2185300428337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6" customFormat="1" ht="12.2" customHeight="1" x14ac:dyDescent="0.2">
      <c r="A186" s="1946" t="s">
        <v>2063</v>
      </c>
      <c r="B186" s="1947"/>
      <c r="C186" s="1948"/>
      <c r="D186" s="1947"/>
      <c r="E186" s="1948"/>
      <c r="F186" s="1947"/>
      <c r="G186" s="1947"/>
    </row>
    <row r="187" spans="1:7" s="1946" customFormat="1" ht="12.2" customHeight="1" x14ac:dyDescent="0.2">
      <c r="A187" s="1949" t="s">
        <v>2064</v>
      </c>
      <c r="C187" s="1948"/>
      <c r="D187" s="1947"/>
      <c r="E187" s="1948"/>
      <c r="F187" s="1947"/>
      <c r="G187" s="1947"/>
    </row>
    <row r="188" spans="1:7" ht="12" customHeight="1" x14ac:dyDescent="0.2">
      <c r="C188" s="950"/>
      <c r="D188" s="931"/>
      <c r="E188" s="950"/>
      <c r="F188" s="931"/>
      <c r="G188" s="931"/>
    </row>
    <row r="189" spans="1:7" x14ac:dyDescent="0.2">
      <c r="A189" s="1950" t="s">
        <v>2062</v>
      </c>
      <c r="B189" s="1951"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&amp;L&amp;8See Notes to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9" sqref="B29"/>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1938</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3" t="s">
        <v>1923</v>
      </c>
      <c r="B4" s="2294"/>
      <c r="C4" s="2294"/>
      <c r="D4" s="2294"/>
      <c r="E4" s="2294"/>
      <c r="F4" s="2294"/>
      <c r="G4" s="2295"/>
    </row>
    <row r="5" spans="1:7" x14ac:dyDescent="0.25">
      <c r="A5" s="2296"/>
      <c r="B5" s="2297"/>
      <c r="C5" s="2297"/>
      <c r="D5" s="2297"/>
      <c r="E5" s="2297"/>
      <c r="F5" s="2297"/>
      <c r="G5" s="2298"/>
    </row>
    <row r="6" spans="1:7" ht="18.75" x14ac:dyDescent="0.25">
      <c r="A6" s="1555" t="s">
        <v>1924</v>
      </c>
      <c r="B6" s="1556"/>
      <c r="C6" s="1556"/>
      <c r="D6" s="1556"/>
      <c r="E6" s="1556"/>
      <c r="F6" s="1556"/>
      <c r="G6" s="1557"/>
    </row>
    <row r="7" spans="1:7" ht="30.75" customHeight="1" x14ac:dyDescent="0.25">
      <c r="A7" s="2299" t="s">
        <v>2073</v>
      </c>
      <c r="B7" s="2300"/>
      <c r="C7" s="2300"/>
      <c r="D7" s="2300"/>
      <c r="E7" s="2300"/>
      <c r="F7" s="2300"/>
      <c r="G7" s="2301"/>
    </row>
    <row r="8" spans="1:7" ht="15.75" customHeight="1" x14ac:dyDescent="0.25">
      <c r="A8" s="2302" t="s">
        <v>2022</v>
      </c>
      <c r="B8" s="2303"/>
      <c r="C8" s="2303"/>
      <c r="D8" s="2303"/>
      <c r="E8" s="2303"/>
      <c r="F8" s="2303"/>
      <c r="G8" s="2304"/>
    </row>
    <row r="9" spans="1:7" ht="35.25" customHeight="1" x14ac:dyDescent="0.25">
      <c r="A9" s="2299" t="s">
        <v>2021</v>
      </c>
      <c r="B9" s="2300"/>
      <c r="C9" s="2300"/>
      <c r="D9" s="2300"/>
      <c r="E9" s="2300"/>
      <c r="F9" s="2300"/>
      <c r="G9" s="2301"/>
    </row>
    <row r="10" spans="1:7" ht="15" customHeight="1" x14ac:dyDescent="0.25">
      <c r="A10" s="1558" t="s">
        <v>1925</v>
      </c>
      <c r="B10" s="1559"/>
      <c r="C10" s="1559"/>
      <c r="D10" s="1559"/>
      <c r="E10" s="1559"/>
      <c r="F10" s="1559"/>
      <c r="G10" s="1560"/>
    </row>
    <row r="11" spans="1:7" ht="17.25" customHeight="1" x14ac:dyDescent="0.25">
      <c r="A11" s="2299" t="s">
        <v>1939</v>
      </c>
      <c r="B11" s="2300"/>
      <c r="C11" s="2300"/>
      <c r="D11" s="2300"/>
      <c r="E11" s="2300"/>
      <c r="F11" s="2300"/>
      <c r="G11" s="2301"/>
    </row>
    <row r="12" spans="1:7" ht="15" customHeight="1" x14ac:dyDescent="0.25">
      <c r="A12" s="1558" t="s">
        <v>1930</v>
      </c>
      <c r="B12" s="1559"/>
      <c r="C12" s="1559"/>
      <c r="D12" s="1559"/>
      <c r="E12" s="1559"/>
      <c r="F12" s="1559"/>
      <c r="G12" s="1560"/>
    </row>
    <row r="13" spans="1:7" ht="32.25" customHeight="1" x14ac:dyDescent="0.25">
      <c r="A13" s="2290" t="s">
        <v>1931</v>
      </c>
      <c r="B13" s="2291"/>
      <c r="C13" s="2291"/>
      <c r="D13" s="2291"/>
      <c r="E13" s="2291"/>
      <c r="F13" s="2291"/>
      <c r="G13" s="2292"/>
    </row>
    <row r="14" spans="1:7" x14ac:dyDescent="0.25">
      <c r="A14" s="1682" t="s">
        <v>1940</v>
      </c>
      <c r="B14" s="1683"/>
      <c r="C14" s="1683"/>
      <c r="D14" s="1683"/>
      <c r="E14" s="1683"/>
      <c r="F14" s="1683"/>
      <c r="G14" s="1684"/>
    </row>
    <row r="15" spans="1:7" ht="61.5" customHeight="1" x14ac:dyDescent="0.25">
      <c r="A15" s="1567" t="s">
        <v>1932</v>
      </c>
      <c r="B15" s="1567" t="s">
        <v>1933</v>
      </c>
      <c r="C15" s="1567" t="s">
        <v>1934</v>
      </c>
      <c r="D15" s="1568" t="s">
        <v>1935</v>
      </c>
      <c r="E15" s="1568" t="s">
        <v>1926</v>
      </c>
      <c r="F15" s="1568" t="s">
        <v>1936</v>
      </c>
      <c r="G15" s="1568" t="s">
        <v>1937</v>
      </c>
    </row>
    <row r="16" spans="1:7" x14ac:dyDescent="0.25">
      <c r="A16" s="1669" t="s">
        <v>1941</v>
      </c>
      <c r="B16" s="1670" t="s">
        <v>1929</v>
      </c>
      <c r="C16" s="1671" t="s">
        <v>1927</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2" t="s">
        <v>2202</v>
      </c>
      <c r="B17" s="2510" t="s">
        <v>2204</v>
      </c>
      <c r="C17" s="1960" t="s">
        <v>2183</v>
      </c>
      <c r="D17" s="1866">
        <v>65802</v>
      </c>
      <c r="E17" s="1561">
        <f t="shared" ref="E17:E141" si="1">IF(D17&lt;=25000,D17,IF(D17&gt;25000,25000,0))</f>
        <v>25000</v>
      </c>
      <c r="F17" s="1814">
        <f t="shared" si="0"/>
        <v>25000</v>
      </c>
      <c r="G17" s="1815">
        <f>IF(F17=0,0,D17-F17)</f>
        <v>40802</v>
      </c>
      <c r="H17" s="1668"/>
    </row>
    <row r="18" spans="1:8" x14ac:dyDescent="0.25">
      <c r="A18" s="1962" t="s">
        <v>2199</v>
      </c>
      <c r="B18" s="2510" t="s">
        <v>2205</v>
      </c>
      <c r="C18" s="1960" t="s">
        <v>2197</v>
      </c>
      <c r="D18" s="1866">
        <v>67345</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42345</v>
      </c>
    </row>
    <row r="19" spans="1:8" x14ac:dyDescent="0.25">
      <c r="A19" s="1962" t="s">
        <v>2202</v>
      </c>
      <c r="B19" s="1959" t="s">
        <v>2182</v>
      </c>
      <c r="C19" s="1960" t="s">
        <v>2184</v>
      </c>
      <c r="D19" s="1866">
        <v>4410</v>
      </c>
      <c r="E19" s="1561">
        <f t="shared" si="2"/>
        <v>4410</v>
      </c>
      <c r="F19" s="1814">
        <f t="shared" si="3"/>
        <v>0</v>
      </c>
      <c r="G19" s="1815">
        <f t="shared" si="4"/>
        <v>0</v>
      </c>
    </row>
    <row r="20" spans="1:8" x14ac:dyDescent="0.25">
      <c r="A20" s="1962" t="s">
        <v>2201</v>
      </c>
      <c r="B20" s="2510" t="s">
        <v>2204</v>
      </c>
      <c r="C20" s="1960" t="s">
        <v>2185</v>
      </c>
      <c r="D20" s="1866">
        <v>27354</v>
      </c>
      <c r="E20" s="1561">
        <f t="shared" si="2"/>
        <v>25000</v>
      </c>
      <c r="F20" s="1814">
        <f t="shared" si="3"/>
        <v>25000</v>
      </c>
      <c r="G20" s="1815">
        <f t="shared" si="4"/>
        <v>2354</v>
      </c>
    </row>
    <row r="21" spans="1:8" x14ac:dyDescent="0.25">
      <c r="A21" s="1962" t="s">
        <v>2200</v>
      </c>
      <c r="B21" s="2510" t="s">
        <v>2206</v>
      </c>
      <c r="C21" s="1960" t="s">
        <v>2187</v>
      </c>
      <c r="D21" s="1866">
        <v>31673</v>
      </c>
      <c r="E21" s="1561">
        <f t="shared" si="2"/>
        <v>25000</v>
      </c>
      <c r="F21" s="1814">
        <f t="shared" si="3"/>
        <v>25000</v>
      </c>
      <c r="G21" s="1815">
        <f t="shared" si="4"/>
        <v>6673</v>
      </c>
    </row>
    <row r="22" spans="1:8" x14ac:dyDescent="0.25">
      <c r="A22" s="1962" t="s">
        <v>2198</v>
      </c>
      <c r="B22" s="1959" t="s">
        <v>2188</v>
      </c>
      <c r="C22" s="1960" t="s">
        <v>2189</v>
      </c>
      <c r="D22" s="1866">
        <v>5691</v>
      </c>
      <c r="E22" s="1561">
        <f t="shared" si="2"/>
        <v>5691</v>
      </c>
      <c r="F22" s="1814">
        <f t="shared" si="3"/>
        <v>0</v>
      </c>
      <c r="G22" s="1815">
        <f t="shared" si="4"/>
        <v>0</v>
      </c>
    </row>
    <row r="23" spans="1:8" x14ac:dyDescent="0.25">
      <c r="A23" s="1962" t="s">
        <v>2200</v>
      </c>
      <c r="B23" s="1959" t="s">
        <v>2190</v>
      </c>
      <c r="C23" s="1960" t="s">
        <v>2191</v>
      </c>
      <c r="D23" s="1866">
        <v>525</v>
      </c>
      <c r="E23" s="1561">
        <f t="shared" si="2"/>
        <v>525</v>
      </c>
      <c r="F23" s="1814">
        <f t="shared" si="3"/>
        <v>0</v>
      </c>
      <c r="G23" s="1815">
        <f t="shared" si="4"/>
        <v>0</v>
      </c>
    </row>
    <row r="24" spans="1:8" x14ac:dyDescent="0.25">
      <c r="A24" s="1962" t="s">
        <v>2200</v>
      </c>
      <c r="B24" s="2510" t="s">
        <v>2207</v>
      </c>
      <c r="C24" s="1960" t="s">
        <v>2192</v>
      </c>
      <c r="D24" s="1866">
        <v>83220</v>
      </c>
      <c r="E24" s="1561">
        <f t="shared" si="2"/>
        <v>25000</v>
      </c>
      <c r="F24" s="1814">
        <f t="shared" si="3"/>
        <v>25000</v>
      </c>
      <c r="G24" s="1815">
        <f t="shared" si="4"/>
        <v>58220</v>
      </c>
    </row>
    <row r="25" spans="1:8" x14ac:dyDescent="0.25">
      <c r="A25" s="1962" t="s">
        <v>2200</v>
      </c>
      <c r="B25" s="2510" t="s">
        <v>2206</v>
      </c>
      <c r="C25" s="1960" t="s">
        <v>2076</v>
      </c>
      <c r="D25" s="1866">
        <v>16785</v>
      </c>
      <c r="E25" s="1561">
        <f t="shared" si="2"/>
        <v>16785</v>
      </c>
      <c r="F25" s="1814">
        <f t="shared" si="3"/>
        <v>16785</v>
      </c>
      <c r="G25" s="1815">
        <f t="shared" si="4"/>
        <v>0</v>
      </c>
    </row>
    <row r="26" spans="1:8" x14ac:dyDescent="0.25">
      <c r="A26" s="1962" t="s">
        <v>2200</v>
      </c>
      <c r="B26" s="1959" t="s">
        <v>2186</v>
      </c>
      <c r="C26" s="1960" t="s">
        <v>2193</v>
      </c>
      <c r="D26" s="1866">
        <v>4240</v>
      </c>
      <c r="E26" s="1561">
        <f t="shared" si="2"/>
        <v>4240</v>
      </c>
      <c r="F26" s="1814">
        <f t="shared" si="3"/>
        <v>0</v>
      </c>
      <c r="G26" s="1815">
        <f t="shared" si="4"/>
        <v>0</v>
      </c>
    </row>
    <row r="27" spans="1:8" x14ac:dyDescent="0.25">
      <c r="A27" s="1962" t="s">
        <v>2200</v>
      </c>
      <c r="B27" s="2510" t="s">
        <v>2208</v>
      </c>
      <c r="C27" s="1960" t="s">
        <v>2194</v>
      </c>
      <c r="D27" s="1866">
        <v>488141</v>
      </c>
      <c r="E27" s="1561">
        <f t="shared" si="2"/>
        <v>25000</v>
      </c>
      <c r="F27" s="1814">
        <f t="shared" si="3"/>
        <v>25000</v>
      </c>
      <c r="G27" s="1815">
        <f t="shared" si="4"/>
        <v>463141</v>
      </c>
    </row>
    <row r="28" spans="1:8" x14ac:dyDescent="0.25">
      <c r="A28" s="1962" t="s">
        <v>2200</v>
      </c>
      <c r="B28" s="1959" t="s">
        <v>2186</v>
      </c>
      <c r="C28" s="1960" t="s">
        <v>2194</v>
      </c>
      <c r="D28" s="1866">
        <v>1455</v>
      </c>
      <c r="E28" s="1561">
        <f t="shared" si="2"/>
        <v>1455</v>
      </c>
      <c r="F28" s="1814">
        <f t="shared" si="3"/>
        <v>0</v>
      </c>
      <c r="G28" s="1815">
        <f t="shared" si="4"/>
        <v>0</v>
      </c>
    </row>
    <row r="29" spans="1:8" x14ac:dyDescent="0.25">
      <c r="A29" s="1962" t="s">
        <v>2200</v>
      </c>
      <c r="B29" s="1959" t="s">
        <v>2195</v>
      </c>
      <c r="C29" s="1960" t="s">
        <v>2196</v>
      </c>
      <c r="D29" s="1866">
        <v>14000</v>
      </c>
      <c r="E29" s="1561">
        <f t="shared" si="2"/>
        <v>14000</v>
      </c>
      <c r="F29" s="1814">
        <f t="shared" si="3"/>
        <v>0</v>
      </c>
      <c r="G29" s="1815">
        <f t="shared" si="4"/>
        <v>0</v>
      </c>
    </row>
    <row r="30" spans="1:8" x14ac:dyDescent="0.25">
      <c r="A30" s="1674"/>
      <c r="B30" s="1867"/>
      <c r="C30" s="1675"/>
      <c r="D30" s="1866"/>
      <c r="E30" s="1561">
        <f t="shared" si="2"/>
        <v>0</v>
      </c>
      <c r="F30" s="1814">
        <f t="shared" si="3"/>
        <v>0</v>
      </c>
      <c r="G30" s="1815">
        <f t="shared" si="4"/>
        <v>0</v>
      </c>
    </row>
    <row r="31" spans="1:8" x14ac:dyDescent="0.25">
      <c r="A31" s="1674"/>
      <c r="B31" s="1867"/>
      <c r="C31" s="1675"/>
      <c r="D31" s="1866"/>
      <c r="E31" s="1561">
        <f t="shared" si="2"/>
        <v>0</v>
      </c>
      <c r="F31" s="1814">
        <f t="shared" si="3"/>
        <v>0</v>
      </c>
      <c r="G31" s="1815">
        <f t="shared" si="4"/>
        <v>0</v>
      </c>
    </row>
    <row r="32" spans="1:8" x14ac:dyDescent="0.25">
      <c r="A32" s="1674"/>
      <c r="B32" s="1867"/>
      <c r="C32" s="1675"/>
      <c r="D32" s="1866"/>
      <c r="E32" s="1561">
        <f t="shared" si="2"/>
        <v>0</v>
      </c>
      <c r="F32" s="1814">
        <f t="shared" si="3"/>
        <v>0</v>
      </c>
      <c r="G32" s="1815">
        <f t="shared" si="4"/>
        <v>0</v>
      </c>
    </row>
    <row r="33" spans="1:7" x14ac:dyDescent="0.25">
      <c r="A33" s="1674"/>
      <c r="B33" s="1867"/>
      <c r="C33" s="1675"/>
      <c r="D33" s="1866"/>
      <c r="E33" s="1561">
        <f t="shared" si="2"/>
        <v>0</v>
      </c>
      <c r="F33" s="1814">
        <f t="shared" si="3"/>
        <v>0</v>
      </c>
      <c r="G33" s="1815">
        <f t="shared" si="4"/>
        <v>0</v>
      </c>
    </row>
    <row r="34" spans="1:7" x14ac:dyDescent="0.25">
      <c r="A34" s="1674"/>
      <c r="B34" s="1867"/>
      <c r="C34" s="1675"/>
      <c r="D34" s="1866"/>
      <c r="E34" s="1561">
        <f t="shared" si="2"/>
        <v>0</v>
      </c>
      <c r="F34" s="1814">
        <f t="shared" si="3"/>
        <v>0</v>
      </c>
      <c r="G34" s="1815">
        <f t="shared" si="4"/>
        <v>0</v>
      </c>
    </row>
    <row r="35" spans="1:7" x14ac:dyDescent="0.25">
      <c r="A35" s="1674"/>
      <c r="B35" s="1959"/>
      <c r="C35" s="1960"/>
      <c r="D35" s="1866"/>
      <c r="E35" s="1561">
        <f t="shared" si="2"/>
        <v>0</v>
      </c>
      <c r="F35" s="1814">
        <f t="shared" si="3"/>
        <v>0</v>
      </c>
      <c r="G35" s="1815">
        <f t="shared" si="4"/>
        <v>0</v>
      </c>
    </row>
    <row r="36" spans="1:7" x14ac:dyDescent="0.25">
      <c r="A36" s="1674"/>
      <c r="B36" s="1959"/>
      <c r="C36" s="1960"/>
      <c r="D36" s="1866"/>
      <c r="E36" s="1561">
        <f t="shared" si="2"/>
        <v>0</v>
      </c>
      <c r="F36" s="1814">
        <f t="shared" si="3"/>
        <v>0</v>
      </c>
      <c r="G36" s="1815">
        <f t="shared" si="4"/>
        <v>0</v>
      </c>
    </row>
    <row r="37" spans="1:7" x14ac:dyDescent="0.25">
      <c r="A37" s="1674"/>
      <c r="B37" s="1959"/>
      <c r="C37" s="1960"/>
      <c r="D37" s="1866"/>
      <c r="E37" s="1561">
        <f t="shared" si="2"/>
        <v>0</v>
      </c>
      <c r="F37" s="1814">
        <f t="shared" si="3"/>
        <v>0</v>
      </c>
      <c r="G37" s="1815">
        <f t="shared" si="4"/>
        <v>0</v>
      </c>
    </row>
    <row r="38" spans="1:7" x14ac:dyDescent="0.25">
      <c r="A38" s="1674"/>
      <c r="B38" s="1961"/>
      <c r="C38" s="1960"/>
      <c r="D38" s="1866"/>
      <c r="E38" s="1561">
        <f t="shared" si="2"/>
        <v>0</v>
      </c>
      <c r="F38" s="1814">
        <f t="shared" si="3"/>
        <v>0</v>
      </c>
      <c r="G38" s="1815">
        <f t="shared" si="4"/>
        <v>0</v>
      </c>
    </row>
    <row r="39" spans="1:7" x14ac:dyDescent="0.25">
      <c r="A39" s="1674"/>
      <c r="B39" s="1961"/>
      <c r="C39" s="1960"/>
      <c r="D39" s="1866"/>
      <c r="E39" s="1561">
        <f t="shared" si="2"/>
        <v>0</v>
      </c>
      <c r="F39" s="1814">
        <f t="shared" si="3"/>
        <v>0</v>
      </c>
      <c r="G39" s="1815">
        <f t="shared" si="4"/>
        <v>0</v>
      </c>
    </row>
    <row r="40" spans="1:7" x14ac:dyDescent="0.25">
      <c r="A40" s="1674"/>
      <c r="B40" s="1961"/>
      <c r="C40" s="1960"/>
      <c r="D40" s="1866"/>
      <c r="E40" s="1561">
        <f t="shared" si="2"/>
        <v>0</v>
      </c>
      <c r="F40" s="1814">
        <f t="shared" si="3"/>
        <v>0</v>
      </c>
      <c r="G40" s="1815">
        <f t="shared" si="4"/>
        <v>0</v>
      </c>
    </row>
    <row r="41" spans="1:7" x14ac:dyDescent="0.25">
      <c r="A41" s="1674"/>
      <c r="B41" s="1961"/>
      <c r="C41" s="1960"/>
      <c r="D41" s="1866"/>
      <c r="E41" s="1561">
        <f t="shared" si="2"/>
        <v>0</v>
      </c>
      <c r="F41" s="1814">
        <f t="shared" si="3"/>
        <v>0</v>
      </c>
      <c r="G41" s="1815">
        <f t="shared" si="4"/>
        <v>0</v>
      </c>
    </row>
    <row r="42" spans="1:7" x14ac:dyDescent="0.25">
      <c r="A42" s="1674"/>
      <c r="B42" s="1961"/>
      <c r="C42" s="1960"/>
      <c r="D42" s="1866"/>
      <c r="E42" s="1561">
        <f t="shared" si="2"/>
        <v>0</v>
      </c>
      <c r="F42" s="1814">
        <f t="shared" si="3"/>
        <v>0</v>
      </c>
      <c r="G42" s="1815">
        <f t="shared" si="4"/>
        <v>0</v>
      </c>
    </row>
    <row r="43" spans="1:7" x14ac:dyDescent="0.25">
      <c r="A43" s="1674"/>
      <c r="B43" s="1961"/>
      <c r="C43" s="1960"/>
      <c r="D43" s="1866"/>
      <c r="E43" s="1561">
        <f t="shared" si="2"/>
        <v>0</v>
      </c>
      <c r="F43" s="1814">
        <f t="shared" si="3"/>
        <v>0</v>
      </c>
      <c r="G43" s="1815">
        <f t="shared" si="4"/>
        <v>0</v>
      </c>
    </row>
    <row r="44" spans="1:7" x14ac:dyDescent="0.25">
      <c r="A44" s="1674"/>
      <c r="B44" s="1961"/>
      <c r="C44" s="1960"/>
      <c r="D44" s="1866"/>
      <c r="E44" s="1561">
        <f t="shared" si="2"/>
        <v>0</v>
      </c>
      <c r="F44" s="1814">
        <f t="shared" si="3"/>
        <v>0</v>
      </c>
      <c r="G44" s="1815">
        <f t="shared" si="4"/>
        <v>0</v>
      </c>
    </row>
    <row r="45" spans="1:7" x14ac:dyDescent="0.25">
      <c r="A45" s="1674"/>
      <c r="B45" s="1961"/>
      <c r="C45" s="1960"/>
      <c r="D45" s="1866"/>
      <c r="E45" s="1561">
        <f t="shared" si="2"/>
        <v>0</v>
      </c>
      <c r="F45" s="1814">
        <f t="shared" si="3"/>
        <v>0</v>
      </c>
      <c r="G45" s="1815">
        <f t="shared" si="4"/>
        <v>0</v>
      </c>
    </row>
    <row r="46" spans="1:7" x14ac:dyDescent="0.25">
      <c r="A46" s="1674"/>
      <c r="B46" s="1961"/>
      <c r="C46" s="1960"/>
      <c r="D46" s="1866"/>
      <c r="E46" s="1561">
        <f t="shared" si="2"/>
        <v>0</v>
      </c>
      <c r="F46" s="1814">
        <f t="shared" si="3"/>
        <v>0</v>
      </c>
      <c r="G46" s="1815">
        <f t="shared" si="4"/>
        <v>0</v>
      </c>
    </row>
    <row r="47" spans="1:7" x14ac:dyDescent="0.25">
      <c r="A47" s="1674"/>
      <c r="B47" s="1961"/>
      <c r="C47" s="1960"/>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810641</v>
      </c>
      <c r="E141" s="1562">
        <f t="shared" si="1"/>
        <v>25000</v>
      </c>
      <c r="F141" s="1816">
        <f>SUM(F17:F140)</f>
        <v>166785</v>
      </c>
      <c r="G141" s="1817">
        <f>SUM(G17:G140)</f>
        <v>613535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&amp;LSee Notes to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1778</v>
      </c>
      <c r="B5" s="2306"/>
      <c r="C5" s="2306"/>
      <c r="D5" s="2306"/>
      <c r="E5" s="2306"/>
      <c r="F5" s="2306"/>
      <c r="G5" s="2307"/>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286515</v>
      </c>
      <c r="F10" s="975"/>
      <c r="G10" s="976"/>
      <c r="H10" s="162"/>
      <c r="I10" s="162"/>
    </row>
    <row r="11" spans="1:9" s="669" customFormat="1" ht="22.5" customHeight="1" x14ac:dyDescent="0.2">
      <c r="A11" s="2310" t="s">
        <v>1943</v>
      </c>
      <c r="B11" s="2311"/>
      <c r="C11" s="2311"/>
      <c r="D11" s="2312"/>
      <c r="E11" s="978">
        <v>38944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7020962</v>
      </c>
      <c r="F19" s="1821"/>
      <c r="G19" s="1823">
        <f>'Expenditures 15-22'!K33-SUM('Expenditures 15-22'!G33,'Expenditures 15-22'!I33)+'Expenditures 15-22'!D229</f>
        <v>7020962</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317743</v>
      </c>
      <c r="F21" s="1824"/>
      <c r="G21" s="1827">
        <f>'Expenditures 15-22'!K42-SUM('Expenditures 15-22'!G42,'Expenditures 15-22'!I42)+'Expenditures 15-22'!K120-SUM('Expenditures 15-22'!G120,'Expenditures 15-22'!I120)+'Expenditures 15-22'!K180-SUM('Expenditures 15-22'!G180,'Expenditures 15-22'!I180)+'Expenditures 15-22'!D238</f>
        <v>317743</v>
      </c>
      <c r="H21" s="988"/>
      <c r="I21" s="162"/>
    </row>
    <row r="22" spans="1:9" s="669" customFormat="1" ht="12" customHeight="1" x14ac:dyDescent="0.2">
      <c r="A22" s="995" t="s">
        <v>585</v>
      </c>
      <c r="B22" s="996"/>
      <c r="C22" s="994">
        <v>2200</v>
      </c>
      <c r="D22" s="1824"/>
      <c r="E22" s="1826">
        <f>'Expenditures 15-22'!K47-SUM('Expenditures 15-22'!G47,'Expenditures 15-22'!I47)+'Expenditures 15-22'!D243</f>
        <v>258276</v>
      </c>
      <c r="F22" s="1824"/>
      <c r="G22" s="1827">
        <f>'Expenditures 15-22'!K47-SUM('Expenditures 15-22'!G47,'Expenditures 15-22'!I47)+'Expenditures 15-22'!D243</f>
        <v>258276</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869014</v>
      </c>
      <c r="F23" s="1824"/>
      <c r="G23" s="1826">
        <f>'Expenditures 15-22'!K53-SUM('Expenditures 15-22'!G53,'Expenditures 15-22'!I53)+'Expenditures 15-22'!D257+'Expenditures 15-22'!K330-SUM('Expenditures 15-22'!G330,'Expenditures 15-22'!I330)</f>
        <v>869014</v>
      </c>
      <c r="H23" s="988"/>
      <c r="I23" s="162"/>
    </row>
    <row r="24" spans="1:9" s="669" customFormat="1" ht="12" customHeight="1" x14ac:dyDescent="0.2">
      <c r="A24" s="995" t="s">
        <v>587</v>
      </c>
      <c r="B24" s="996"/>
      <c r="C24" s="994">
        <v>2400</v>
      </c>
      <c r="D24" s="1824"/>
      <c r="E24" s="1826">
        <f>'Expenditures 15-22'!K57-SUM('Expenditures 15-22'!G57,'Expenditures 15-22'!I57)+'Expenditures 15-22'!D261</f>
        <v>621277</v>
      </c>
      <c r="F24" s="1824"/>
      <c r="G24" s="1827">
        <f>'Expenditures 15-22'!K57-SUM('Expenditures 15-22'!G57,'Expenditures 15-22'!I57)+'Expenditures 15-22'!D261</f>
        <v>621277</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62507</v>
      </c>
      <c r="E27" s="1826">
        <f>E8</f>
        <v>0</v>
      </c>
      <c r="F27" s="1826">
        <f>'Expenditures 15-22'!K60-SUM('Expenditures 15-22'!G60,'Expenditures 15-22'!I60)+'Expenditures 15-22'!D264-E8</f>
        <v>62507</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1009384</v>
      </c>
      <c r="F28" s="1828">
        <f>'Expenditures 15-22'!K61-SUM('Expenditures 15-22'!G61,'Expenditures 15-22'!I61)+'Expenditures 15-22'!K124-SUM('Expenditures 15-22'!G124,'Expenditures 15-22'!I124)+'Expenditures 15-22'!D266-E9</f>
        <v>1009384</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478699</v>
      </c>
      <c r="F29" s="1824"/>
      <c r="G29" s="1827">
        <f>'Expenditures 15-22'!K62-SUM('Expenditures 15-22'!G62,'Expenditures 15-22'!I62)+'Expenditures 15-22'!K125-SUM('Expenditures 15-22'!G125,'Expenditures 15-22'!I125)+'Expenditures 15-22'!K182-SUM('Expenditures 15-22'!G182,'Expenditures 15-22'!I182)+'Expenditures 15-22'!D267</f>
        <v>478699</v>
      </c>
      <c r="H29" s="986"/>
    </row>
    <row r="30" spans="1:9" ht="12" customHeight="1" x14ac:dyDescent="0.2">
      <c r="A30" s="995" t="s">
        <v>102</v>
      </c>
      <c r="B30" s="998"/>
      <c r="C30" s="994">
        <v>2560</v>
      </c>
      <c r="D30" s="1824"/>
      <c r="E30" s="1826">
        <f>'Expenditures 15-22'!K63-SUM('Expenditures 15-22'!G63,'Expenditures 15-22'!I63)+'Expenditures 15-22'!D268-E10</f>
        <v>209138</v>
      </c>
      <c r="F30" s="1824"/>
      <c r="G30" s="1826">
        <f>'Expenditures 15-22'!K63-SUM('Expenditures 15-22'!G63,'Expenditures 15-22'!I63)+'Expenditures 15-22'!D268-E10</f>
        <v>209138</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110323</v>
      </c>
      <c r="F39" s="1824"/>
      <c r="G39" s="1826">
        <f>'Expenditures 15-22'!K75-SUM('Expenditures 15-22'!G75,'Expenditures 15-22'!I75)+'Expenditures 15-22'!K130-SUM('Expenditures 15-22'!G130,'Expenditures 15-22'!I130)+'Expenditures 15-22'!K185-SUM('Expenditures 15-22'!G185,'Expenditures 15-22'!I185)+'Expenditures 15-22'!D280</f>
        <v>110323</v>
      </c>
    </row>
    <row r="40" spans="1:7" ht="12" customHeight="1" x14ac:dyDescent="0.2">
      <c r="A40" s="991" t="s">
        <v>1928</v>
      </c>
      <c r="B40" s="992"/>
      <c r="C40" s="994"/>
      <c r="D40" s="1824"/>
      <c r="E40" s="1828">
        <f>-'Contracts Paid in CY 29'!G141</f>
        <v>-613535</v>
      </c>
      <c r="F40" s="1824"/>
      <c r="G40" s="1828">
        <f>-'Contracts Paid in CY 29'!G141</f>
        <v>-613535</v>
      </c>
    </row>
    <row r="41" spans="1:7" ht="12" customHeight="1" x14ac:dyDescent="0.2">
      <c r="A41" s="999" t="s">
        <v>158</v>
      </c>
      <c r="B41" s="1000"/>
      <c r="C41" s="1001"/>
      <c r="D41" s="1828">
        <f>SUM(D19:D39)</f>
        <v>62507</v>
      </c>
      <c r="E41" s="1828">
        <f>SUM(E19:E40)</f>
        <v>10281281</v>
      </c>
      <c r="F41" s="1828">
        <f>SUM(F19:F39)</f>
        <v>1071891</v>
      </c>
      <c r="G41" s="1828">
        <f>SUM(G19:G40)</f>
        <v>9271897</v>
      </c>
    </row>
    <row r="42" spans="1:7" x14ac:dyDescent="0.2">
      <c r="A42" s="988"/>
      <c r="B42" s="162"/>
      <c r="C42" s="1002"/>
      <c r="D42" s="2308" t="s">
        <v>543</v>
      </c>
      <c r="E42" s="2309"/>
      <c r="F42" s="1003" t="s">
        <v>544</v>
      </c>
      <c r="G42" s="1004"/>
    </row>
    <row r="43" spans="1:7" ht="12" customHeight="1" x14ac:dyDescent="0.2">
      <c r="A43" s="988"/>
      <c r="B43" s="162"/>
      <c r="C43" s="1002"/>
      <c r="D43" s="1829" t="s">
        <v>493</v>
      </c>
      <c r="E43" s="1830">
        <f>D41</f>
        <v>62507</v>
      </c>
      <c r="F43" s="1829" t="s">
        <v>495</v>
      </c>
      <c r="G43" s="1830">
        <f>F41</f>
        <v>1071891</v>
      </c>
    </row>
    <row r="44" spans="1:7" ht="12" customHeight="1" x14ac:dyDescent="0.2">
      <c r="A44" s="988"/>
      <c r="B44" s="162"/>
      <c r="C44" s="1002"/>
      <c r="D44" s="1829" t="s">
        <v>494</v>
      </c>
      <c r="E44" s="1830">
        <f>E41</f>
        <v>10281281</v>
      </c>
      <c r="F44" s="1829" t="s">
        <v>494</v>
      </c>
      <c r="G44" s="1830">
        <f>G41</f>
        <v>9271897</v>
      </c>
    </row>
    <row r="45" spans="1:7" ht="12" customHeight="1" x14ac:dyDescent="0.2">
      <c r="A45" s="988"/>
      <c r="B45" s="162"/>
      <c r="C45" s="162"/>
      <c r="D45" s="1831" t="s">
        <v>1063</v>
      </c>
      <c r="E45" s="1832">
        <f>(E43/E44)</f>
        <v>6.0796898752208022E-3</v>
      </c>
      <c r="F45" s="1831" t="s">
        <v>1063</v>
      </c>
      <c r="G45" s="1832">
        <f>(G43/G44)</f>
        <v>0.11560643954521928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6" t="s">
        <v>1446</v>
      </c>
      <c r="B1" s="2316"/>
      <c r="C1" s="2316"/>
      <c r="D1" s="2316"/>
      <c r="E1" s="2316"/>
      <c r="F1" s="2316"/>
    </row>
    <row r="2" spans="1:10" x14ac:dyDescent="0.2">
      <c r="A2" s="1910" t="s">
        <v>2046</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7" t="s">
        <v>1627</v>
      </c>
      <c r="B5" s="2318"/>
      <c r="C5" s="2319"/>
      <c r="D5" s="2319"/>
      <c r="E5" s="2319"/>
      <c r="F5" s="2319"/>
    </row>
    <row r="6" spans="1:10" ht="12" customHeight="1" x14ac:dyDescent="0.25">
      <c r="A6" s="1873"/>
      <c r="B6" s="1874"/>
      <c r="C6" s="2320" t="str">
        <f>COVER!A17</f>
        <v>Wesclin CUSD 3</v>
      </c>
      <c r="D6" s="2320"/>
      <c r="E6" s="2320"/>
      <c r="F6" s="1875"/>
    </row>
    <row r="7" spans="1:10" ht="11.25" customHeight="1" thickBot="1" x14ac:dyDescent="0.3">
      <c r="A7" s="1873"/>
      <c r="B7" s="1874"/>
      <c r="C7" s="2321">
        <f>COVER!A13</f>
        <v>13014003026</v>
      </c>
      <c r="D7" s="2321"/>
      <c r="E7" s="2321"/>
      <c r="F7" s="1875"/>
    </row>
    <row r="8" spans="1:10" ht="25.5" customHeight="1" thickBot="1" x14ac:dyDescent="0.25">
      <c r="A8" s="1916" t="s">
        <v>2023</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2075</v>
      </c>
      <c r="D14" s="1888" t="s">
        <v>2075</v>
      </c>
      <c r="E14" s="1891" t="s">
        <v>2075</v>
      </c>
      <c r="F14" s="1890" t="s">
        <v>2135</v>
      </c>
      <c r="H14" s="1901">
        <f t="shared" si="0"/>
        <v>5</v>
      </c>
      <c r="I14" s="1901">
        <f t="shared" si="1"/>
        <v>5</v>
      </c>
      <c r="J14" s="1901">
        <f t="shared" si="2"/>
        <v>5</v>
      </c>
    </row>
    <row r="15" spans="1:10" ht="12" customHeight="1" x14ac:dyDescent="0.2">
      <c r="A15" s="1886" t="s">
        <v>1454</v>
      </c>
      <c r="B15" s="1887"/>
      <c r="C15" s="1888" t="s">
        <v>2075</v>
      </c>
      <c r="D15" s="1888" t="s">
        <v>2075</v>
      </c>
      <c r="E15" s="1891" t="s">
        <v>2075</v>
      </c>
      <c r="F15" s="1890" t="s">
        <v>2136</v>
      </c>
      <c r="H15" s="1901">
        <f t="shared" si="0"/>
        <v>5</v>
      </c>
      <c r="I15" s="1901">
        <f t="shared" si="1"/>
        <v>5</v>
      </c>
      <c r="J15" s="1901">
        <f t="shared" si="2"/>
        <v>5</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2075</v>
      </c>
      <c r="D19" s="1888" t="s">
        <v>2075</v>
      </c>
      <c r="E19" s="1891" t="s">
        <v>2075</v>
      </c>
      <c r="F19" s="1890" t="s">
        <v>2135</v>
      </c>
      <c r="H19" s="1901">
        <f t="shared" si="0"/>
        <v>5</v>
      </c>
      <c r="I19" s="1901">
        <f t="shared" si="1"/>
        <v>5</v>
      </c>
      <c r="J19" s="1901">
        <f t="shared" si="2"/>
        <v>5</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2075</v>
      </c>
      <c r="D24" s="1888" t="s">
        <v>2075</v>
      </c>
      <c r="E24" s="1891" t="s">
        <v>2075</v>
      </c>
      <c r="F24" s="1890" t="s">
        <v>2137</v>
      </c>
      <c r="H24" s="1901">
        <f t="shared" si="0"/>
        <v>5</v>
      </c>
      <c r="I24" s="1901">
        <f t="shared" si="1"/>
        <v>5</v>
      </c>
      <c r="J24" s="1901">
        <f t="shared" si="2"/>
        <v>5</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2075</v>
      </c>
      <c r="D26" s="1888" t="s">
        <v>2075</v>
      </c>
      <c r="E26" s="1891" t="s">
        <v>2075</v>
      </c>
      <c r="F26" s="1890" t="s">
        <v>2138</v>
      </c>
      <c r="H26" s="1901">
        <f t="shared" si="0"/>
        <v>5</v>
      </c>
      <c r="I26" s="1901">
        <f t="shared" si="1"/>
        <v>5</v>
      </c>
      <c r="J26" s="1901">
        <f t="shared" si="2"/>
        <v>5</v>
      </c>
    </row>
    <row r="27" spans="1:12" ht="18.75" x14ac:dyDescent="0.2">
      <c r="A27" s="1886" t="s">
        <v>1616</v>
      </c>
      <c r="B27" s="1887"/>
      <c r="C27" s="1888" t="s">
        <v>2075</v>
      </c>
      <c r="D27" s="1888" t="s">
        <v>2075</v>
      </c>
      <c r="E27" s="1891" t="s">
        <v>2075</v>
      </c>
      <c r="F27" s="1890" t="s">
        <v>2139</v>
      </c>
      <c r="H27" s="1901">
        <f t="shared" si="0"/>
        <v>5</v>
      </c>
      <c r="I27" s="1901">
        <f t="shared" si="1"/>
        <v>5</v>
      </c>
      <c r="J27" s="1901">
        <f t="shared" si="2"/>
        <v>5</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2075</v>
      </c>
      <c r="D29" s="1888" t="s">
        <v>2075</v>
      </c>
      <c r="E29" s="1891" t="s">
        <v>2075</v>
      </c>
      <c r="F29" s="1890"/>
      <c r="H29" s="1901">
        <f t="shared" si="0"/>
        <v>5</v>
      </c>
      <c r="I29" s="1901">
        <f t="shared" si="1"/>
        <v>5</v>
      </c>
      <c r="J29" s="1901">
        <f t="shared" si="2"/>
        <v>5</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2075</v>
      </c>
      <c r="D31" s="1888" t="s">
        <v>2075</v>
      </c>
      <c r="E31" s="1891" t="s">
        <v>2075</v>
      </c>
      <c r="F31" s="1890" t="s">
        <v>2140</v>
      </c>
      <c r="H31" s="1901">
        <f t="shared" si="0"/>
        <v>5</v>
      </c>
      <c r="I31" s="1901">
        <f t="shared" si="1"/>
        <v>5</v>
      </c>
      <c r="J31" s="1901">
        <f t="shared" si="2"/>
        <v>5</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40</v>
      </c>
      <c r="I34" s="1901">
        <f>SUM(I11:I32)</f>
        <v>40</v>
      </c>
      <c r="J34" s="1901">
        <f>SUM(J11:J32)</f>
        <v>40</v>
      </c>
      <c r="K34" s="1901">
        <f>SUM(H34:J34)</f>
        <v>120</v>
      </c>
    </row>
    <row r="35" spans="1:11" ht="12" customHeight="1" x14ac:dyDescent="0.2">
      <c r="A35" s="1894" t="s">
        <v>1459</v>
      </c>
      <c r="B35" s="1895"/>
      <c r="C35" s="2322"/>
      <c r="D35" s="2322"/>
      <c r="E35" s="2322"/>
      <c r="F35" s="2323"/>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27"/>
      <c r="B38" s="2328"/>
      <c r="C38" s="2328"/>
      <c r="D38" s="2328"/>
      <c r="E38" s="2328"/>
      <c r="F38" s="2329"/>
    </row>
    <row r="39" spans="1:11" ht="4.5" hidden="1" customHeight="1" x14ac:dyDescent="0.2">
      <c r="A39" s="1896"/>
      <c r="B39" s="1896"/>
      <c r="C39" s="1896"/>
      <c r="D39" s="1896"/>
      <c r="E39" s="1896"/>
      <c r="F39" s="1896"/>
    </row>
    <row r="40" spans="1:11" s="1893" customFormat="1" ht="12" customHeight="1" x14ac:dyDescent="0.25">
      <c r="A40" s="1897" t="s">
        <v>1458</v>
      </c>
      <c r="B40" s="1898"/>
      <c r="C40" s="2330"/>
      <c r="D40" s="2330"/>
      <c r="E40" s="2330"/>
      <c r="F40" s="2331"/>
      <c r="H40" s="1902"/>
      <c r="I40" s="1902"/>
      <c r="J40" s="1902"/>
      <c r="K40" s="1902"/>
    </row>
    <row r="41" spans="1:11" s="1893" customFormat="1" ht="12" customHeight="1" x14ac:dyDescent="0.25">
      <c r="A41" s="2332" t="s">
        <v>2168</v>
      </c>
      <c r="B41" s="2333"/>
      <c r="C41" s="2333"/>
      <c r="D41" s="2333"/>
      <c r="E41" s="2333"/>
      <c r="F41" s="2334"/>
      <c r="H41" s="1902"/>
      <c r="I41" s="1902"/>
      <c r="J41" s="1902"/>
      <c r="K41" s="1902"/>
    </row>
    <row r="42" spans="1:11" s="1893" customFormat="1" ht="12" customHeight="1" x14ac:dyDescent="0.25">
      <c r="A42" s="2332"/>
      <c r="B42" s="2333"/>
      <c r="C42" s="2333"/>
      <c r="D42" s="2333"/>
      <c r="E42" s="2333"/>
      <c r="F42" s="2334"/>
      <c r="H42" s="1902"/>
      <c r="I42" s="1902"/>
      <c r="J42" s="1902"/>
      <c r="K42" s="1902"/>
    </row>
    <row r="43" spans="1:11" s="1893" customFormat="1" ht="15" x14ac:dyDescent="0.25">
      <c r="A43" s="2324"/>
      <c r="B43" s="2325"/>
      <c r="C43" s="2325"/>
      <c r="D43" s="2325"/>
      <c r="E43" s="2325"/>
      <c r="F43" s="2326"/>
      <c r="H43" s="1902"/>
      <c r="I43" s="1902"/>
      <c r="J43" s="1902"/>
      <c r="K43" s="1902"/>
    </row>
    <row r="44" spans="1:11" s="1893" customFormat="1" ht="12" hidden="1" customHeight="1" x14ac:dyDescent="0.25">
      <c r="A44" s="2324"/>
      <c r="B44" s="2325"/>
      <c r="C44" s="2325"/>
      <c r="D44" s="2325"/>
      <c r="E44" s="2325"/>
      <c r="F44" s="2326"/>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&amp;LSee Notes to Financial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3"/>
      <c r="C6" s="1663"/>
      <c r="D6" s="1663"/>
      <c r="E6" s="1664"/>
      <c r="F6" s="1016"/>
      <c r="G6" s="1010"/>
      <c r="H6" s="1017" t="s">
        <v>1086</v>
      </c>
      <c r="I6" s="2340" t="str">
        <f>COVER!A17</f>
        <v>Wesclin CUSD 3</v>
      </c>
      <c r="J6" s="2341"/>
      <c r="Q6" s="1685"/>
    </row>
    <row r="7" spans="1:17" x14ac:dyDescent="0.2">
      <c r="A7" s="2342" t="s">
        <v>924</v>
      </c>
      <c r="B7" s="2343"/>
      <c r="C7" s="2343"/>
      <c r="D7" s="2343"/>
      <c r="E7" s="2344"/>
      <c r="F7" s="1018"/>
      <c r="G7" s="1010"/>
      <c r="H7" s="1017" t="s">
        <v>390</v>
      </c>
      <c r="I7" s="2345">
        <f>COVER!A13</f>
        <v>13014003026</v>
      </c>
      <c r="J7" s="2345"/>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182346</v>
      </c>
      <c r="F12" s="1040"/>
      <c r="G12" s="1833">
        <f t="shared" ref="G12:G18" si="0">SUM(E12:F12)</f>
        <v>182346</v>
      </c>
      <c r="H12" s="1041">
        <v>183887</v>
      </c>
      <c r="I12" s="1040"/>
      <c r="J12" s="1833">
        <f t="shared" ref="J12:J18" si="1">SUM(H12:I12)</f>
        <v>183887</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9" t="s">
        <v>7</v>
      </c>
      <c r="C18" s="2350"/>
      <c r="D18" s="2351"/>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182346</v>
      </c>
      <c r="F19" s="1835">
        <f t="shared" si="2"/>
        <v>0</v>
      </c>
      <c r="G19" s="1835">
        <f t="shared" si="2"/>
        <v>182346</v>
      </c>
      <c r="H19" s="1835">
        <f t="shared" si="2"/>
        <v>183887</v>
      </c>
      <c r="I19" s="1835">
        <f t="shared" si="2"/>
        <v>0</v>
      </c>
      <c r="J19" s="1835">
        <f t="shared" si="2"/>
        <v>183887</v>
      </c>
    </row>
    <row r="20" spans="1:10" ht="13.5" thickTop="1" x14ac:dyDescent="0.2">
      <c r="A20" s="1036">
        <v>9</v>
      </c>
      <c r="B20" s="2352" t="s">
        <v>1703</v>
      </c>
      <c r="C20" s="2352"/>
      <c r="D20" s="2353"/>
      <c r="E20" s="1047"/>
      <c r="F20" s="1047"/>
      <c r="G20" s="1047"/>
      <c r="H20" s="1047"/>
      <c r="I20" s="1047"/>
      <c r="J20" s="1836">
        <f>IF(AND(G19&gt;0,J19&gt;0),(((J19-G19)/G19)),"Enter Budget Data")</f>
        <v>8.4509668432540333E-3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c r="D28" s="2356"/>
      <c r="E28" s="1055"/>
      <c r="F28" s="2356"/>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1942</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&amp;LSee Notes to Financial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E65"/>
  <sheetViews>
    <sheetView showGridLines="0" zoomScale="110" zoomScaleNormal="110" workbookViewId="0"/>
  </sheetViews>
  <sheetFormatPr defaultRowHeight="12.75" x14ac:dyDescent="0.2"/>
  <cols>
    <col min="1" max="1" width="12.7109375" style="329" customWidth="1"/>
    <col min="2" max="3" width="10.85546875" style="329" customWidth="1"/>
    <col min="4" max="4" width="59.85546875" style="329" customWidth="1"/>
    <col min="5" max="5" width="16.85546875" style="329" customWidth="1"/>
    <col min="6" max="16384" width="9.140625" style="329"/>
  </cols>
  <sheetData>
    <row r="2" spans="1:5" x14ac:dyDescent="0.2">
      <c r="A2" s="389" t="s">
        <v>276</v>
      </c>
    </row>
    <row r="3" spans="1:5" x14ac:dyDescent="0.2">
      <c r="A3" s="329" t="s">
        <v>277</v>
      </c>
    </row>
    <row r="5" spans="1:5" ht="13.5" thickBot="1" x14ac:dyDescent="0.25">
      <c r="A5" s="1955" t="s">
        <v>2085</v>
      </c>
      <c r="B5" s="1954" t="s">
        <v>2086</v>
      </c>
      <c r="C5" s="1954" t="s">
        <v>2087</v>
      </c>
      <c r="D5" s="1954" t="s">
        <v>2088</v>
      </c>
      <c r="E5" s="1954" t="s">
        <v>2089</v>
      </c>
    </row>
    <row r="6" spans="1:5" x14ac:dyDescent="0.2">
      <c r="A6" s="1956" t="s">
        <v>479</v>
      </c>
      <c r="B6" s="1957">
        <v>10</v>
      </c>
      <c r="C6" s="1957">
        <v>81</v>
      </c>
      <c r="D6" s="329" t="s">
        <v>2143</v>
      </c>
    </row>
    <row r="7" spans="1:5" x14ac:dyDescent="0.2">
      <c r="A7" s="1956"/>
      <c r="B7" s="1957"/>
      <c r="C7" s="1957"/>
      <c r="D7" s="329" t="s">
        <v>2144</v>
      </c>
      <c r="E7" s="1958">
        <v>141783</v>
      </c>
    </row>
    <row r="8" spans="1:5" x14ac:dyDescent="0.2">
      <c r="A8" s="1956"/>
      <c r="B8" s="1957"/>
      <c r="C8" s="1957"/>
      <c r="E8" s="1958"/>
    </row>
    <row r="9" spans="1:5" x14ac:dyDescent="0.2">
      <c r="A9" s="1956" t="s">
        <v>479</v>
      </c>
      <c r="B9" s="1957">
        <v>11</v>
      </c>
      <c r="C9" s="1957">
        <v>107</v>
      </c>
      <c r="D9" s="329" t="s">
        <v>2145</v>
      </c>
      <c r="E9" s="1958"/>
    </row>
    <row r="10" spans="1:5" x14ac:dyDescent="0.2">
      <c r="A10" s="1956"/>
      <c r="B10" s="1957"/>
      <c r="C10" s="1957"/>
      <c r="D10" s="329" t="s">
        <v>2146</v>
      </c>
      <c r="E10" s="1958">
        <v>10675</v>
      </c>
    </row>
    <row r="11" spans="1:5" x14ac:dyDescent="0.2">
      <c r="A11" s="1956"/>
      <c r="B11" s="1957"/>
      <c r="C11" s="1957"/>
      <c r="E11" s="1958"/>
    </row>
    <row r="12" spans="1:5" x14ac:dyDescent="0.2">
      <c r="A12" s="1956" t="s">
        <v>480</v>
      </c>
      <c r="B12" s="1957">
        <v>11</v>
      </c>
      <c r="C12" s="1957">
        <v>107</v>
      </c>
      <c r="D12" s="329" t="s">
        <v>2145</v>
      </c>
      <c r="E12" s="1958"/>
    </row>
    <row r="13" spans="1:5" x14ac:dyDescent="0.2">
      <c r="A13" s="1956"/>
      <c r="B13" s="1957"/>
      <c r="C13" s="1957"/>
      <c r="D13" s="329" t="s">
        <v>2146</v>
      </c>
      <c r="E13" s="1958">
        <v>47369</v>
      </c>
    </row>
    <row r="14" spans="1:5" x14ac:dyDescent="0.2">
      <c r="A14" s="1956"/>
      <c r="B14" s="1957"/>
      <c r="C14" s="1957"/>
      <c r="E14" s="1958"/>
    </row>
    <row r="15" spans="1:5" x14ac:dyDescent="0.2">
      <c r="A15" s="1956" t="s">
        <v>2147</v>
      </c>
      <c r="B15" s="1957">
        <v>11</v>
      </c>
      <c r="C15" s="1957">
        <v>107</v>
      </c>
      <c r="D15" s="329" t="s">
        <v>2145</v>
      </c>
      <c r="E15" s="1958"/>
    </row>
    <row r="16" spans="1:5" x14ac:dyDescent="0.2">
      <c r="A16" s="1956"/>
      <c r="B16" s="1957"/>
      <c r="C16" s="1957"/>
      <c r="D16" s="329" t="s">
        <v>2146</v>
      </c>
      <c r="E16" s="1958">
        <v>825</v>
      </c>
    </row>
    <row r="17" spans="1:5" x14ac:dyDescent="0.2">
      <c r="A17" s="1956"/>
      <c r="B17" s="1957"/>
      <c r="C17" s="1957"/>
      <c r="E17" s="1958"/>
    </row>
    <row r="18" spans="1:5" x14ac:dyDescent="0.2">
      <c r="A18" s="1956" t="s">
        <v>479</v>
      </c>
      <c r="B18" s="1957">
        <v>12</v>
      </c>
      <c r="C18" s="1957">
        <v>171</v>
      </c>
      <c r="D18" s="329" t="s">
        <v>564</v>
      </c>
      <c r="E18" s="1958"/>
    </row>
    <row r="19" spans="1:5" x14ac:dyDescent="0.2">
      <c r="A19" s="1956"/>
      <c r="B19" s="1957"/>
      <c r="C19" s="1957"/>
      <c r="D19" s="329" t="s">
        <v>2148</v>
      </c>
      <c r="E19" s="1958">
        <v>1500</v>
      </c>
    </row>
    <row r="20" spans="1:5" x14ac:dyDescent="0.2">
      <c r="A20" s="1956"/>
      <c r="B20" s="1957"/>
      <c r="C20" s="1957"/>
      <c r="E20" s="1958"/>
    </row>
    <row r="21" spans="1:5" x14ac:dyDescent="0.2">
      <c r="A21" s="1956" t="s">
        <v>479</v>
      </c>
      <c r="B21" s="1957">
        <v>13</v>
      </c>
      <c r="C21" s="1957">
        <v>227</v>
      </c>
      <c r="D21" s="329" t="s">
        <v>2149</v>
      </c>
      <c r="E21" s="1958"/>
    </row>
    <row r="22" spans="1:5" x14ac:dyDescent="0.2">
      <c r="A22" s="1956"/>
      <c r="B22" s="1957"/>
      <c r="C22" s="1957"/>
      <c r="D22" s="329" t="s">
        <v>2150</v>
      </c>
      <c r="E22" s="1958">
        <v>9685</v>
      </c>
    </row>
    <row r="23" spans="1:5" x14ac:dyDescent="0.2">
      <c r="A23" s="1956"/>
      <c r="B23" s="1957"/>
      <c r="C23" s="1957"/>
      <c r="E23" s="1958"/>
    </row>
    <row r="24" spans="1:5" x14ac:dyDescent="0.2">
      <c r="A24" s="1956" t="s">
        <v>479</v>
      </c>
      <c r="B24" s="1957">
        <v>15</v>
      </c>
      <c r="C24" s="1957">
        <v>41</v>
      </c>
      <c r="D24" s="329" t="s">
        <v>2151</v>
      </c>
      <c r="E24" s="1958"/>
    </row>
    <row r="25" spans="1:5" x14ac:dyDescent="0.2">
      <c r="A25" s="1956"/>
      <c r="B25" s="1957"/>
      <c r="C25" s="1957"/>
      <c r="D25" s="329" t="s">
        <v>2152</v>
      </c>
      <c r="E25" s="1958">
        <v>4829</v>
      </c>
    </row>
    <row r="26" spans="1:5" x14ac:dyDescent="0.2">
      <c r="A26" s="1956"/>
      <c r="C26" s="1957"/>
      <c r="E26" s="1958"/>
    </row>
    <row r="27" spans="1:5" x14ac:dyDescent="0.2">
      <c r="A27" s="1956" t="s">
        <v>520</v>
      </c>
      <c r="B27" s="1957">
        <v>18</v>
      </c>
      <c r="C27" s="1957">
        <v>171</v>
      </c>
      <c r="D27" s="329" t="s">
        <v>2153</v>
      </c>
      <c r="E27" s="1958"/>
    </row>
    <row r="28" spans="1:5" x14ac:dyDescent="0.2">
      <c r="A28" s="1956"/>
      <c r="D28" s="329" t="s">
        <v>2154</v>
      </c>
      <c r="E28" s="329">
        <v>500</v>
      </c>
    </row>
    <row r="29" spans="1:5" x14ac:dyDescent="0.2">
      <c r="A29" s="1956"/>
    </row>
    <row r="30" spans="1:5" x14ac:dyDescent="0.2">
      <c r="A30" s="1956"/>
    </row>
    <row r="31" spans="1:5" x14ac:dyDescent="0.2">
      <c r="A31" s="1956"/>
    </row>
    <row r="32" spans="1:5" x14ac:dyDescent="0.2">
      <c r="A32" s="1956"/>
    </row>
    <row r="33" spans="1:1" x14ac:dyDescent="0.2">
      <c r="A33" s="1956"/>
    </row>
    <row r="34" spans="1:1" x14ac:dyDescent="0.2">
      <c r="A34" s="1956"/>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Wesclin CUSD 3</v>
      </c>
    </row>
    <row r="65" spans="2:2" x14ac:dyDescent="0.2">
      <c r="B65" s="1070">
        <f>COVER!A13</f>
        <v>13014003026</v>
      </c>
    </row>
  </sheetData>
  <phoneticPr fontId="14" type="noConversion"/>
  <pageMargins left="0.2" right="0.2" top="1.17" bottom="0.75" header="0.19" footer="0.16"/>
  <pageSetup scale="81" firstPageNumber="32" orientation="portrait" useFirstPageNumber="1" r:id="rId1"/>
  <headerFooter alignWithMargins="0">
    <oddHeader>&amp;L&amp;8Page 33&amp;C &amp;R&amp;8Page 33</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8" t="s">
        <v>1709</v>
      </c>
    </row>
    <row r="23" spans="1:5" x14ac:dyDescent="0.2">
      <c r="A23" s="168"/>
      <c r="B23" s="162" t="s">
        <v>1967</v>
      </c>
      <c r="D23" s="167" t="s">
        <v>658</v>
      </c>
      <c r="E23" s="1858"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6" t="s">
        <v>1877</v>
      </c>
    </row>
    <row r="60" spans="1:3" x14ac:dyDescent="0.2">
      <c r="A60" s="196"/>
      <c r="B60" s="1506"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8"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7"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&amp;LSee Notes to Financial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oddFooter>&amp;LSee Notes to Financial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9" t="s">
        <v>1784</v>
      </c>
      <c r="B18" s="235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647700</xdr:colOff>
                <xdr:row>3</xdr:row>
                <xdr:rowOff>114300</xdr:rowOff>
              </from>
              <to>
                <xdr:col>1</xdr:col>
                <xdr:colOff>1562100</xdr:colOff>
                <xdr:row>7</xdr:row>
                <xdr:rowOff>152400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4"/>
      <c r="H2" s="1074"/>
    </row>
    <row r="3" spans="1:8" ht="57" customHeight="1" x14ac:dyDescent="0.2">
      <c r="A3" s="2373" t="s">
        <v>1786</v>
      </c>
      <c r="B3" s="2374"/>
      <c r="C3" s="2374"/>
      <c r="D3" s="2374"/>
      <c r="E3" s="2374"/>
      <c r="F3" s="2375"/>
      <c r="G3" s="1074"/>
      <c r="H3" s="1074"/>
    </row>
    <row r="4" spans="1:8" ht="14.25" customHeight="1" x14ac:dyDescent="0.2">
      <c r="A4" s="2379" t="s">
        <v>2054</v>
      </c>
      <c r="B4" s="2380"/>
      <c r="C4" s="2380"/>
      <c r="D4" s="2380"/>
      <c r="E4" s="2380"/>
      <c r="F4" s="2381"/>
      <c r="G4" s="1074"/>
      <c r="H4" s="1074"/>
    </row>
    <row r="5" spans="1:8" ht="14.25" customHeight="1" x14ac:dyDescent="0.2">
      <c r="A5" s="2382" t="s">
        <v>2055</v>
      </c>
      <c r="B5" s="2383"/>
      <c r="C5" s="2383"/>
      <c r="D5" s="2383"/>
      <c r="E5" s="2383"/>
      <c r="F5" s="2384"/>
      <c r="G5" s="1074"/>
      <c r="H5" s="1074"/>
    </row>
    <row r="6" spans="1:8" s="1075" customFormat="1" ht="41.25" customHeight="1" x14ac:dyDescent="0.2">
      <c r="A6" s="2376" t="s">
        <v>1792</v>
      </c>
      <c r="B6" s="2377"/>
      <c r="C6" s="2377"/>
      <c r="D6" s="2377"/>
      <c r="E6" s="2377"/>
      <c r="F6" s="2378"/>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9488709</v>
      </c>
      <c r="C8" s="1837">
        <f>'Acct Summary 7-8'!D8</f>
        <v>733138</v>
      </c>
      <c r="D8" s="1837">
        <f>'Acct Summary 7-8'!F8</f>
        <v>567667</v>
      </c>
      <c r="E8" s="1837">
        <f>'Acct Summary 7-8'!I8</f>
        <v>74372</v>
      </c>
      <c r="F8" s="1837">
        <f>SUM(B8:E8)</f>
        <v>10863886</v>
      </c>
    </row>
    <row r="9" spans="1:8" s="1079" customFormat="1" ht="14.25" customHeight="1" thickBot="1" x14ac:dyDescent="0.25">
      <c r="A9" s="1078" t="s">
        <v>1436</v>
      </c>
      <c r="B9" s="1838">
        <f>'Acct Summary 7-8'!C17</f>
        <v>9403153</v>
      </c>
      <c r="C9" s="1838">
        <f>'Acct Summary 7-8'!D17</f>
        <v>810348</v>
      </c>
      <c r="D9" s="1838">
        <f>'Acct Summary 7-8'!F17</f>
        <v>420671</v>
      </c>
      <c r="E9" s="1837"/>
      <c r="F9" s="1837">
        <f>SUM(B9:E9)</f>
        <v>10634172</v>
      </c>
    </row>
    <row r="10" spans="1:8" s="1079" customFormat="1" ht="14.25" thickTop="1" thickBot="1" x14ac:dyDescent="0.25">
      <c r="A10" s="1080" t="s">
        <v>1437</v>
      </c>
      <c r="B10" s="1839">
        <f>(B8-B9)</f>
        <v>85556</v>
      </c>
      <c r="C10" s="1839">
        <f>(C8-C9)</f>
        <v>-77210</v>
      </c>
      <c r="D10" s="1839">
        <f>(D8-D9)</f>
        <v>146996</v>
      </c>
      <c r="E10" s="1838">
        <f>(E8-E9)</f>
        <v>74372</v>
      </c>
      <c r="F10" s="1840">
        <f>SUM(F8-F9)</f>
        <v>229714</v>
      </c>
    </row>
    <row r="11" spans="1:8" s="1079" customFormat="1" ht="14.25" thickTop="1" thickBot="1" x14ac:dyDescent="0.25">
      <c r="A11" s="1081" t="s">
        <v>1785</v>
      </c>
      <c r="B11" s="1841">
        <f>'Acct Summary 7-8'!C81</f>
        <v>211104</v>
      </c>
      <c r="C11" s="1841">
        <f>'Acct Summary 7-8'!D81</f>
        <v>680425</v>
      </c>
      <c r="D11" s="1841">
        <f>'Acct Summary 7-8'!F81</f>
        <v>687407</v>
      </c>
      <c r="E11" s="1841">
        <f>'Acct Summary 7-8'!I81</f>
        <v>1319684</v>
      </c>
      <c r="F11" s="1842">
        <f>SUM(B11:E11)</f>
        <v>2898620</v>
      </c>
    </row>
    <row r="12" spans="1:8" ht="16.5" customHeight="1" thickTop="1" x14ac:dyDescent="0.2">
      <c r="A12" s="1082"/>
      <c r="B12" s="1083"/>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4"/>
      <c r="B13" s="1085"/>
      <c r="C13" s="2364"/>
      <c r="D13" s="2365"/>
      <c r="E13" s="2365"/>
      <c r="F13" s="2366"/>
      <c r="H13" s="1074"/>
    </row>
    <row r="14" spans="1:8" ht="19.5" customHeight="1" x14ac:dyDescent="0.2">
      <c r="A14" s="1084"/>
      <c r="B14" s="1085"/>
      <c r="C14" s="2364"/>
      <c r="D14" s="2365"/>
      <c r="E14" s="2365"/>
      <c r="F14" s="2366"/>
      <c r="H14" s="1074"/>
    </row>
    <row r="15" spans="1:8" ht="17.25" customHeight="1" x14ac:dyDescent="0.2">
      <c r="A15" s="1084"/>
      <c r="B15" s="1085"/>
      <c r="C15" s="2367"/>
      <c r="D15" s="2368"/>
      <c r="E15" s="2368"/>
      <c r="F15" s="2369"/>
      <c r="H15" s="1074"/>
    </row>
    <row r="16" spans="1:8" s="310" customFormat="1" ht="51.75" hidden="1" customHeight="1" x14ac:dyDescent="0.2">
      <c r="A16" s="2363" t="s">
        <v>1787</v>
      </c>
      <c r="B16" s="2363"/>
      <c r="C16" s="2363"/>
      <c r="D16" s="2363"/>
      <c r="E16" s="2363"/>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0"/>
      <c r="B2" s="1921"/>
      <c r="C2" s="1922"/>
      <c r="D2" s="1923"/>
    </row>
    <row r="3" spans="1:4" ht="36" customHeight="1" x14ac:dyDescent="0.2">
      <c r="A3" s="2385" t="s">
        <v>686</v>
      </c>
      <c r="B3" s="2386"/>
      <c r="C3" s="2386"/>
      <c r="D3" s="2387"/>
    </row>
    <row r="4" spans="1:4" x14ac:dyDescent="0.2">
      <c r="A4" s="1152" t="s">
        <v>1793</v>
      </c>
      <c r="B4" s="1153"/>
      <c r="C4" s="1154"/>
      <c r="D4" s="1155"/>
    </row>
    <row r="5" spans="1:4" ht="21" customHeight="1" x14ac:dyDescent="0.2">
      <c r="A5" s="1148"/>
      <c r="B5" s="1149">
        <v>1</v>
      </c>
      <c r="C5" s="1150" t="s">
        <v>1944</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6" t="s">
        <v>1584</v>
      </c>
      <c r="D7" s="2397"/>
    </row>
    <row r="8" spans="1:4" s="669" customFormat="1" ht="12.75" x14ac:dyDescent="0.2">
      <c r="A8" s="1138"/>
      <c r="B8" s="1093"/>
      <c r="C8" s="1096" t="s">
        <v>1583</v>
      </c>
      <c r="D8" s="1097"/>
    </row>
    <row r="9" spans="1:4" s="669" customFormat="1" ht="14.25" customHeight="1" x14ac:dyDescent="0.2">
      <c r="A9" s="1138"/>
      <c r="B9" s="1093">
        <f>B7+1</f>
        <v>4</v>
      </c>
      <c r="C9" s="1094" t="s">
        <v>2047</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0" t="s">
        <v>332</v>
      </c>
      <c r="D21" s="2401"/>
    </row>
    <row r="22" spans="1:10" ht="12.75" x14ac:dyDescent="0.2">
      <c r="A22" s="1139"/>
      <c r="B22" s="1140">
        <v>2</v>
      </c>
      <c r="C22" s="2398" t="s">
        <v>1605</v>
      </c>
      <c r="D22" s="2399"/>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2" t="s">
        <v>557</v>
      </c>
      <c r="D43" s="2403"/>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4" t="s">
        <v>817</v>
      </c>
      <c r="D56" s="2395"/>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2048</v>
      </c>
      <c r="D66" s="1125"/>
    </row>
    <row r="67" spans="1:4" x14ac:dyDescent="0.2">
      <c r="A67" s="1119"/>
      <c r="B67" s="1140"/>
      <c r="C67" s="1147" t="s">
        <v>1079</v>
      </c>
      <c r="D67" s="1125"/>
    </row>
    <row r="68" spans="1:4" x14ac:dyDescent="0.2">
      <c r="A68" s="1100"/>
      <c r="B68" s="1110"/>
      <c r="C68" s="1102" t="s">
        <v>2049</v>
      </c>
      <c r="D68" s="1124" t="str">
        <f>IF('Short-Term Long-Term Debt 24'!F49=SUM(,'Acct Summary 7-8'!C33:K33),"OK","ERROR!")</f>
        <v>OK</v>
      </c>
    </row>
    <row r="69" spans="1:4" x14ac:dyDescent="0.2">
      <c r="A69" s="1100"/>
      <c r="B69" s="1110"/>
      <c r="C69" s="1102" t="s">
        <v>2050</v>
      </c>
      <c r="D69" s="1124" t="str">
        <f>IF('Expenditures 15-22'!H170&lt;&gt;'Short-Term Long-Term Debt 24'!H49,"ERROR!","OK")</f>
        <v>OK</v>
      </c>
    </row>
    <row r="70" spans="1:4" x14ac:dyDescent="0.2">
      <c r="A70" s="1098"/>
      <c r="B70" s="1120">
        <f>B66+1</f>
        <v>9</v>
      </c>
      <c r="C70" s="2394" t="s">
        <v>1797</v>
      </c>
      <c r="D70" s="2395"/>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2051</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2052</v>
      </c>
      <c r="D78" s="1124" t="str">
        <f>IF(ISNUMBER('Acct Summary 7-8'!C9),"OK","ENTRY IS REQUIRED!")</f>
        <v>OK</v>
      </c>
    </row>
    <row r="79" spans="1:4" x14ac:dyDescent="0.2">
      <c r="A79" s="1119"/>
      <c r="B79" s="1120">
        <f>B74+1+1</f>
        <v>12</v>
      </c>
      <c r="C79" s="1130" t="s">
        <v>2017</v>
      </c>
      <c r="D79" s="1131" t="str">
        <f>IF(OR(COVER!$B$6="X",'PCTC-OEPP 27-28'!F78&gt;0),"OK","PLEASE ENTER 9 MO ADA.")</f>
        <v>OK</v>
      </c>
    </row>
    <row r="80" spans="1:4" x14ac:dyDescent="0.2">
      <c r="A80" s="1098"/>
      <c r="B80" s="1120">
        <v>13</v>
      </c>
      <c r="C80" s="1130" t="s">
        <v>2053</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13014003026</v>
      </c>
    </row>
    <row r="3" spans="1:2" x14ac:dyDescent="0.2">
      <c r="A3" t="s">
        <v>1013</v>
      </c>
      <c r="B3" s="138" t="str">
        <f>COVER!A15</f>
        <v>Clinton / St. Clair</v>
      </c>
    </row>
    <row r="4" spans="1:2" x14ac:dyDescent="0.2">
      <c r="A4" t="s">
        <v>1064</v>
      </c>
      <c r="B4" s="138" t="str">
        <f>COVER!A17</f>
        <v>Wesclin CUSD 3</v>
      </c>
    </row>
    <row r="5" spans="1:2" x14ac:dyDescent="0.2">
      <c r="A5" t="s">
        <v>728</v>
      </c>
      <c r="B5" s="138" t="str">
        <f>COVER!A38</f>
        <v>Jennifer Filyaw</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066.004582</v>
      </c>
    </row>
    <row r="16" spans="1:2" x14ac:dyDescent="0.2">
      <c r="A16" t="s">
        <v>442</v>
      </c>
      <c r="B16" s="138" t="str">
        <f>COVER!T13</f>
        <v>Rice Sullivan, LLC</v>
      </c>
    </row>
    <row r="17" spans="1:2" x14ac:dyDescent="0.2">
      <c r="A17" t="s">
        <v>939</v>
      </c>
      <c r="B17" s="138" t="str">
        <f>COVER!T15</f>
        <v>Bill R. Dixon, CPA</v>
      </c>
    </row>
    <row r="18" spans="1:2" x14ac:dyDescent="0.2">
      <c r="A18" t="s">
        <v>1212</v>
      </c>
      <c r="B18" s="138" t="str">
        <f>COVER!T17</f>
        <v>3121 North Illinois Street, Suite A</v>
      </c>
    </row>
    <row r="19" spans="1:2" x14ac:dyDescent="0.2">
      <c r="A19" t="s">
        <v>941</v>
      </c>
      <c r="B19" s="138" t="str">
        <f>COVER!T25</f>
        <v>bdixon@rsco.net</v>
      </c>
    </row>
    <row r="20" spans="1:2" x14ac:dyDescent="0.2">
      <c r="A20" t="s">
        <v>942</v>
      </c>
      <c r="B20" s="138" t="str">
        <f>COVER!T19</f>
        <v>Swansea</v>
      </c>
    </row>
    <row r="21" spans="1:2" x14ac:dyDescent="0.2">
      <c r="A21" t="s">
        <v>500</v>
      </c>
      <c r="B21" s="138" t="str">
        <f>COVER!X19</f>
        <v>IL</v>
      </c>
    </row>
    <row r="22" spans="1:2" x14ac:dyDescent="0.2">
      <c r="A22" t="s">
        <v>943</v>
      </c>
      <c r="B22" s="138">
        <f>COVER!Z19</f>
        <v>62226</v>
      </c>
    </row>
    <row r="23" spans="1:2" x14ac:dyDescent="0.2">
      <c r="A23" t="s">
        <v>1214</v>
      </c>
      <c r="B23" s="138" t="str">
        <f>COVER!T21</f>
        <v>618-233-0186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201803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211104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64697</v>
      </c>
      <c r="D92" s="2" t="str">
        <f t="shared" si="0"/>
        <v>Error?</v>
      </c>
    </row>
    <row r="93" spans="1:4" x14ac:dyDescent="0.2">
      <c r="A93" s="5">
        <v>32</v>
      </c>
      <c r="B93" s="138">
        <f>'Assets-Liab 5-6'!C41</f>
        <v>211104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306293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680425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657431</v>
      </c>
      <c r="D123" s="2" t="str">
        <f t="shared" si="0"/>
        <v>Error?</v>
      </c>
    </row>
    <row r="124" spans="1:4" x14ac:dyDescent="0.2">
      <c r="A124" s="5">
        <v>63</v>
      </c>
      <c r="B124" s="138">
        <f>'Assets-Liab 5-6'!D41</f>
        <v>680425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2931</v>
      </c>
      <c r="D129" s="2" t="str">
        <f t="shared" si="1"/>
        <v>Error?</v>
      </c>
    </row>
    <row r="130" spans="1:4" x14ac:dyDescent="0.2">
      <c r="A130" s="5">
        <v>69</v>
      </c>
      <c r="B130" s="138">
        <f>'Assets-Liab 5-6'!E12</f>
        <v>0</v>
      </c>
      <c r="D130" s="2" t="str">
        <f t="shared" si="1"/>
        <v>Error?</v>
      </c>
    </row>
    <row r="131" spans="1:4" x14ac:dyDescent="0.2">
      <c r="A131" s="5">
        <v>70</v>
      </c>
      <c r="B131" s="138">
        <f>'Assets-Liab 5-6'!E13</f>
        <v>2931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2931</v>
      </c>
      <c r="D140" s="2" t="str">
        <f t="shared" si="1"/>
        <v>Error?</v>
      </c>
    </row>
    <row r="141" spans="1:4" x14ac:dyDescent="0.2">
      <c r="A141" s="5">
        <v>80</v>
      </c>
      <c r="B141" s="138">
        <f>'Assets-Liab 5-6'!E41</f>
        <v>2931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279190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687407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687407</v>
      </c>
      <c r="D170" s="2" t="str">
        <f t="shared" si="1"/>
        <v>Error?</v>
      </c>
    </row>
    <row r="171" spans="1:4" x14ac:dyDescent="0.2">
      <c r="A171" s="5">
        <v>110</v>
      </c>
      <c r="B171" s="138">
        <f>'Assets-Liab 5-6'!F41</f>
        <v>687407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259723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283367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283367</v>
      </c>
      <c r="D189" s="2" t="str">
        <f t="shared" si="1"/>
        <v>Error?</v>
      </c>
    </row>
    <row r="190" spans="1:4" x14ac:dyDescent="0.2">
      <c r="A190" s="5">
        <v>129</v>
      </c>
      <c r="B190" s="138">
        <f>'Assets-Liab 5-6'!G41</f>
        <v>283367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509337</v>
      </c>
      <c r="D273" s="2" t="str">
        <f t="shared" si="3"/>
        <v>Error?</v>
      </c>
    </row>
    <row r="274" spans="1:4" x14ac:dyDescent="0.2">
      <c r="A274" s="5">
        <v>213</v>
      </c>
      <c r="B274" s="138">
        <f>'Assets-Liab 5-6'!M17</f>
        <v>36484393</v>
      </c>
      <c r="D274" s="2" t="str">
        <f t="shared" si="3"/>
        <v>Error?</v>
      </c>
    </row>
    <row r="275" spans="1:4" x14ac:dyDescent="0.2">
      <c r="A275" s="5">
        <v>214</v>
      </c>
      <c r="B275" s="138">
        <f>'Assets-Liab 5-6'!M18</f>
        <v>865261</v>
      </c>
      <c r="D275" s="2" t="str">
        <f t="shared" si="3"/>
        <v>Error?</v>
      </c>
    </row>
    <row r="276" spans="1:4" x14ac:dyDescent="0.2">
      <c r="A276" s="5">
        <v>215</v>
      </c>
      <c r="B276" s="138">
        <f>'Assets-Liab 5-6'!M19</f>
        <v>4816884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42675875</v>
      </c>
      <c r="C279" s="2" t="s">
        <v>594</v>
      </c>
      <c r="D279" s="2" t="str">
        <f t="shared" si="3"/>
        <v>Error?</v>
      </c>
    </row>
    <row r="280" spans="1:4" x14ac:dyDescent="0.2">
      <c r="A280" s="5">
        <v>219</v>
      </c>
      <c r="B280" s="138">
        <f>'Assets-Liab 5-6'!M40</f>
        <v>42675875</v>
      </c>
      <c r="D280" s="2" t="str">
        <f t="shared" si="3"/>
        <v>Error?</v>
      </c>
    </row>
    <row r="281" spans="1:4" x14ac:dyDescent="0.2">
      <c r="A281" s="5">
        <v>220</v>
      </c>
      <c r="B281" s="138">
        <f>'Assets-Liab 5-6'!M41</f>
        <v>42675875</v>
      </c>
      <c r="C281" s="2" t="s">
        <v>594</v>
      </c>
      <c r="D281" s="2" t="str">
        <f t="shared" si="3"/>
        <v>Error?</v>
      </c>
    </row>
    <row r="282" spans="1:4" x14ac:dyDescent="0.2">
      <c r="A282" s="5">
        <v>221</v>
      </c>
      <c r="B282" s="138">
        <f>'Assets-Liab 5-6'!N21</f>
        <v>2931</v>
      </c>
      <c r="D282" s="2" t="str">
        <f t="shared" si="3"/>
        <v>Error?</v>
      </c>
    </row>
    <row r="283" spans="1:4" x14ac:dyDescent="0.2">
      <c r="A283" s="5">
        <v>222</v>
      </c>
      <c r="B283" s="138">
        <f>'Assets-Liab 5-6'!N22</f>
        <v>9502069</v>
      </c>
      <c r="D283" s="2" t="str">
        <f t="shared" si="3"/>
        <v>Error?</v>
      </c>
    </row>
    <row r="284" spans="1:4" x14ac:dyDescent="0.2">
      <c r="A284" s="5">
        <v>223</v>
      </c>
      <c r="B284" s="138">
        <f>'Assets-Liab 5-6'!N23</f>
        <v>9505000</v>
      </c>
      <c r="C284" s="2" t="s">
        <v>594</v>
      </c>
      <c r="D284" s="2" t="str">
        <f t="shared" si="3"/>
        <v>Error?</v>
      </c>
    </row>
    <row r="285" spans="1:4" x14ac:dyDescent="0.2">
      <c r="A285" s="5">
        <v>224</v>
      </c>
      <c r="B285" s="138">
        <f>'Assets-Liab 5-6'!N36</f>
        <v>9505000</v>
      </c>
      <c r="D285" s="2" t="str">
        <f t="shared" si="3"/>
        <v>Error?</v>
      </c>
    </row>
    <row r="286" spans="1:4" x14ac:dyDescent="0.2">
      <c r="A286" s="10">
        <v>225</v>
      </c>
      <c r="D286" s="2" t="str">
        <f t="shared" si="3"/>
        <v>OK</v>
      </c>
    </row>
    <row r="287" spans="1:4" x14ac:dyDescent="0.2">
      <c r="A287" s="5">
        <v>226</v>
      </c>
      <c r="B287" s="138">
        <f>'Assets-Liab 5-6'!N37</f>
        <v>9505000</v>
      </c>
      <c r="C287" s="2" t="s">
        <v>594</v>
      </c>
      <c r="D287" s="2" t="str">
        <f t="shared" si="3"/>
        <v>Error?</v>
      </c>
    </row>
    <row r="288" spans="1:4" x14ac:dyDescent="0.2">
      <c r="A288" s="5">
        <v>227</v>
      </c>
      <c r="B288" s="138">
        <f>'Assets-Liab 5-6'!N41</f>
        <v>9505000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4140882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12905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291303</v>
      </c>
      <c r="D717" s="2" t="str">
        <f t="shared" si="10"/>
        <v>Error?</v>
      </c>
    </row>
    <row r="718" spans="1:4" x14ac:dyDescent="0.2">
      <c r="A718" s="5">
        <v>657</v>
      </c>
      <c r="B718" s="138">
        <f>'Expenditures 15-22'!C14</f>
        <v>392254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6331041</v>
      </c>
      <c r="C720" s="2" t="s">
        <v>594</v>
      </c>
      <c r="D720" s="2" t="str">
        <f t="shared" si="10"/>
        <v>Error?</v>
      </c>
    </row>
    <row r="721" spans="1:4" x14ac:dyDescent="0.2">
      <c r="A721" s="5">
        <v>660</v>
      </c>
      <c r="B721" s="138">
        <f>'Expenditures 15-22'!C36</f>
        <v>58415</v>
      </c>
      <c r="D721" s="2" t="str">
        <f t="shared" si="10"/>
        <v>Error?</v>
      </c>
    </row>
    <row r="722" spans="1:4" x14ac:dyDescent="0.2">
      <c r="A722" s="5">
        <v>661</v>
      </c>
      <c r="B722" s="138">
        <f>'Expenditures 15-22'!C37</f>
        <v>97893</v>
      </c>
      <c r="D722" s="2" t="str">
        <f t="shared" si="10"/>
        <v>Error?</v>
      </c>
    </row>
    <row r="723" spans="1:4" x14ac:dyDescent="0.2">
      <c r="A723" s="5">
        <v>662</v>
      </c>
      <c r="B723" s="138">
        <f>'Expenditures 15-22'!C38</f>
        <v>22934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126976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306218</v>
      </c>
      <c r="C727" s="2" t="s">
        <v>594</v>
      </c>
      <c r="D727" s="2" t="str">
        <f t="shared" si="10"/>
        <v>Error?</v>
      </c>
    </row>
    <row r="728" spans="1:4" x14ac:dyDescent="0.2">
      <c r="A728" s="5">
        <v>667</v>
      </c>
      <c r="B728" s="138">
        <f>'Expenditures 15-22'!C44</f>
        <v>7600</v>
      </c>
      <c r="D728" s="2" t="str">
        <f t="shared" si="10"/>
        <v>Error?</v>
      </c>
    </row>
    <row r="729" spans="1:4" x14ac:dyDescent="0.2">
      <c r="A729" s="5">
        <v>668</v>
      </c>
      <c r="B729" s="138">
        <f>'Expenditures 15-22'!C45</f>
        <v>73513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81113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171338</v>
      </c>
      <c r="D733" s="2" t="str">
        <f t="shared" si="10"/>
        <v>Error?</v>
      </c>
    </row>
    <row r="734" spans="1:4" x14ac:dyDescent="0.2">
      <c r="A734" s="5">
        <v>673</v>
      </c>
      <c r="B734" s="138">
        <f>'Expenditures 15-22'!C53</f>
        <v>171338</v>
      </c>
      <c r="C734" s="2" t="s">
        <v>594</v>
      </c>
      <c r="D734" s="2" t="str">
        <f t="shared" si="10"/>
        <v>Error?</v>
      </c>
    </row>
    <row r="735" spans="1:4" x14ac:dyDescent="0.2">
      <c r="A735" s="5">
        <v>674</v>
      </c>
      <c r="B735" s="138">
        <f>'Expenditures 15-22'!C55</f>
        <v>533366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533366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36936</v>
      </c>
      <c r="D739" s="2" t="str">
        <f t="shared" si="10"/>
        <v>Error?</v>
      </c>
    </row>
    <row r="740" spans="1:4" x14ac:dyDescent="0.2">
      <c r="A740" s="5">
        <v>679</v>
      </c>
      <c r="B740" s="138">
        <f>'Expenditures 15-22'!C61</f>
        <v>65690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102626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1194661</v>
      </c>
      <c r="C755" s="2" t="s">
        <v>594</v>
      </c>
      <c r="D755" s="2" t="str">
        <f t="shared" si="10"/>
        <v>Error?</v>
      </c>
    </row>
    <row r="756" spans="1:4" x14ac:dyDescent="0.2">
      <c r="A756" s="5">
        <v>695</v>
      </c>
      <c r="B756" s="138">
        <f>'Expenditures 15-22'!C75</f>
        <v>87461</v>
      </c>
      <c r="D756" s="2" t="str">
        <f t="shared" si="10"/>
        <v>Error?</v>
      </c>
    </row>
    <row r="757" spans="1:4" x14ac:dyDescent="0.2">
      <c r="A757" s="5">
        <v>696</v>
      </c>
      <c r="B757" s="138">
        <f>'Expenditures 15-22'!C114</f>
        <v>7613163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111373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247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121012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5400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5400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714</v>
      </c>
      <c r="D791" s="2" t="str">
        <f t="shared" si="11"/>
        <v>Error?</v>
      </c>
    </row>
    <row r="792" spans="1:4" x14ac:dyDescent="0.2">
      <c r="A792" s="5">
        <v>731</v>
      </c>
      <c r="B792" s="138">
        <f>'Expenditures 15-22'!D53</f>
        <v>714</v>
      </c>
      <c r="C792" s="2" t="s">
        <v>594</v>
      </c>
      <c r="D792" s="2" t="str">
        <f t="shared" si="11"/>
        <v>Error?</v>
      </c>
    </row>
    <row r="793" spans="1:4" x14ac:dyDescent="0.2">
      <c r="A793" s="5">
        <v>732</v>
      </c>
      <c r="B793" s="138">
        <f>'Expenditures 15-22'!D55</f>
        <v>18213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18213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v>
      </c>
      <c r="D797" s="2" t="str">
        <f t="shared" si="11"/>
        <v>Error?</v>
      </c>
    </row>
    <row r="798" spans="1:4" x14ac:dyDescent="0.2">
      <c r="A798" s="5">
        <v>737</v>
      </c>
      <c r="B798" s="138">
        <f>'Expenditures 15-22'!D61</f>
        <v>5609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5621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29948</v>
      </c>
      <c r="C813" s="2" t="s">
        <v>594</v>
      </c>
      <c r="D813" s="2" t="str">
        <f t="shared" si="11"/>
        <v>Error?</v>
      </c>
    </row>
    <row r="814" spans="1:4" x14ac:dyDescent="0.2">
      <c r="A814" s="5">
        <v>753</v>
      </c>
      <c r="B814" s="138">
        <f>'Expenditures 15-22'!D75</f>
        <v>208</v>
      </c>
      <c r="D814" s="2" t="str">
        <f t="shared" si="11"/>
        <v>Error?</v>
      </c>
    </row>
    <row r="815" spans="1:4" x14ac:dyDescent="0.2">
      <c r="A815" s="5">
        <v>754</v>
      </c>
      <c r="B815" s="138">
        <f>'Expenditures 15-22'!D114</f>
        <v>151168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32712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566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4692</v>
      </c>
      <c r="D833" s="2" t="str">
        <f t="shared" si="12"/>
        <v>Error?</v>
      </c>
    </row>
    <row r="834" spans="1:4" x14ac:dyDescent="0.2">
      <c r="A834" s="5">
        <v>773</v>
      </c>
      <c r="B834" s="138">
        <f>'Expenditures 15-22'!E14</f>
        <v>58103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177754</v>
      </c>
      <c r="C836" s="2" t="s">
        <v>594</v>
      </c>
      <c r="D836" s="2" t="str">
        <f t="shared" si="12"/>
        <v>Error?</v>
      </c>
    </row>
    <row r="837" spans="1:4" x14ac:dyDescent="0.2">
      <c r="A837" s="5">
        <v>776</v>
      </c>
      <c r="B837" s="138">
        <f>'Expenditures 15-22'!E36</f>
        <v>184</v>
      </c>
      <c r="D837" s="2" t="str">
        <f t="shared" si="12"/>
        <v>Error?</v>
      </c>
    </row>
    <row r="838" spans="1:4" x14ac:dyDescent="0.2">
      <c r="A838" s="5">
        <v>777</v>
      </c>
      <c r="B838" s="138">
        <f>'Expenditures 15-22'!E37</f>
        <v>199</v>
      </c>
      <c r="D838" s="2" t="str">
        <f t="shared" si="12"/>
        <v>Error?</v>
      </c>
    </row>
    <row r="839" spans="1:4" x14ac:dyDescent="0.2">
      <c r="A839" s="5">
        <v>778</v>
      </c>
      <c r="B839" s="138">
        <f>'Expenditures 15-22'!E38</f>
        <v>1113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1496</v>
      </c>
      <c r="C843" s="2" t="s">
        <v>594</v>
      </c>
      <c r="D843" s="2" t="str">
        <f t="shared" si="12"/>
        <v>Error?</v>
      </c>
    </row>
    <row r="844" spans="1:4" x14ac:dyDescent="0.2">
      <c r="A844" s="5">
        <v>783</v>
      </c>
      <c r="B844" s="138">
        <f>'Expenditures 15-22'!E44</f>
        <v>6154</v>
      </c>
      <c r="D844" s="2" t="str">
        <f t="shared" si="12"/>
        <v>Error?</v>
      </c>
    </row>
    <row r="845" spans="1:4" x14ac:dyDescent="0.2">
      <c r="A845" s="5">
        <v>784</v>
      </c>
      <c r="B845" s="138">
        <f>'Expenditures 15-22'!E45</f>
        <v>134846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141000</v>
      </c>
      <c r="C847" s="2" t="s">
        <v>594</v>
      </c>
      <c r="D847" s="2" t="str">
        <f t="shared" si="12"/>
        <v>Error?</v>
      </c>
    </row>
    <row r="848" spans="1:4" x14ac:dyDescent="0.2">
      <c r="A848" s="5">
        <v>787</v>
      </c>
      <c r="B848" s="138">
        <f>'Expenditures 15-22'!E49</f>
        <v>37108</v>
      </c>
      <c r="D848" s="2" t="str">
        <f t="shared" si="12"/>
        <v>Error?</v>
      </c>
    </row>
    <row r="849" spans="1:4" x14ac:dyDescent="0.2">
      <c r="A849" s="5">
        <v>788</v>
      </c>
      <c r="B849" s="138">
        <f>'Expenditures 15-22'!E50</f>
        <v>3026</v>
      </c>
      <c r="D849" s="2" t="str">
        <f t="shared" si="12"/>
        <v>Error?</v>
      </c>
    </row>
    <row r="850" spans="1:4" x14ac:dyDescent="0.2">
      <c r="A850" s="5">
        <v>789</v>
      </c>
      <c r="B850" s="138">
        <f>'Expenditures 15-22'!E53</f>
        <v>40134</v>
      </c>
      <c r="C850" s="2" t="s">
        <v>594</v>
      </c>
      <c r="D850" s="2" t="str">
        <f t="shared" si="12"/>
        <v>Error?</v>
      </c>
    </row>
    <row r="851" spans="1:4" x14ac:dyDescent="0.2">
      <c r="A851" s="5">
        <v>790</v>
      </c>
      <c r="B851" s="138">
        <f>'Expenditures 15-22'!E55</f>
        <v>10737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10737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14224</v>
      </c>
      <c r="D855" s="2" t="str">
        <f t="shared" si="12"/>
        <v>Error?</v>
      </c>
    </row>
    <row r="856" spans="1:4" x14ac:dyDescent="0.2">
      <c r="A856" s="5">
        <v>795</v>
      </c>
      <c r="B856" s="138">
        <f>'Expenditures 15-22'!E61</f>
        <v>30060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495476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539760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733127</v>
      </c>
      <c r="C871" s="2" t="s">
        <v>594</v>
      </c>
      <c r="D871" s="2" t="str">
        <f t="shared" si="12"/>
        <v>Error?</v>
      </c>
    </row>
    <row r="872" spans="1:4" x14ac:dyDescent="0.2">
      <c r="A872" s="5">
        <v>811</v>
      </c>
      <c r="B872" s="138">
        <f>'Expenditures 15-22'!E75</f>
        <v>3648</v>
      </c>
      <c r="D872" s="2" t="str">
        <f t="shared" si="12"/>
        <v>Error?</v>
      </c>
    </row>
    <row r="873" spans="1:4" x14ac:dyDescent="0.2">
      <c r="A873" s="5">
        <v>812</v>
      </c>
      <c r="B873" s="138">
        <f>'Expenditures 15-22'!E114</f>
        <v>1256466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55308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25104</v>
      </c>
      <c r="D891" s="2" t="str">
        <f t="shared" si="12"/>
        <v>Error?</v>
      </c>
    </row>
    <row r="892" spans="1:4" x14ac:dyDescent="0.2">
      <c r="A892" s="5">
        <v>831</v>
      </c>
      <c r="B892" s="138">
        <f>'Expenditures 15-22'!F14</f>
        <v>33151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135188</v>
      </c>
      <c r="C894" s="2" t="s">
        <v>594</v>
      </c>
      <c r="D894" s="2" t="str">
        <f t="shared" si="12"/>
        <v>Error?</v>
      </c>
    </row>
    <row r="895" spans="1:4" x14ac:dyDescent="0.2">
      <c r="A895" s="5">
        <v>834</v>
      </c>
      <c r="B895" s="138">
        <f>'Expenditures 15-22'!F36</f>
        <v>94</v>
      </c>
      <c r="D895" s="2" t="str">
        <f t="shared" ref="D895:D958" si="13">IF(ISBLANK(B895),"OK",IF(A895-B895=0,"OK","Error?"))</f>
        <v>Error?</v>
      </c>
    </row>
    <row r="896" spans="1:4" x14ac:dyDescent="0.2">
      <c r="A896" s="5">
        <v>835</v>
      </c>
      <c r="B896" s="138">
        <f>'Expenditures 15-22'!F37</f>
        <v>237</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4829</v>
      </c>
      <c r="D900" s="2" t="str">
        <f t="shared" si="13"/>
        <v>Error?</v>
      </c>
    </row>
    <row r="901" spans="1:4" x14ac:dyDescent="0.2">
      <c r="A901" s="5">
        <v>840</v>
      </c>
      <c r="B901" s="138">
        <f>'Expenditures 15-22'!F42</f>
        <v>5160</v>
      </c>
      <c r="C901" s="2" t="s">
        <v>594</v>
      </c>
      <c r="D901" s="2" t="str">
        <f t="shared" si="13"/>
        <v>Error?</v>
      </c>
    </row>
    <row r="902" spans="1:4" x14ac:dyDescent="0.2">
      <c r="A902" s="5">
        <v>841</v>
      </c>
      <c r="B902" s="138">
        <f>'Expenditures 15-22'!F44</f>
        <v>723</v>
      </c>
      <c r="D902" s="2" t="str">
        <f t="shared" si="13"/>
        <v>Error?</v>
      </c>
    </row>
    <row r="903" spans="1:4" x14ac:dyDescent="0.2">
      <c r="A903" s="5">
        <v>842</v>
      </c>
      <c r="B903" s="138">
        <f>'Expenditures 15-22'!F45</f>
        <v>22011</v>
      </c>
      <c r="D903" s="2" t="str">
        <f t="shared" si="13"/>
        <v>Error?</v>
      </c>
    </row>
    <row r="904" spans="1:4" x14ac:dyDescent="0.2">
      <c r="A904" s="5">
        <v>843</v>
      </c>
      <c r="B904" s="138">
        <f>'Expenditures 15-22'!F46</f>
        <v>6884</v>
      </c>
      <c r="D904" s="2" t="str">
        <f t="shared" si="13"/>
        <v>Error?</v>
      </c>
    </row>
    <row r="905" spans="1:4" x14ac:dyDescent="0.2">
      <c r="A905" s="5">
        <v>844</v>
      </c>
      <c r="B905" s="138">
        <f>'Expenditures 15-22'!F47</f>
        <v>29618</v>
      </c>
      <c r="C905" s="2" t="s">
        <v>594</v>
      </c>
      <c r="D905" s="2" t="str">
        <f t="shared" si="13"/>
        <v>Error?</v>
      </c>
    </row>
    <row r="906" spans="1:4" x14ac:dyDescent="0.2">
      <c r="A906" s="5">
        <v>845</v>
      </c>
      <c r="B906" s="138">
        <f>'Expenditures 15-22'!F49</f>
        <v>10847</v>
      </c>
      <c r="D906" s="2" t="str">
        <f t="shared" si="13"/>
        <v>Error?</v>
      </c>
    </row>
    <row r="907" spans="1:4" x14ac:dyDescent="0.2">
      <c r="A907" s="5">
        <v>846</v>
      </c>
      <c r="B907" s="138">
        <f>'Expenditures 15-22'!F50</f>
        <v>5915</v>
      </c>
      <c r="D907" s="2" t="str">
        <f t="shared" si="13"/>
        <v>Error?</v>
      </c>
    </row>
    <row r="908" spans="1:4" x14ac:dyDescent="0.2">
      <c r="A908" s="5">
        <v>847</v>
      </c>
      <c r="B908" s="138">
        <f>'Expenditures 15-22'!F53</f>
        <v>16762</v>
      </c>
      <c r="C908" s="2" t="s">
        <v>594</v>
      </c>
      <c r="D908" s="2" t="str">
        <f t="shared" si="13"/>
        <v>Error?</v>
      </c>
    </row>
    <row r="909" spans="1:4" x14ac:dyDescent="0.2">
      <c r="A909" s="5">
        <v>848</v>
      </c>
      <c r="B909" s="138">
        <f>'Expenditures 15-22'!F55</f>
        <v>16565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16565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1667</v>
      </c>
      <c r="D913" s="2" t="str">
        <f t="shared" si="13"/>
        <v>Error?</v>
      </c>
    </row>
    <row r="914" spans="1:4" x14ac:dyDescent="0.2">
      <c r="A914" s="5">
        <v>853</v>
      </c>
      <c r="B914" s="138">
        <f>'Expenditures 15-22'!F61</f>
        <v>29001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30845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98950</v>
      </c>
      <c r="C929" s="2" t="s">
        <v>594</v>
      </c>
      <c r="D929" s="2" t="str">
        <f t="shared" si="13"/>
        <v>Error?</v>
      </c>
    </row>
    <row r="930" spans="1:4" x14ac:dyDescent="0.2">
      <c r="A930" s="5">
        <v>869</v>
      </c>
      <c r="B930" s="138">
        <f>'Expenditures 15-22'!F75</f>
        <v>6013</v>
      </c>
      <c r="D930" s="2" t="str">
        <f t="shared" si="13"/>
        <v>Error?</v>
      </c>
    </row>
    <row r="931" spans="1:4" x14ac:dyDescent="0.2">
      <c r="A931" s="5">
        <v>870</v>
      </c>
      <c r="B931" s="138">
        <f>'Expenditures 15-22'!F114</f>
        <v>240151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54810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4600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68410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7060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7060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5980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7293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13273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20333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88743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19691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44337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7772</v>
      </c>
      <c r="D1022" s="2" t="str">
        <f t="shared" si="14"/>
        <v>Error?</v>
      </c>
    </row>
    <row r="1023" spans="1:4" x14ac:dyDescent="0.2">
      <c r="A1023" s="5">
        <v>962</v>
      </c>
      <c r="B1023" s="138">
        <f>'Expenditures 15-22'!H50</f>
        <v>1353</v>
      </c>
      <c r="D1023" s="2" t="str">
        <f t="shared" ref="D1023:D1086" si="15">IF(ISBLANK(B1023),"OK",IF(A1023-B1023=0,"OK","Error?"))</f>
        <v>Error?</v>
      </c>
    </row>
    <row r="1024" spans="1:4" x14ac:dyDescent="0.2">
      <c r="A1024" s="5">
        <v>963</v>
      </c>
      <c r="B1024" s="138">
        <f>'Expenditures 15-22'!H53</f>
        <v>9125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9125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53462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4395085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13471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325699</v>
      </c>
      <c r="C1105" s="2" t="s">
        <v>594</v>
      </c>
      <c r="D1105" s="2" t="str">
        <f t="shared" si="16"/>
        <v>Error?</v>
      </c>
    </row>
    <row r="1106" spans="1:4" x14ac:dyDescent="0.2">
      <c r="A1106" s="5">
        <v>1045</v>
      </c>
      <c r="B1106" s="138">
        <f>'Expenditures 15-22'!K14</f>
        <v>503446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6877742</v>
      </c>
      <c r="C1108" s="2" t="s">
        <v>594</v>
      </c>
      <c r="D1108" s="2" t="str">
        <f t="shared" si="16"/>
        <v>Error?</v>
      </c>
    </row>
    <row r="1109" spans="1:4" x14ac:dyDescent="0.2">
      <c r="A1109" s="5">
        <v>1048</v>
      </c>
      <c r="B1109" s="138">
        <f>'Expenditures 15-22'!K36</f>
        <v>58693</v>
      </c>
      <c r="C1109" s="2" t="s">
        <v>594</v>
      </c>
      <c r="D1109" s="2" t="str">
        <f t="shared" si="16"/>
        <v>Error?</v>
      </c>
    </row>
    <row r="1110" spans="1:4" x14ac:dyDescent="0.2">
      <c r="A1110" s="5">
        <v>1049</v>
      </c>
      <c r="B1110" s="138">
        <f>'Expenditures 15-22'!K37</f>
        <v>98329</v>
      </c>
      <c r="C1110" s="2" t="s">
        <v>594</v>
      </c>
      <c r="D1110" s="2" t="str">
        <f t="shared" si="16"/>
        <v>Error?</v>
      </c>
    </row>
    <row r="1111" spans="1:4" x14ac:dyDescent="0.2">
      <c r="A1111" s="5">
        <v>1050</v>
      </c>
      <c r="B1111" s="138">
        <f>'Expenditures 15-22'!K38</f>
        <v>24047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126976</v>
      </c>
      <c r="C1113" s="2" t="s">
        <v>594</v>
      </c>
      <c r="D1113" s="2" t="str">
        <f t="shared" si="16"/>
        <v>Error?</v>
      </c>
    </row>
    <row r="1114" spans="1:4" x14ac:dyDescent="0.2">
      <c r="A1114" s="5">
        <v>1053</v>
      </c>
      <c r="B1114" s="138">
        <f>'Expenditures 15-22'!K41</f>
        <v>4829</v>
      </c>
      <c r="C1114" s="2" t="s">
        <v>594</v>
      </c>
      <c r="D1114" s="2" t="str">
        <f t="shared" si="16"/>
        <v>Error?</v>
      </c>
    </row>
    <row r="1115" spans="1:4" x14ac:dyDescent="0.2">
      <c r="A1115" s="5">
        <v>1054</v>
      </c>
      <c r="B1115" s="138">
        <f>'Expenditures 15-22'!K42</f>
        <v>312874</v>
      </c>
      <c r="C1115" s="2" t="s">
        <v>594</v>
      </c>
      <c r="D1115" s="2" t="str">
        <f t="shared" si="16"/>
        <v>Error?</v>
      </c>
    </row>
    <row r="1116" spans="1:4" x14ac:dyDescent="0.2">
      <c r="A1116" s="5">
        <v>1055</v>
      </c>
      <c r="B1116" s="138">
        <f>'Expenditures 15-22'!K44</f>
        <v>19877</v>
      </c>
      <c r="C1116" s="2" t="s">
        <v>594</v>
      </c>
      <c r="D1116" s="2" t="str">
        <f t="shared" si="16"/>
        <v>Error?</v>
      </c>
    </row>
    <row r="1117" spans="1:4" x14ac:dyDescent="0.2">
      <c r="A1117" s="5">
        <v>1056</v>
      </c>
      <c r="B1117" s="138">
        <f>'Expenditures 15-22'!K45</f>
        <v>237430</v>
      </c>
      <c r="C1117" s="2" t="s">
        <v>594</v>
      </c>
      <c r="D1117" s="2" t="str">
        <f t="shared" si="16"/>
        <v>Error?</v>
      </c>
    </row>
    <row r="1118" spans="1:4" x14ac:dyDescent="0.2">
      <c r="A1118" s="5">
        <v>1057</v>
      </c>
      <c r="B1118" s="138">
        <f>'Expenditures 15-22'!K46</f>
        <v>6884</v>
      </c>
      <c r="C1118" s="2" t="s">
        <v>594</v>
      </c>
      <c r="D1118" s="2" t="str">
        <f t="shared" si="16"/>
        <v>Error?</v>
      </c>
    </row>
    <row r="1119" spans="1:4" x14ac:dyDescent="0.2">
      <c r="A1119" s="5">
        <v>1058</v>
      </c>
      <c r="B1119" s="138">
        <f>'Expenditures 15-22'!K47</f>
        <v>264191</v>
      </c>
      <c r="C1119" s="2" t="s">
        <v>594</v>
      </c>
      <c r="D1119" s="2" t="str">
        <f t="shared" si="16"/>
        <v>Error?</v>
      </c>
    </row>
    <row r="1120" spans="1:4" x14ac:dyDescent="0.2">
      <c r="A1120" s="5">
        <v>1059</v>
      </c>
      <c r="B1120" s="138">
        <f>'Expenditures 15-22'!K49</f>
        <v>55727</v>
      </c>
      <c r="C1120" s="2" t="s">
        <v>594</v>
      </c>
      <c r="D1120" s="2" t="str">
        <f t="shared" si="16"/>
        <v>Error?</v>
      </c>
    </row>
    <row r="1121" spans="1:4" x14ac:dyDescent="0.2">
      <c r="A1121" s="5">
        <v>1060</v>
      </c>
      <c r="B1121" s="138">
        <f>'Expenditures 15-22'!K50</f>
        <v>182346</v>
      </c>
      <c r="C1121" s="2" t="s">
        <v>594</v>
      </c>
      <c r="D1121" s="2" t="str">
        <f t="shared" si="16"/>
        <v>Error?</v>
      </c>
    </row>
    <row r="1122" spans="1:4" x14ac:dyDescent="0.2">
      <c r="A1122" s="5">
        <v>1061</v>
      </c>
      <c r="B1122" s="138">
        <f>'Expenditures 15-22'!K53</f>
        <v>238073</v>
      </c>
      <c r="C1122" s="2" t="s">
        <v>594</v>
      </c>
      <c r="D1122" s="2" t="str">
        <f t="shared" si="16"/>
        <v>Error?</v>
      </c>
    </row>
    <row r="1123" spans="1:4" x14ac:dyDescent="0.2">
      <c r="A1123" s="5">
        <v>1062</v>
      </c>
      <c r="B1123" s="138">
        <f>'Expenditures 15-22'!K55</f>
        <v>578881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578881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52839</v>
      </c>
      <c r="C1127" s="2" t="s">
        <v>594</v>
      </c>
      <c r="D1127" s="2" t="str">
        <f t="shared" si="16"/>
        <v>Error?</v>
      </c>
    </row>
    <row r="1128" spans="1:4" x14ac:dyDescent="0.2">
      <c r="A1128" s="5">
        <v>1067</v>
      </c>
      <c r="B1128" s="138">
        <f>'Expenditures 15-22'!K61</f>
        <v>136340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502946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692125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2086144</v>
      </c>
      <c r="C1143" s="2" t="s">
        <v>594</v>
      </c>
      <c r="D1143" s="2" t="str">
        <f t="shared" si="16"/>
        <v>Error?</v>
      </c>
    </row>
    <row r="1144" spans="1:4" x14ac:dyDescent="0.2">
      <c r="A1144" s="5">
        <v>1083</v>
      </c>
      <c r="B1144" s="138">
        <f>'Expenditures 15-22'!K75</f>
        <v>97330</v>
      </c>
      <c r="C1144" s="2" t="s">
        <v>594</v>
      </c>
      <c r="D1144" s="2" t="str">
        <f t="shared" si="16"/>
        <v>Error?</v>
      </c>
    </row>
    <row r="1145" spans="1:4" x14ac:dyDescent="0.2">
      <c r="A1145" s="5">
        <v>1084</v>
      </c>
      <c r="B1145" s="138">
        <f>'Expenditures 15-22'!K102</f>
        <v>341937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9403153</v>
      </c>
      <c r="C1152" s="2" t="s">
        <v>594</v>
      </c>
      <c r="D1152" s="2" t="str">
        <f t="shared" si="17"/>
        <v>Error?</v>
      </c>
    </row>
    <row r="1153" spans="1:4" x14ac:dyDescent="0.2">
      <c r="A1153" s="5">
        <v>1092</v>
      </c>
      <c r="B1153" s="138">
        <f>'Expenditures 15-22'!K115</f>
        <v>85556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254133</v>
      </c>
      <c r="D1221" s="2" t="str">
        <f t="shared" si="18"/>
        <v>Error?</v>
      </c>
    </row>
    <row r="1222" spans="1:4" x14ac:dyDescent="0.2">
      <c r="A1222" s="10">
        <v>1161</v>
      </c>
      <c r="D1222" s="2" t="str">
        <f t="shared" si="18"/>
        <v>OK</v>
      </c>
    </row>
    <row r="1223" spans="1:4" x14ac:dyDescent="0.2">
      <c r="A1223" s="5">
        <v>1162</v>
      </c>
      <c r="B1223" s="138">
        <f>'Expenditures 15-22'!C127</f>
        <v>254133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254133</v>
      </c>
      <c r="C1225" s="2" t="s">
        <v>594</v>
      </c>
      <c r="D1225" s="2" t="str">
        <f t="shared" si="18"/>
        <v>Error?</v>
      </c>
    </row>
    <row r="1226" spans="1:4" x14ac:dyDescent="0.2">
      <c r="A1226" s="5">
        <v>1165</v>
      </c>
      <c r="B1226" s="138">
        <f>'Expenditures 15-22'!C151</f>
        <v>254133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25230</v>
      </c>
      <c r="D1229" s="2" t="str">
        <f t="shared" si="18"/>
        <v>Error?</v>
      </c>
    </row>
    <row r="1230" spans="1:4" x14ac:dyDescent="0.2">
      <c r="A1230" s="10">
        <v>1169</v>
      </c>
      <c r="D1230" s="2" t="str">
        <f t="shared" si="18"/>
        <v>OK</v>
      </c>
    </row>
    <row r="1231" spans="1:4" x14ac:dyDescent="0.2">
      <c r="A1231" s="5">
        <v>1170</v>
      </c>
      <c r="B1231" s="138">
        <f>'Expenditures 15-22'!D127</f>
        <v>25230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25230</v>
      </c>
      <c r="C1233" s="2" t="s">
        <v>594</v>
      </c>
      <c r="D1233" s="2" t="str">
        <f t="shared" si="18"/>
        <v>Error?</v>
      </c>
    </row>
    <row r="1234" spans="1:4" x14ac:dyDescent="0.2">
      <c r="A1234" s="5">
        <v>1173</v>
      </c>
      <c r="B1234" s="138">
        <f>'Expenditures 15-22'!D151</f>
        <v>25230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157566</v>
      </c>
      <c r="D1237" s="2" t="str">
        <f t="shared" si="18"/>
        <v>Error?</v>
      </c>
    </row>
    <row r="1238" spans="1:4" x14ac:dyDescent="0.2">
      <c r="A1238" s="10">
        <v>1177</v>
      </c>
      <c r="D1238" s="2" t="str">
        <f t="shared" si="18"/>
        <v>OK</v>
      </c>
    </row>
    <row r="1239" spans="1:4" x14ac:dyDescent="0.2">
      <c r="A1239" s="5">
        <v>1178</v>
      </c>
      <c r="B1239" s="138">
        <f>'Expenditures 15-22'!E127</f>
        <v>157566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157566</v>
      </c>
      <c r="C1241" s="2" t="s">
        <v>594</v>
      </c>
      <c r="D1241" s="2" t="str">
        <f t="shared" si="18"/>
        <v>Error?</v>
      </c>
    </row>
    <row r="1242" spans="1:4" x14ac:dyDescent="0.2">
      <c r="A1242" s="5">
        <v>1181</v>
      </c>
      <c r="B1242" s="138">
        <f>'Expenditures 15-22'!E151</f>
        <v>157566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359724</v>
      </c>
      <c r="D1245" s="2" t="str">
        <f t="shared" si="18"/>
        <v>Error?</v>
      </c>
    </row>
    <row r="1246" spans="1:4" x14ac:dyDescent="0.2">
      <c r="A1246" s="10">
        <v>1185</v>
      </c>
      <c r="D1246" s="2" t="str">
        <f t="shared" si="18"/>
        <v>OK</v>
      </c>
    </row>
    <row r="1247" spans="1:4" x14ac:dyDescent="0.2">
      <c r="A1247" s="5">
        <v>1186</v>
      </c>
      <c r="B1247" s="138">
        <f>'Expenditures 15-22'!F127</f>
        <v>359724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359724</v>
      </c>
      <c r="C1249" s="2" t="s">
        <v>594</v>
      </c>
      <c r="D1249" s="2" t="str">
        <f t="shared" si="18"/>
        <v>Error?</v>
      </c>
    </row>
    <row r="1250" spans="1:4" x14ac:dyDescent="0.2">
      <c r="A1250" s="5">
        <v>1189</v>
      </c>
      <c r="B1250" s="138">
        <f>'Expenditures 15-22'!F151</f>
        <v>359724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13695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13695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13695</v>
      </c>
      <c r="C1258" s="2" t="s">
        <v>594</v>
      </c>
      <c r="D1258" s="2" t="str">
        <f t="shared" si="18"/>
        <v>Error?</v>
      </c>
    </row>
    <row r="1259" spans="1:4" x14ac:dyDescent="0.2">
      <c r="A1259" s="5">
        <v>1198</v>
      </c>
      <c r="B1259" s="138">
        <f>'Expenditures 15-22'!G151</f>
        <v>13695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810348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810348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810348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810348</v>
      </c>
      <c r="C1288" s="2" t="s">
        <v>594</v>
      </c>
      <c r="D1288" s="2" t="str">
        <f t="shared" si="19"/>
        <v>Error?</v>
      </c>
    </row>
    <row r="1289" spans="1:4" x14ac:dyDescent="0.2">
      <c r="A1289" s="5">
        <v>1228</v>
      </c>
      <c r="B1289" s="138">
        <f>'Expenditures 15-22'!K152</f>
        <v>-77210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334403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595000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929903</v>
      </c>
      <c r="C1317" s="2" t="s">
        <v>594</v>
      </c>
      <c r="D1317" s="2" t="str">
        <f t="shared" si="19"/>
        <v>Error?</v>
      </c>
    </row>
    <row r="1318" spans="1:4" x14ac:dyDescent="0.2">
      <c r="A1318" s="5">
        <v>1257</v>
      </c>
      <c r="B1318" s="138">
        <f>'Expenditures 15-22'!H174</f>
        <v>929903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334403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595000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929903</v>
      </c>
      <c r="C1331" s="2" t="s">
        <v>594</v>
      </c>
      <c r="D1331" s="2" t="str">
        <f t="shared" si="19"/>
        <v>Error?</v>
      </c>
    </row>
    <row r="1332" spans="1:4" x14ac:dyDescent="0.2">
      <c r="A1332" s="5">
        <v>1271</v>
      </c>
      <c r="B1332" s="138">
        <f>'Expenditures 15-22'!K174</f>
        <v>929903</v>
      </c>
      <c r="C1332" s="2" t="s">
        <v>594</v>
      </c>
      <c r="D1332" s="2" t="str">
        <f t="shared" si="19"/>
        <v>Error?</v>
      </c>
    </row>
    <row r="1333" spans="1:4" x14ac:dyDescent="0.2">
      <c r="A1333" s="5">
        <v>1272</v>
      </c>
      <c r="B1333" s="138">
        <f>'Expenditures 15-22'!K175</f>
        <v>397</v>
      </c>
      <c r="C1333" s="2" t="s">
        <v>594</v>
      </c>
      <c r="D1333" s="2" t="str">
        <f t="shared" si="19"/>
        <v>Error?</v>
      </c>
    </row>
    <row r="1334" spans="1:4" x14ac:dyDescent="0.2">
      <c r="A1334" s="10">
        <v>1273</v>
      </c>
      <c r="D1334" s="2" t="str">
        <f t="shared" si="19"/>
        <v>OK</v>
      </c>
    </row>
    <row r="1335" spans="1:4" x14ac:dyDescent="0.2">
      <c r="A1335" s="5">
        <v>1274</v>
      </c>
      <c r="B1335" s="138">
        <f>'Expenditures 15-22'!C182</f>
        <v>243057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243057</v>
      </c>
      <c r="C1339" s="2" t="s">
        <v>594</v>
      </c>
      <c r="D1339" s="2" t="str">
        <f t="shared" si="19"/>
        <v>Error?</v>
      </c>
    </row>
    <row r="1340" spans="1:4" x14ac:dyDescent="0.2">
      <c r="A1340" s="5">
        <v>1279</v>
      </c>
      <c r="B1340" s="138">
        <f>'Expenditures 15-22'!C210</f>
        <v>243057</v>
      </c>
      <c r="C1340" s="2" t="s">
        <v>594</v>
      </c>
      <c r="D1340" s="2" t="str">
        <f t="shared" si="19"/>
        <v>Error?</v>
      </c>
    </row>
    <row r="1341" spans="1:4" x14ac:dyDescent="0.2">
      <c r="A1341" s="5">
        <v>1280</v>
      </c>
      <c r="B1341" s="138">
        <f>'Expenditures 15-22'!D182</f>
        <v>23109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23109</v>
      </c>
      <c r="C1345" s="2" t="s">
        <v>594</v>
      </c>
      <c r="D1345" s="2" t="str">
        <f t="shared" si="20"/>
        <v>Error?</v>
      </c>
    </row>
    <row r="1346" spans="1:4" x14ac:dyDescent="0.2">
      <c r="A1346" s="5">
        <v>1285</v>
      </c>
      <c r="B1346" s="138">
        <f>'Expenditures 15-22'!D210</f>
        <v>23109</v>
      </c>
      <c r="C1346" s="2" t="s">
        <v>594</v>
      </c>
      <c r="D1346" s="2" t="str">
        <f t="shared" si="20"/>
        <v>Error?</v>
      </c>
    </row>
    <row r="1347" spans="1:4" x14ac:dyDescent="0.2">
      <c r="A1347" s="5">
        <v>1286</v>
      </c>
      <c r="B1347" s="138">
        <f>'Expenditures 15-22'!E182</f>
        <v>69775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69775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69775</v>
      </c>
      <c r="C1353" s="2" t="s">
        <v>594</v>
      </c>
      <c r="D1353" s="2" t="str">
        <f t="shared" si="20"/>
        <v>Error?</v>
      </c>
    </row>
    <row r="1354" spans="1:4" x14ac:dyDescent="0.2">
      <c r="A1354" s="5">
        <v>1293</v>
      </c>
      <c r="B1354" s="138">
        <f>'Expenditures 15-22'!F182</f>
        <v>84538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84538</v>
      </c>
      <c r="C1358" s="2" t="s">
        <v>594</v>
      </c>
      <c r="D1358" s="2" t="str">
        <f t="shared" si="20"/>
        <v>Error?</v>
      </c>
    </row>
    <row r="1359" spans="1:4" x14ac:dyDescent="0.2">
      <c r="A1359" s="5">
        <v>1298</v>
      </c>
      <c r="B1359" s="138">
        <f>'Expenditures 15-22'!F210</f>
        <v>84538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192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192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192</v>
      </c>
      <c r="C1376" s="2" t="s">
        <v>594</v>
      </c>
      <c r="D1376" s="2" t="str">
        <f t="shared" si="20"/>
        <v>Error?</v>
      </c>
    </row>
    <row r="1377" spans="1:4" x14ac:dyDescent="0.2">
      <c r="A1377" s="5">
        <v>1316</v>
      </c>
      <c r="B1377" s="138">
        <f>'Expenditures 15-22'!K182</f>
        <v>420671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420671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420671</v>
      </c>
      <c r="C1388" s="2" t="s">
        <v>594</v>
      </c>
      <c r="D1388" s="2" t="str">
        <f t="shared" si="20"/>
        <v>Error?</v>
      </c>
    </row>
    <row r="1389" spans="1:4" x14ac:dyDescent="0.2">
      <c r="A1389" s="5">
        <v>1328</v>
      </c>
      <c r="B1389" s="138">
        <f>'Expenditures 15-22'!K211</f>
        <v>146996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2724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3871</v>
      </c>
      <c r="D1407" s="2" t="str">
        <f t="shared" ref="D1407:D1470" si="21">IF(ISBLANK(B1407),"OK",IF(A1407-B1407=0,"OK","Error?"))</f>
        <v>Error?</v>
      </c>
    </row>
    <row r="1408" spans="1:4" x14ac:dyDescent="0.2">
      <c r="A1408" s="5">
        <v>1347</v>
      </c>
      <c r="B1408" s="138">
        <f>'Expenditures 15-22'!D223</f>
        <v>11035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211630</v>
      </c>
      <c r="C1410" s="2" t="s">
        <v>594</v>
      </c>
      <c r="D1410" s="2" t="str">
        <f t="shared" si="21"/>
        <v>Error?</v>
      </c>
    </row>
    <row r="1411" spans="1:4" x14ac:dyDescent="0.2">
      <c r="A1411" s="5">
        <v>1350</v>
      </c>
      <c r="B1411" s="138">
        <f>'Expenditures 15-22'!D232</f>
        <v>867</v>
      </c>
      <c r="D1411" s="2" t="str">
        <f t="shared" si="21"/>
        <v>Error?</v>
      </c>
    </row>
    <row r="1412" spans="1:4" x14ac:dyDescent="0.2">
      <c r="A1412" s="5">
        <v>1351</v>
      </c>
      <c r="B1412" s="138">
        <f>'Expenditures 15-22'!D233</f>
        <v>1398</v>
      </c>
      <c r="D1412" s="2" t="str">
        <f t="shared" si="21"/>
        <v>Error?</v>
      </c>
    </row>
    <row r="1413" spans="1:4" x14ac:dyDescent="0.2">
      <c r="A1413" s="5">
        <v>1352</v>
      </c>
      <c r="B1413" s="138">
        <f>'Expenditures 15-22'!D234</f>
        <v>819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1785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4869</v>
      </c>
      <c r="C1417" s="2" t="s">
        <v>594</v>
      </c>
      <c r="D1417" s="2" t="str">
        <f t="shared" si="21"/>
        <v>Error?</v>
      </c>
    </row>
    <row r="1418" spans="1:4" x14ac:dyDescent="0.2">
      <c r="A1418" s="5">
        <v>1357</v>
      </c>
      <c r="B1418" s="138">
        <f>'Expenditures 15-22'!D240</f>
        <v>106</v>
      </c>
      <c r="D1418" s="2" t="str">
        <f t="shared" si="21"/>
        <v>Error?</v>
      </c>
    </row>
    <row r="1419" spans="1:4" x14ac:dyDescent="0.2">
      <c r="A1419" s="5">
        <v>1358</v>
      </c>
      <c r="B1419" s="138">
        <f>'Expenditures 15-22'!D241</f>
        <v>1039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1145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10703</v>
      </c>
      <c r="D1423" s="2" t="str">
        <f t="shared" si="21"/>
        <v>Error?</v>
      </c>
    </row>
    <row r="1424" spans="1:4" x14ac:dyDescent="0.2">
      <c r="A1424" s="5">
        <v>1363</v>
      </c>
      <c r="B1424" s="138">
        <f>'Expenditures 15-22'!D257</f>
        <v>10703</v>
      </c>
      <c r="C1424" s="2" t="s">
        <v>594</v>
      </c>
      <c r="D1424" s="2" t="str">
        <f t="shared" si="21"/>
        <v>Error?</v>
      </c>
    </row>
    <row r="1425" spans="1:4" x14ac:dyDescent="0.2">
      <c r="A1425" s="5">
        <v>1364</v>
      </c>
      <c r="B1425" s="138">
        <f>'Expenditures 15-22'!D259</f>
        <v>42396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42396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9668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82371</v>
      </c>
      <c r="D1431" s="2" t="str">
        <f t="shared" si="21"/>
        <v>Error?</v>
      </c>
    </row>
    <row r="1432" spans="1:4" x14ac:dyDescent="0.2">
      <c r="A1432" s="5">
        <v>1371</v>
      </c>
      <c r="B1432" s="138">
        <f>'Expenditures 15-22'!D267</f>
        <v>58028</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150067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209180</v>
      </c>
      <c r="C1446" s="2" t="s">
        <v>594</v>
      </c>
      <c r="D1446" s="2" t="str">
        <f t="shared" si="21"/>
        <v>Error?</v>
      </c>
    </row>
    <row r="1447" spans="1:4" x14ac:dyDescent="0.2">
      <c r="A1447" s="5">
        <v>1386</v>
      </c>
      <c r="B1447" s="138">
        <f>'Expenditures 15-22'!D280</f>
        <v>12993</v>
      </c>
      <c r="D1447" s="2" t="str">
        <f t="shared" si="21"/>
        <v>Error?</v>
      </c>
    </row>
    <row r="1448" spans="1:4" x14ac:dyDescent="0.2">
      <c r="A1448" s="5">
        <v>1387</v>
      </c>
      <c r="B1448" s="138">
        <f>'Expenditures 15-22'!D295</f>
        <v>433803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2724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3871</v>
      </c>
      <c r="C1471" s="2" t="s">
        <v>594</v>
      </c>
      <c r="D1471" s="2" t="str">
        <f t="shared" ref="D1471:D1534" si="22">IF(ISBLANK(B1471),"OK",IF(A1471-B1471=0,"OK","Error?"))</f>
        <v>Error?</v>
      </c>
    </row>
    <row r="1472" spans="1:4" x14ac:dyDescent="0.2">
      <c r="A1472" s="5">
        <v>1411</v>
      </c>
      <c r="B1472" s="138">
        <f>'Expenditures 15-22'!K223</f>
        <v>11035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211630</v>
      </c>
      <c r="C1474" s="2" t="s">
        <v>594</v>
      </c>
      <c r="D1474" s="2" t="str">
        <f t="shared" si="22"/>
        <v>Error?</v>
      </c>
    </row>
    <row r="1475" spans="1:4" x14ac:dyDescent="0.2">
      <c r="A1475" s="5">
        <v>1414</v>
      </c>
      <c r="B1475" s="138">
        <f>'Expenditures 15-22'!K232</f>
        <v>867</v>
      </c>
      <c r="C1475" s="2" t="s">
        <v>594</v>
      </c>
      <c r="D1475" s="2" t="str">
        <f t="shared" si="22"/>
        <v>Error?</v>
      </c>
    </row>
    <row r="1476" spans="1:4" x14ac:dyDescent="0.2">
      <c r="A1476" s="5">
        <v>1415</v>
      </c>
      <c r="B1476" s="138">
        <f>'Expenditures 15-22'!K233</f>
        <v>1398</v>
      </c>
      <c r="C1476" s="2" t="s">
        <v>594</v>
      </c>
      <c r="D1476" s="2" t="str">
        <f t="shared" si="22"/>
        <v>Error?</v>
      </c>
    </row>
    <row r="1477" spans="1:4" x14ac:dyDescent="0.2">
      <c r="A1477" s="5">
        <v>1416</v>
      </c>
      <c r="B1477" s="138">
        <f>'Expenditures 15-22'!K234</f>
        <v>819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1785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4869</v>
      </c>
      <c r="C1481" s="2" t="s">
        <v>594</v>
      </c>
      <c r="D1481" s="2" t="str">
        <f t="shared" si="22"/>
        <v>Error?</v>
      </c>
    </row>
    <row r="1482" spans="1:4" x14ac:dyDescent="0.2">
      <c r="A1482" s="5">
        <v>1421</v>
      </c>
      <c r="B1482" s="138">
        <f>'Expenditures 15-22'!K240</f>
        <v>106</v>
      </c>
      <c r="C1482" s="2" t="s">
        <v>594</v>
      </c>
      <c r="D1482" s="2" t="str">
        <f t="shared" si="22"/>
        <v>Error?</v>
      </c>
    </row>
    <row r="1483" spans="1:4" x14ac:dyDescent="0.2">
      <c r="A1483" s="5">
        <v>1422</v>
      </c>
      <c r="B1483" s="138">
        <f>'Expenditures 15-22'!K241</f>
        <v>1039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1145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10703</v>
      </c>
      <c r="C1487" s="2" t="s">
        <v>594</v>
      </c>
      <c r="D1487" s="2" t="str">
        <f t="shared" si="22"/>
        <v>Error?</v>
      </c>
    </row>
    <row r="1488" spans="1:4" x14ac:dyDescent="0.2">
      <c r="A1488" s="5">
        <v>1427</v>
      </c>
      <c r="B1488" s="138">
        <f>'Expenditures 15-22'!K257</f>
        <v>10703</v>
      </c>
      <c r="C1488" s="2" t="s">
        <v>594</v>
      </c>
      <c r="D1488" s="2" t="str">
        <f t="shared" si="22"/>
        <v>Error?</v>
      </c>
    </row>
    <row r="1489" spans="1:4" x14ac:dyDescent="0.2">
      <c r="A1489" s="5">
        <v>1428</v>
      </c>
      <c r="B1489" s="138">
        <f>'Expenditures 15-22'!K259</f>
        <v>42396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42396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9668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82371</v>
      </c>
      <c r="C1495" s="2" t="s">
        <v>594</v>
      </c>
      <c r="D1495" s="2" t="str">
        <f t="shared" si="22"/>
        <v>Error?</v>
      </c>
    </row>
    <row r="1496" spans="1:4" x14ac:dyDescent="0.2">
      <c r="A1496" s="5">
        <v>1435</v>
      </c>
      <c r="B1496" s="138">
        <f>'Expenditures 15-22'!K267</f>
        <v>58028</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150067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209180</v>
      </c>
      <c r="C1510" s="2" t="s">
        <v>594</v>
      </c>
      <c r="D1510" s="2" t="str">
        <f t="shared" si="22"/>
        <v>Error?</v>
      </c>
    </row>
    <row r="1511" spans="1:4" x14ac:dyDescent="0.2">
      <c r="A1511" s="5">
        <v>1450</v>
      </c>
      <c r="B1511" s="138">
        <f>'Expenditures 15-22'!K280</f>
        <v>12993</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433803</v>
      </c>
      <c r="C1517" s="2" t="s">
        <v>594</v>
      </c>
      <c r="D1517" s="2" t="str">
        <f t="shared" si="22"/>
        <v>Error?</v>
      </c>
    </row>
    <row r="1518" spans="1:4" x14ac:dyDescent="0.2">
      <c r="A1518" s="5">
        <v>1457</v>
      </c>
      <c r="B1518" s="138">
        <f>'Expenditures 15-22'!K296</f>
        <v>13065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125548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211104</v>
      </c>
      <c r="C1630" s="2" t="s">
        <v>594</v>
      </c>
      <c r="D1630" s="2" t="str">
        <f t="shared" si="24"/>
        <v>Error?</v>
      </c>
    </row>
    <row r="1631" spans="1:4" x14ac:dyDescent="0.2">
      <c r="A1631" s="5">
        <v>1570</v>
      </c>
      <c r="B1631" s="138">
        <f>'Acct Summary 7-8'!D79</f>
        <v>757635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680425</v>
      </c>
      <c r="C1644" s="2" t="s">
        <v>594</v>
      </c>
      <c r="D1644" s="2" t="str">
        <f t="shared" si="24"/>
        <v>Error?</v>
      </c>
    </row>
    <row r="1645" spans="1:4" x14ac:dyDescent="0.2">
      <c r="A1645" s="5">
        <v>1584</v>
      </c>
      <c r="B1645" s="138">
        <f>'Acct Summary 7-8'!E79</f>
        <v>2534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2931</v>
      </c>
      <c r="C1658" s="2" t="s">
        <v>594</v>
      </c>
      <c r="D1658" s="2" t="str">
        <f t="shared" si="24"/>
        <v>Error?</v>
      </c>
    </row>
    <row r="1659" spans="1:4" x14ac:dyDescent="0.2">
      <c r="A1659" s="5">
        <v>1598</v>
      </c>
      <c r="B1659" s="138">
        <f>'Acct Summary 7-8'!F79</f>
        <v>540411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687407</v>
      </c>
      <c r="C1672" s="2" t="s">
        <v>594</v>
      </c>
      <c r="D1672" s="2" t="str">
        <f t="shared" si="25"/>
        <v>Error?</v>
      </c>
    </row>
    <row r="1673" spans="1:4" x14ac:dyDescent="0.2">
      <c r="A1673" s="5">
        <v>1612</v>
      </c>
      <c r="B1673" s="138">
        <f>'Acct Summary 7-8'!G79</f>
        <v>270302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283367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3040981</v>
      </c>
      <c r="C1744" s="2" t="s">
        <v>594</v>
      </c>
      <c r="D1744" s="2" t="str">
        <f t="shared" si="26"/>
        <v>Error?</v>
      </c>
    </row>
    <row r="1745" spans="1:5" x14ac:dyDescent="0.2">
      <c r="A1745" s="5">
        <v>1684</v>
      </c>
      <c r="B1745" s="138">
        <f>'Tax Sched 23'!B5</f>
        <v>678791</v>
      </c>
      <c r="C1745" s="2" t="s">
        <v>594</v>
      </c>
      <c r="D1745" s="2" t="str">
        <f t="shared" si="26"/>
        <v>Error?</v>
      </c>
    </row>
    <row r="1746" spans="1:5" x14ac:dyDescent="0.2">
      <c r="A1746" s="5">
        <v>1685</v>
      </c>
      <c r="B1746" s="138">
        <f>'Tax Sched 23'!B6</f>
        <v>928241</v>
      </c>
      <c r="C1746" s="2" t="s">
        <v>594</v>
      </c>
      <c r="D1746" s="2" t="str">
        <f t="shared" si="26"/>
        <v>Error?</v>
      </c>
    </row>
    <row r="1747" spans="1:5" x14ac:dyDescent="0.2">
      <c r="A1747" s="5">
        <v>1686</v>
      </c>
      <c r="B1747" s="138">
        <f>'Tax Sched 23'!B7</f>
        <v>271516</v>
      </c>
      <c r="C1747" s="2" t="s">
        <v>594</v>
      </c>
      <c r="D1747" s="2" t="str">
        <f t="shared" si="26"/>
        <v>Error?</v>
      </c>
    </row>
    <row r="1748" spans="1:5" x14ac:dyDescent="0.2">
      <c r="A1748" s="5">
        <v>1687</v>
      </c>
      <c r="B1748" s="138">
        <f>'Tax Sched 23'!B8</f>
        <v>219731</v>
      </c>
      <c r="C1748" s="2" t="s">
        <v>594</v>
      </c>
      <c r="D1748" s="2" t="str">
        <f t="shared" si="26"/>
        <v>Error?</v>
      </c>
    </row>
    <row r="1749" spans="1:5" x14ac:dyDescent="0.2">
      <c r="A1749" s="5">
        <v>1688</v>
      </c>
      <c r="B1749" s="138">
        <f>'Tax Sched 23'!B10</f>
        <v>67879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599256</v>
      </c>
      <c r="C1752" s="2" t="s">
        <v>594</v>
      </c>
      <c r="D1752" s="2" t="str">
        <f t="shared" si="26"/>
        <v>Error?</v>
      </c>
    </row>
    <row r="1753" spans="1:5" x14ac:dyDescent="0.2">
      <c r="A1753" s="5">
        <v>1692</v>
      </c>
      <c r="B1753" s="138">
        <f>'Tax Sched 23'!B12</f>
        <v>67879</v>
      </c>
      <c r="C1753" s="2" t="s">
        <v>594</v>
      </c>
      <c r="D1753" s="2" t="str">
        <f t="shared" si="26"/>
        <v>Error?</v>
      </c>
    </row>
    <row r="1754" spans="1:5" x14ac:dyDescent="0.2">
      <c r="A1754" s="5">
        <v>1693</v>
      </c>
      <c r="B1754" s="138">
        <f>'Tax Sched 23'!B14</f>
        <v>54303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6206195</v>
      </c>
      <c r="C1759" s="2" t="s">
        <v>594</v>
      </c>
      <c r="D1759" s="2" t="str">
        <f t="shared" si="26"/>
        <v>Error?</v>
      </c>
    </row>
    <row r="1760" spans="1:5" x14ac:dyDescent="0.2">
      <c r="A1760" s="5">
        <v>1699</v>
      </c>
      <c r="B1760" s="138">
        <f>'Tax Sched 23'!D4</f>
        <v>3040981</v>
      </c>
      <c r="C1760" s="2" t="s">
        <v>594</v>
      </c>
      <c r="D1760" s="2" t="str">
        <f t="shared" si="26"/>
        <v>Error?</v>
      </c>
    </row>
    <row r="1761" spans="1:5" x14ac:dyDescent="0.2">
      <c r="A1761" s="5">
        <v>1700</v>
      </c>
      <c r="B1761" s="138">
        <f>'Tax Sched 23'!D5</f>
        <v>678791</v>
      </c>
      <c r="C1761" s="2" t="s">
        <v>594</v>
      </c>
      <c r="D1761" s="2" t="str">
        <f t="shared" si="26"/>
        <v>Error?</v>
      </c>
    </row>
    <row r="1762" spans="1:5" s="8" customFormat="1" x14ac:dyDescent="0.2">
      <c r="A1762" s="5">
        <v>1701</v>
      </c>
      <c r="B1762" s="138">
        <f>'Tax Sched 23'!D6</f>
        <v>928241</v>
      </c>
      <c r="C1762" s="2" t="s">
        <v>594</v>
      </c>
      <c r="D1762" s="2" t="str">
        <f t="shared" si="26"/>
        <v>Error?</v>
      </c>
      <c r="E1762" s="9"/>
    </row>
    <row r="1763" spans="1:5" x14ac:dyDescent="0.2">
      <c r="A1763" s="5">
        <v>1702</v>
      </c>
      <c r="B1763" s="138">
        <f>'Tax Sched 23'!D7</f>
        <v>271516</v>
      </c>
      <c r="C1763" s="2" t="s">
        <v>594</v>
      </c>
      <c r="D1763" s="2" t="str">
        <f t="shared" si="26"/>
        <v>Error?</v>
      </c>
    </row>
    <row r="1764" spans="1:5" x14ac:dyDescent="0.2">
      <c r="A1764" s="5">
        <v>1703</v>
      </c>
      <c r="B1764" s="138">
        <f>'Tax Sched 23'!D8</f>
        <v>219731</v>
      </c>
      <c r="C1764" s="2" t="s">
        <v>594</v>
      </c>
      <c r="D1764" s="2" t="str">
        <f t="shared" si="26"/>
        <v>Error?</v>
      </c>
    </row>
    <row r="1765" spans="1:5" x14ac:dyDescent="0.2">
      <c r="A1765" s="5">
        <v>1704</v>
      </c>
      <c r="B1765" s="138">
        <f>'Tax Sched 23'!D10</f>
        <v>67879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599256</v>
      </c>
      <c r="C1768" s="2" t="s">
        <v>594</v>
      </c>
      <c r="D1768" s="2" t="str">
        <f t="shared" si="26"/>
        <v>Error?</v>
      </c>
    </row>
    <row r="1769" spans="1:5" x14ac:dyDescent="0.2">
      <c r="A1769" s="5">
        <v>1708</v>
      </c>
      <c r="B1769" s="138">
        <f>'Tax Sched 23'!D12</f>
        <v>67879</v>
      </c>
      <c r="C1769" s="2" t="s">
        <v>594</v>
      </c>
      <c r="D1769" s="2" t="str">
        <f t="shared" si="26"/>
        <v>Error?</v>
      </c>
    </row>
    <row r="1770" spans="1:5" x14ac:dyDescent="0.2">
      <c r="A1770" s="5">
        <v>1709</v>
      </c>
      <c r="B1770" s="138">
        <f>'Tax Sched 23'!D14</f>
        <v>54303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6206195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3144312</v>
      </c>
      <c r="C1792" s="2" t="s">
        <v>594</v>
      </c>
      <c r="D1792" s="2" t="str">
        <f t="shared" si="27"/>
        <v>Error?</v>
      </c>
    </row>
    <row r="1793" spans="1:4" x14ac:dyDescent="0.2">
      <c r="A1793" s="5">
        <v>1732</v>
      </c>
      <c r="B1793" s="138">
        <f>'Tax Sched 23'!F5</f>
        <v>701855</v>
      </c>
      <c r="C1793" s="2" t="s">
        <v>594</v>
      </c>
      <c r="D1793" s="2" t="str">
        <f t="shared" si="27"/>
        <v>Error?</v>
      </c>
    </row>
    <row r="1794" spans="1:4" x14ac:dyDescent="0.2">
      <c r="A1794" s="5">
        <v>1733</v>
      </c>
      <c r="B1794" s="138">
        <f>'Tax Sched 23'!F6</f>
        <v>843417</v>
      </c>
      <c r="C1794" s="2" t="s">
        <v>594</v>
      </c>
      <c r="D1794" s="2" t="str">
        <f t="shared" si="27"/>
        <v>Error?</v>
      </c>
    </row>
    <row r="1795" spans="1:4" x14ac:dyDescent="0.2">
      <c r="A1795" s="5">
        <v>1734</v>
      </c>
      <c r="B1795" s="138">
        <f>'Tax Sched 23'!F7</f>
        <v>280742</v>
      </c>
      <c r="C1795" s="2" t="s">
        <v>594</v>
      </c>
      <c r="D1795" s="2" t="str">
        <f t="shared" si="27"/>
        <v>Error?</v>
      </c>
    </row>
    <row r="1796" spans="1:4" x14ac:dyDescent="0.2">
      <c r="A1796" s="5">
        <v>1735</v>
      </c>
      <c r="B1796" s="138">
        <f>'Tax Sched 23'!F8</f>
        <v>230001</v>
      </c>
      <c r="C1796" s="2" t="s">
        <v>594</v>
      </c>
      <c r="D1796" s="2" t="str">
        <f t="shared" si="27"/>
        <v>Error?</v>
      </c>
    </row>
    <row r="1797" spans="1:4" x14ac:dyDescent="0.2">
      <c r="A1797" s="5">
        <v>1736</v>
      </c>
      <c r="B1797" s="138">
        <f>'Tax Sched 23'!F10</f>
        <v>70186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650011</v>
      </c>
      <c r="C1800" s="2" t="s">
        <v>594</v>
      </c>
      <c r="D1800" s="2" t="str">
        <f t="shared" si="27"/>
        <v>Error?</v>
      </c>
    </row>
    <row r="1801" spans="1:4" x14ac:dyDescent="0.2">
      <c r="A1801" s="5">
        <v>1740</v>
      </c>
      <c r="B1801" s="138">
        <f>'Tax Sched 23'!F12</f>
        <v>70186</v>
      </c>
      <c r="C1801" s="2" t="s">
        <v>594</v>
      </c>
      <c r="D1801" s="2" t="str">
        <f t="shared" si="27"/>
        <v>Error?</v>
      </c>
    </row>
    <row r="1802" spans="1:4" x14ac:dyDescent="0.2">
      <c r="A1802" s="5">
        <v>1741</v>
      </c>
      <c r="B1802" s="138">
        <f>'Tax Sched 23'!F14</f>
        <v>56148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6337051</v>
      </c>
      <c r="C1807" s="2" t="s">
        <v>594</v>
      </c>
      <c r="D1807" s="2" t="str">
        <f t="shared" si="27"/>
        <v>Error?</v>
      </c>
    </row>
    <row r="1808" spans="1:4" x14ac:dyDescent="0.2">
      <c r="A1808" s="5">
        <v>1747</v>
      </c>
      <c r="B1808" s="138">
        <f>'Tax Sched 23'!E4</f>
        <v>3144312</v>
      </c>
      <c r="D1808" s="2" t="str">
        <f t="shared" si="27"/>
        <v>Error?</v>
      </c>
    </row>
    <row r="1809" spans="1:4" x14ac:dyDescent="0.2">
      <c r="A1809" s="5">
        <v>1748</v>
      </c>
      <c r="B1809" s="138">
        <f>'Tax Sched 23'!E5</f>
        <v>701855</v>
      </c>
      <c r="D1809" s="2" t="str">
        <f t="shared" si="27"/>
        <v>Error?</v>
      </c>
    </row>
    <row r="1810" spans="1:4" x14ac:dyDescent="0.2">
      <c r="A1810" s="5">
        <v>1749</v>
      </c>
      <c r="B1810" s="138">
        <f>'Tax Sched 23'!E6</f>
        <v>843417</v>
      </c>
      <c r="D1810" s="2" t="str">
        <f t="shared" si="27"/>
        <v>Error?</v>
      </c>
    </row>
    <row r="1811" spans="1:4" x14ac:dyDescent="0.2">
      <c r="A1811" s="5">
        <v>1750</v>
      </c>
      <c r="B1811" s="138">
        <f>'Tax Sched 23'!E7</f>
        <v>280742</v>
      </c>
      <c r="D1811" s="2" t="str">
        <f t="shared" si="27"/>
        <v>Error?</v>
      </c>
    </row>
    <row r="1812" spans="1:4" x14ac:dyDescent="0.2">
      <c r="A1812" s="5">
        <v>1751</v>
      </c>
      <c r="B1812" s="138">
        <f>'Tax Sched 23'!E8</f>
        <v>230001</v>
      </c>
      <c r="D1812" s="2" t="str">
        <f t="shared" si="27"/>
        <v>Error?</v>
      </c>
    </row>
    <row r="1813" spans="1:4" x14ac:dyDescent="0.2">
      <c r="A1813" s="5">
        <v>1752</v>
      </c>
      <c r="B1813" s="138">
        <f>'Tax Sched 23'!E10</f>
        <v>70186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650011</v>
      </c>
      <c r="D1816" s="2" t="str">
        <f t="shared" si="27"/>
        <v>Error?</v>
      </c>
    </row>
    <row r="1817" spans="1:4" x14ac:dyDescent="0.2">
      <c r="A1817" s="5">
        <v>1756</v>
      </c>
      <c r="B1817" s="138">
        <f>'Tax Sched 23'!E12</f>
        <v>70186</v>
      </c>
      <c r="D1817" s="2" t="str">
        <f t="shared" si="27"/>
        <v>Error?</v>
      </c>
    </row>
    <row r="1818" spans="1:4" x14ac:dyDescent="0.2">
      <c r="A1818" s="5">
        <v>1757</v>
      </c>
      <c r="B1818" s="138">
        <f>'Tax Sched 23'!E14</f>
        <v>56148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6337051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10100000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54303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54303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54303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509337</v>
      </c>
      <c r="D2008" s="2" t="str">
        <f t="shared" si="30"/>
        <v>Error?</v>
      </c>
    </row>
    <row r="2009" spans="1:4" x14ac:dyDescent="0.2">
      <c r="A2009" s="5">
        <v>1948</v>
      </c>
      <c r="B2009" s="138">
        <f>'Cap Outlay Deprec 26'!C8</f>
        <v>36484393</v>
      </c>
      <c r="D2009" s="2" t="str">
        <f t="shared" si="30"/>
        <v>Error?</v>
      </c>
    </row>
    <row r="2010" spans="1:4" x14ac:dyDescent="0.2">
      <c r="A2010" s="5">
        <v>1949</v>
      </c>
      <c r="B2010" s="138">
        <f>'Cap Outlay Deprec 26'!C10</f>
        <v>865261</v>
      </c>
      <c r="D2010" s="2" t="str">
        <f t="shared" si="30"/>
        <v>Error?</v>
      </c>
    </row>
    <row r="2011" spans="1:4" x14ac:dyDescent="0.2">
      <c r="A2011" s="5">
        <v>1950</v>
      </c>
      <c r="B2011" s="138">
        <f>'Cap Outlay Deprec 26'!C12</f>
        <v>4714446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42573437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102438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102438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509337</v>
      </c>
      <c r="C2026" s="2" t="s">
        <v>594</v>
      </c>
      <c r="D2026" s="2" t="str">
        <f t="shared" si="30"/>
        <v>Error?</v>
      </c>
    </row>
    <row r="2027" spans="1:4" x14ac:dyDescent="0.2">
      <c r="A2027" s="5">
        <v>1966</v>
      </c>
      <c r="B2027" s="138">
        <f>'Cap Outlay Deprec 26'!F8</f>
        <v>36484393</v>
      </c>
      <c r="C2027" s="2" t="s">
        <v>594</v>
      </c>
      <c r="D2027" s="2" t="str">
        <f t="shared" si="30"/>
        <v>Error?</v>
      </c>
    </row>
    <row r="2028" spans="1:4" x14ac:dyDescent="0.2">
      <c r="A2028" s="5">
        <v>1967</v>
      </c>
      <c r="B2028" s="138">
        <f>'Cap Outlay Deprec 26'!F10</f>
        <v>865261</v>
      </c>
      <c r="C2028" s="2" t="s">
        <v>594</v>
      </c>
      <c r="D2028" s="2" t="str">
        <f t="shared" si="30"/>
        <v>Error?</v>
      </c>
    </row>
    <row r="2029" spans="1:4" x14ac:dyDescent="0.2">
      <c r="A2029" s="5">
        <v>1968</v>
      </c>
      <c r="B2029" s="138">
        <f>'Cap Outlay Deprec 26'!F12</f>
        <v>4816884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42675875</v>
      </c>
      <c r="C2031" s="2" t="s">
        <v>594</v>
      </c>
      <c r="D2031" s="2" t="str">
        <f t="shared" si="30"/>
        <v>Error?</v>
      </c>
    </row>
    <row r="2032" spans="1:4" x14ac:dyDescent="0.2">
      <c r="A2032" s="10">
        <v>1971</v>
      </c>
      <c r="D2032" s="2" t="str">
        <f t="shared" si="30"/>
        <v>OK</v>
      </c>
    </row>
    <row r="2033" spans="1:4" x14ac:dyDescent="0.2">
      <c r="A2033" s="5">
        <v>1972</v>
      </c>
      <c r="B2033" s="138">
        <f>'Cap Outlay Deprec 26'!H8</f>
        <v>4847661</v>
      </c>
      <c r="D2033" s="2" t="str">
        <f t="shared" si="30"/>
        <v>Error?</v>
      </c>
    </row>
    <row r="2034" spans="1:4" x14ac:dyDescent="0.2">
      <c r="A2034" s="5">
        <v>1973</v>
      </c>
      <c r="B2034" s="138">
        <f>'Cap Outlay Deprec 26'!H10</f>
        <v>584536</v>
      </c>
      <c r="D2034" s="2" t="str">
        <f t="shared" si="30"/>
        <v>Error?</v>
      </c>
    </row>
    <row r="2035" spans="1:4" x14ac:dyDescent="0.2">
      <c r="A2035" s="5">
        <v>1974</v>
      </c>
      <c r="B2035" s="138">
        <f>'Cap Outlay Deprec 26'!H12</f>
        <v>3276514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8708711</v>
      </c>
      <c r="C2037" s="2" t="s">
        <v>594</v>
      </c>
      <c r="D2037" s="2" t="str">
        <f t="shared" si="30"/>
        <v>Error?</v>
      </c>
    </row>
    <row r="2038" spans="1:4" x14ac:dyDescent="0.2">
      <c r="A2038" s="10">
        <v>1977</v>
      </c>
      <c r="D2038" s="2" t="str">
        <f t="shared" si="30"/>
        <v>OK</v>
      </c>
    </row>
    <row r="2039" spans="1:4" x14ac:dyDescent="0.2">
      <c r="A2039" s="5">
        <v>1978</v>
      </c>
      <c r="B2039" s="138">
        <f>'Cap Outlay Deprec 26'!I8</f>
        <v>728972</v>
      </c>
      <c r="D2039" s="2" t="str">
        <f t="shared" si="30"/>
        <v>Error?</v>
      </c>
    </row>
    <row r="2040" spans="1:4" x14ac:dyDescent="0.2">
      <c r="A2040" s="5">
        <v>1979</v>
      </c>
      <c r="B2040" s="138">
        <f>'Cap Outlay Deprec 26'!I10</f>
        <v>32129</v>
      </c>
      <c r="D2040" s="2" t="str">
        <f t="shared" si="30"/>
        <v>Error?</v>
      </c>
    </row>
    <row r="2041" spans="1:4" x14ac:dyDescent="0.2">
      <c r="A2041" s="5">
        <v>1980</v>
      </c>
      <c r="B2041" s="138">
        <f>'Cap Outlay Deprec 26'!I12</f>
        <v>243558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1004659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5576633</v>
      </c>
      <c r="C2051" s="2" t="s">
        <v>594</v>
      </c>
      <c r="D2051" s="2" t="str">
        <f t="shared" si="31"/>
        <v>Error?</v>
      </c>
    </row>
    <row r="2052" spans="1:4" x14ac:dyDescent="0.2">
      <c r="A2052" s="5">
        <v>1991</v>
      </c>
      <c r="B2052" s="138">
        <f>'Cap Outlay Deprec 26'!K10</f>
        <v>616665</v>
      </c>
      <c r="C2052" s="2" t="s">
        <v>594</v>
      </c>
      <c r="D2052" s="2" t="str">
        <f t="shared" si="31"/>
        <v>Error?</v>
      </c>
    </row>
    <row r="2053" spans="1:4" x14ac:dyDescent="0.2">
      <c r="A2053" s="5">
        <v>1992</v>
      </c>
      <c r="B2053" s="138">
        <f>'Cap Outlay Deprec 26'!K12</f>
        <v>3520072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9713370</v>
      </c>
      <c r="C2055" s="2" t="s">
        <v>594</v>
      </c>
      <c r="D2055" s="2" t="str">
        <f t="shared" si="31"/>
        <v>Error?</v>
      </c>
    </row>
    <row r="2056" spans="1:4" x14ac:dyDescent="0.2">
      <c r="A2056" s="5">
        <v>1995</v>
      </c>
      <c r="B2056" s="138">
        <f>'Cap Outlay Deprec 26'!L5</f>
        <v>509337</v>
      </c>
      <c r="C2056" s="2" t="s">
        <v>594</v>
      </c>
      <c r="D2056" s="2" t="str">
        <f t="shared" si="31"/>
        <v>Error?</v>
      </c>
    </row>
    <row r="2057" spans="1:4" x14ac:dyDescent="0.2">
      <c r="A2057" s="5">
        <v>1996</v>
      </c>
      <c r="B2057" s="138">
        <f>'Cap Outlay Deprec 26'!L8</f>
        <v>30907760</v>
      </c>
      <c r="C2057" s="2" t="s">
        <v>594</v>
      </c>
      <c r="D2057" s="2" t="str">
        <f t="shared" si="31"/>
        <v>Error?</v>
      </c>
    </row>
    <row r="2058" spans="1:4" x14ac:dyDescent="0.2">
      <c r="A2058" s="5">
        <v>1997</v>
      </c>
      <c r="B2058" s="138">
        <f>'Cap Outlay Deprec 26'!L10</f>
        <v>248596</v>
      </c>
      <c r="C2058" s="2" t="s">
        <v>594</v>
      </c>
      <c r="D2058" s="2" t="str">
        <f t="shared" si="31"/>
        <v>Error?</v>
      </c>
    </row>
    <row r="2059" spans="1:4" x14ac:dyDescent="0.2">
      <c r="A2059" s="5">
        <v>1998</v>
      </c>
      <c r="B2059" s="138">
        <f>'Cap Outlay Deprec 26'!L12</f>
        <v>1296812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32962505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341937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146407</v>
      </c>
      <c r="D2435" s="2" t="str">
        <f t="shared" si="37"/>
        <v>Error?</v>
      </c>
    </row>
    <row r="2436" spans="1:4" x14ac:dyDescent="0.2">
      <c r="A2436" s="10">
        <v>2375</v>
      </c>
      <c r="D2436" s="2" t="str">
        <f t="shared" si="37"/>
        <v>OK</v>
      </c>
    </row>
    <row r="2437" spans="1:4" x14ac:dyDescent="0.2">
      <c r="A2437" s="5">
        <v>2376</v>
      </c>
      <c r="B2437" s="138">
        <f>'Assets-Liab 5-6'!D38</f>
        <v>22994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3927562</v>
      </c>
      <c r="C2551" s="2" t="s">
        <v>594</v>
      </c>
      <c r="D2551" s="2" t="str">
        <f t="shared" si="38"/>
        <v>Error?</v>
      </c>
    </row>
    <row r="2552" spans="1:4" x14ac:dyDescent="0.2">
      <c r="A2552" s="10">
        <v>2491</v>
      </c>
      <c r="D2552" s="2" t="str">
        <f t="shared" si="38"/>
        <v>OK</v>
      </c>
    </row>
    <row r="2553" spans="1:4" x14ac:dyDescent="0.2">
      <c r="A2553" s="5">
        <v>2492</v>
      </c>
      <c r="B2553" s="138">
        <f>'Acct Summary 7-8'!C6</f>
        <v>4749796</v>
      </c>
      <c r="C2553" s="2" t="s">
        <v>594</v>
      </c>
      <c r="D2553" s="2" t="str">
        <f t="shared" si="38"/>
        <v>Error?</v>
      </c>
    </row>
    <row r="2554" spans="1:4" x14ac:dyDescent="0.2">
      <c r="A2554" s="5">
        <v>2493</v>
      </c>
      <c r="B2554" s="138">
        <f>'Acct Summary 7-8'!C7</f>
        <v>811351</v>
      </c>
      <c r="C2554" s="2" t="s">
        <v>594</v>
      </c>
      <c r="D2554" s="2" t="str">
        <f t="shared" si="38"/>
        <v>Error?</v>
      </c>
    </row>
    <row r="2555" spans="1:4" x14ac:dyDescent="0.2">
      <c r="A2555" s="5">
        <v>2494</v>
      </c>
      <c r="B2555" s="138">
        <f>'Acct Summary 7-8'!C8</f>
        <v>9488709</v>
      </c>
      <c r="C2555" s="2" t="s">
        <v>594</v>
      </c>
      <c r="D2555" s="2" t="str">
        <f t="shared" si="38"/>
        <v>Error?</v>
      </c>
    </row>
    <row r="2556" spans="1:4" x14ac:dyDescent="0.2">
      <c r="A2556" s="5">
        <v>2495</v>
      </c>
      <c r="B2556" s="138">
        <f>'Acct Summary 7-8'!C12</f>
        <v>6877742</v>
      </c>
      <c r="C2556" s="2" t="s">
        <v>594</v>
      </c>
      <c r="D2556" s="2" t="str">
        <f t="shared" si="38"/>
        <v>Error?</v>
      </c>
    </row>
    <row r="2557" spans="1:4" x14ac:dyDescent="0.2">
      <c r="A2557" s="5">
        <v>2496</v>
      </c>
      <c r="B2557" s="138">
        <f>'Acct Summary 7-8'!C13</f>
        <v>2086144</v>
      </c>
      <c r="C2557" s="2" t="s">
        <v>594</v>
      </c>
      <c r="D2557" s="2" t="str">
        <f t="shared" si="38"/>
        <v>Error?</v>
      </c>
    </row>
    <row r="2558" spans="1:4" x14ac:dyDescent="0.2">
      <c r="A2558" s="5">
        <v>2497</v>
      </c>
      <c r="B2558" s="138">
        <f>'Acct Summary 7-8'!C14</f>
        <v>97330</v>
      </c>
      <c r="C2558" s="2" t="s">
        <v>594</v>
      </c>
      <c r="D2558" s="2" t="str">
        <f t="shared" si="38"/>
        <v>Error?</v>
      </c>
    </row>
    <row r="2559" spans="1:4" x14ac:dyDescent="0.2">
      <c r="A2559" s="5">
        <v>2498</v>
      </c>
      <c r="B2559" s="138">
        <f>'Acct Summary 7-8'!C15</f>
        <v>341937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9403153</v>
      </c>
      <c r="C2561" s="2" t="s">
        <v>594</v>
      </c>
      <c r="D2561" s="2" t="str">
        <f t="shared" si="39"/>
        <v>Error?</v>
      </c>
    </row>
    <row r="2562" spans="1:4" x14ac:dyDescent="0.2">
      <c r="A2562" s="5">
        <v>2501</v>
      </c>
      <c r="B2562" s="138">
        <f>'Acct Summary 7-8'!C20</f>
        <v>85556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733138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733138</v>
      </c>
      <c r="C2568" s="2" t="s">
        <v>594</v>
      </c>
      <c r="D2568" s="2" t="str">
        <f t="shared" si="39"/>
        <v>Error?</v>
      </c>
    </row>
    <row r="2569" spans="1:4" x14ac:dyDescent="0.2">
      <c r="A2569" s="5">
        <v>2508</v>
      </c>
      <c r="B2569" s="138">
        <f>'Acct Summary 7-8'!D13</f>
        <v>810348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810348</v>
      </c>
      <c r="C2573" s="2" t="s">
        <v>594</v>
      </c>
      <c r="D2573" s="2" t="str">
        <f t="shared" si="39"/>
        <v>Error?</v>
      </c>
    </row>
    <row r="2574" spans="1:4" x14ac:dyDescent="0.2">
      <c r="A2574" s="5">
        <v>2513</v>
      </c>
      <c r="B2574" s="138">
        <f>'Acct Summary 7-8'!D20</f>
        <v>-77210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277070</v>
      </c>
      <c r="C2591" s="2" t="s">
        <v>594</v>
      </c>
      <c r="D2591" s="2" t="str">
        <f t="shared" si="39"/>
        <v>Error?</v>
      </c>
    </row>
    <row r="2592" spans="1:4" x14ac:dyDescent="0.2">
      <c r="A2592" s="10">
        <v>2531</v>
      </c>
      <c r="D2592" s="2" t="str">
        <f t="shared" si="39"/>
        <v>OK</v>
      </c>
    </row>
    <row r="2593" spans="1:4" x14ac:dyDescent="0.2">
      <c r="A2593" s="5">
        <v>2532</v>
      </c>
      <c r="B2593" s="138">
        <f>'Acct Summary 7-8'!F6</f>
        <v>290597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567667</v>
      </c>
      <c r="C2595" s="2" t="s">
        <v>594</v>
      </c>
      <c r="D2595" s="2" t="str">
        <f t="shared" si="39"/>
        <v>Error?</v>
      </c>
    </row>
    <row r="2596" spans="1:4" x14ac:dyDescent="0.2">
      <c r="A2596" s="5">
        <v>2535</v>
      </c>
      <c r="B2596" s="138">
        <f>'Acct Summary 7-8'!F13</f>
        <v>420671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420671</v>
      </c>
      <c r="C2600" s="2" t="s">
        <v>594</v>
      </c>
      <c r="D2600" s="2" t="str">
        <f t="shared" si="39"/>
        <v>Error?</v>
      </c>
    </row>
    <row r="2601" spans="1:4" x14ac:dyDescent="0.2">
      <c r="A2601" s="5">
        <v>2540</v>
      </c>
      <c r="B2601" s="138">
        <f>'Acct Summary 7-8'!F20</f>
        <v>146996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446868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446868</v>
      </c>
      <c r="C2606" s="2" t="s">
        <v>594</v>
      </c>
      <c r="D2606" s="2" t="str">
        <f t="shared" si="39"/>
        <v>Error?</v>
      </c>
    </row>
    <row r="2607" spans="1:4" x14ac:dyDescent="0.2">
      <c r="A2607" s="5">
        <v>2546</v>
      </c>
      <c r="B2607" s="138">
        <f>'Acct Summary 7-8'!G12</f>
        <v>211630</v>
      </c>
      <c r="C2607" s="2" t="s">
        <v>594</v>
      </c>
      <c r="D2607" s="2" t="str">
        <f t="shared" si="39"/>
        <v>Error?</v>
      </c>
    </row>
    <row r="2608" spans="1:4" x14ac:dyDescent="0.2">
      <c r="A2608" s="5">
        <v>2547</v>
      </c>
      <c r="B2608" s="138">
        <f>'Acct Summary 7-8'!G13</f>
        <v>209180</v>
      </c>
      <c r="C2608" s="2" t="s">
        <v>594</v>
      </c>
      <c r="D2608" s="2" t="str">
        <f t="shared" si="39"/>
        <v>Error?</v>
      </c>
    </row>
    <row r="2609" spans="1:4" x14ac:dyDescent="0.2">
      <c r="A2609" s="5">
        <v>2548</v>
      </c>
      <c r="B2609" s="138">
        <f>'Acct Summary 7-8'!G14</f>
        <v>12993</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433803</v>
      </c>
      <c r="C2612" s="2" t="s">
        <v>594</v>
      </c>
      <c r="D2612" s="2" t="str">
        <f t="shared" si="39"/>
        <v>Error?</v>
      </c>
    </row>
    <row r="2613" spans="1:4" x14ac:dyDescent="0.2">
      <c r="A2613" s="5">
        <v>2552</v>
      </c>
      <c r="B2613" s="138">
        <f>'Acct Summary 7-8'!G20</f>
        <v>13065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930300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930300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929903</v>
      </c>
      <c r="C2634" s="2" t="s">
        <v>594</v>
      </c>
      <c r="D2634" s="2" t="str">
        <f t="shared" si="40"/>
        <v>Error?</v>
      </c>
    </row>
    <row r="2635" spans="1:4" x14ac:dyDescent="0.2">
      <c r="A2635" s="5">
        <v>2574</v>
      </c>
      <c r="B2635" s="138">
        <f>'Acct Summary 7-8'!E17</f>
        <v>929903</v>
      </c>
      <c r="C2635" s="2" t="s">
        <v>594</v>
      </c>
      <c r="D2635" s="2" t="str">
        <f t="shared" si="40"/>
        <v>Error?</v>
      </c>
    </row>
    <row r="2636" spans="1:4" x14ac:dyDescent="0.2">
      <c r="A2636" s="5">
        <v>2575</v>
      </c>
      <c r="B2636" s="138">
        <f>'Acct Summary 7-8'!E20</f>
        <v>397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341937</v>
      </c>
      <c r="C2789" s="2" t="s">
        <v>594</v>
      </c>
      <c r="D2789" s="2" t="str">
        <f t="shared" si="42"/>
        <v>Error?</v>
      </c>
    </row>
    <row r="2790" spans="1:4" x14ac:dyDescent="0.2">
      <c r="A2790" s="5">
        <v>2729</v>
      </c>
      <c r="B2790" s="138">
        <f>'Expenditures 15-22'!E102</f>
        <v>341937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1317244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1319684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151482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1319684</v>
      </c>
      <c r="D2912" s="2" t="str">
        <f t="shared" si="44"/>
        <v>Error?</v>
      </c>
    </row>
    <row r="2913" spans="1:4" x14ac:dyDescent="0.2">
      <c r="A2913" s="5">
        <v>2852</v>
      </c>
      <c r="B2913" s="138">
        <f>'Assets-Liab 5-6'!I41</f>
        <v>1319684</v>
      </c>
      <c r="C2913" s="2" t="s">
        <v>594</v>
      </c>
      <c r="D2913" s="2" t="str">
        <f t="shared" si="44"/>
        <v>Error?</v>
      </c>
    </row>
    <row r="2914" spans="1:4" x14ac:dyDescent="0.2">
      <c r="A2914" s="5">
        <v>2853</v>
      </c>
      <c r="B2914" s="138">
        <f>'Assets-Liab 5-6'!L33</f>
        <v>151482</v>
      </c>
      <c r="D2914" s="2" t="str">
        <f t="shared" si="44"/>
        <v>Error?</v>
      </c>
    </row>
    <row r="2915" spans="1:4" x14ac:dyDescent="0.2">
      <c r="A2915" s="10">
        <v>2854</v>
      </c>
      <c r="D2915" s="2" t="str">
        <f t="shared" si="44"/>
        <v>OK</v>
      </c>
    </row>
    <row r="2916" spans="1:4" x14ac:dyDescent="0.2">
      <c r="A2916" s="5">
        <v>2855</v>
      </c>
      <c r="B2916" s="138">
        <f>'Assets-Liab 5-6'!L34</f>
        <v>151482</v>
      </c>
      <c r="C2916" s="2" t="s">
        <v>594</v>
      </c>
      <c r="D2916" s="2" t="str">
        <f t="shared" si="44"/>
        <v>Error?</v>
      </c>
    </row>
    <row r="2917" spans="1:4" x14ac:dyDescent="0.2">
      <c r="A2917" s="5">
        <v>2856</v>
      </c>
      <c r="B2917" s="138">
        <f>'Assets-Liab 5-6'!L41</f>
        <v>151482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341937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341937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126645</v>
      </c>
      <c r="D3055" s="2" t="str">
        <f t="shared" si="46"/>
        <v>Error?</v>
      </c>
    </row>
    <row r="3056" spans="1:4" x14ac:dyDescent="0.2">
      <c r="A3056" s="5">
        <v>2995</v>
      </c>
      <c r="B3056" s="138">
        <f>'Expenditures 15-22'!D10</f>
        <v>9309</v>
      </c>
      <c r="D3056" s="2" t="str">
        <f t="shared" si="46"/>
        <v>Error?</v>
      </c>
    </row>
    <row r="3057" spans="1:4" x14ac:dyDescent="0.2">
      <c r="A3057" s="5">
        <v>2996</v>
      </c>
      <c r="B3057" s="138">
        <f>'Expenditures 15-22'!E10</f>
        <v>602</v>
      </c>
      <c r="D3057" s="2" t="str">
        <f t="shared" si="46"/>
        <v>Error?</v>
      </c>
    </row>
    <row r="3058" spans="1:4" x14ac:dyDescent="0.2">
      <c r="A3058" s="5">
        <v>2997</v>
      </c>
      <c r="B3058" s="138">
        <f>'Expenditures 15-22'!F10</f>
        <v>3637</v>
      </c>
      <c r="D3058" s="2" t="str">
        <f t="shared" si="46"/>
        <v>Error?</v>
      </c>
    </row>
    <row r="3059" spans="1:4" x14ac:dyDescent="0.2">
      <c r="A3059" s="5">
        <v>2998</v>
      </c>
      <c r="B3059" s="138">
        <f>'Expenditures 15-22'!G10</f>
        <v>9000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149193</v>
      </c>
      <c r="C3062" s="2" t="s">
        <v>594</v>
      </c>
      <c r="D3062" s="2" t="str">
        <f t="shared" si="46"/>
        <v>Error?</v>
      </c>
    </row>
    <row r="3063" spans="1:4" x14ac:dyDescent="0.2">
      <c r="A3063" s="10">
        <v>3002</v>
      </c>
      <c r="D3063" s="2" t="str">
        <f t="shared" si="46"/>
        <v>OK</v>
      </c>
    </row>
    <row r="3064" spans="1:4" x14ac:dyDescent="0.2">
      <c r="A3064" s="5">
        <v>3003</v>
      </c>
      <c r="B3064" s="138">
        <f>'Expenditures 15-22'!D219</f>
        <v>9234</v>
      </c>
      <c r="D3064" s="2" t="str">
        <f t="shared" si="46"/>
        <v>Error?</v>
      </c>
    </row>
    <row r="3065" spans="1:4" x14ac:dyDescent="0.2">
      <c r="A3065" s="5">
        <v>3004</v>
      </c>
      <c r="B3065" s="138">
        <f>'Expenditures 15-22'!K219</f>
        <v>9234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74372</v>
      </c>
      <c r="C3225" s="2" t="s">
        <v>594</v>
      </c>
      <c r="D3225" s="2" t="str">
        <f t="shared" si="49"/>
        <v>Error?</v>
      </c>
    </row>
    <row r="3226" spans="1:4" x14ac:dyDescent="0.2">
      <c r="A3226" s="5">
        <v>3165</v>
      </c>
      <c r="B3226" s="138">
        <f>'Acct Summary 7-8'!I8</f>
        <v>74372</v>
      </c>
      <c r="C3226" s="2" t="s">
        <v>594</v>
      </c>
      <c r="D3226" s="2" t="str">
        <f t="shared" si="49"/>
        <v>Error?</v>
      </c>
    </row>
    <row r="3227" spans="1:4" x14ac:dyDescent="0.2">
      <c r="A3227" s="5">
        <v>3166</v>
      </c>
      <c r="B3227" s="138">
        <f>'Acct Summary 7-8'!I20</f>
        <v>74372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85556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-77210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146996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13065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397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74372</v>
      </c>
      <c r="C3320" s="2" t="s">
        <v>594</v>
      </c>
      <c r="D3320" s="2" t="str">
        <f t="shared" si="50"/>
        <v>Error?</v>
      </c>
    </row>
    <row r="3321" spans="1:4" x14ac:dyDescent="0.2">
      <c r="A3321" s="5">
        <v>3260</v>
      </c>
      <c r="B3321" s="138">
        <f>'Acct Summary 7-8'!I79</f>
        <v>1245312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1319684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1133590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75948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4842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1214453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88058</v>
      </c>
      <c r="D3387" s="2" t="str">
        <f t="shared" si="51"/>
        <v>Error?</v>
      </c>
    </row>
    <row r="3388" spans="1:4" x14ac:dyDescent="0.2">
      <c r="A3388" s="5">
        <v>3327</v>
      </c>
      <c r="B3388" s="138">
        <f>'Expenditures 15-22'!D217</f>
        <v>86934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88058</v>
      </c>
      <c r="C3390" s="2" t="s">
        <v>594</v>
      </c>
      <c r="D3390" s="2" t="str">
        <f t="shared" si="51"/>
        <v>Error?</v>
      </c>
    </row>
    <row r="3391" spans="1:4" x14ac:dyDescent="0.2">
      <c r="A3391" s="5">
        <v>3330</v>
      </c>
      <c r="B3391" s="138">
        <f>'Expenditures 15-22'!K217</f>
        <v>86934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9301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374132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408217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23644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2440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151482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209739</v>
      </c>
      <c r="C3446" s="2" t="s">
        <v>594</v>
      </c>
      <c r="D3446" s="2" t="str">
        <f t="shared" si="52"/>
        <v>Error?</v>
      </c>
    </row>
    <row r="3447" spans="1:4" x14ac:dyDescent="0.2">
      <c r="A3447" s="5">
        <v>3386</v>
      </c>
      <c r="B3447" s="138">
        <f>'Tax Sched 23'!D16</f>
        <v>209739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220007</v>
      </c>
      <c r="C3449" s="2" t="s">
        <v>594</v>
      </c>
      <c r="D3449" s="2" t="str">
        <f t="shared" si="52"/>
        <v>Error?</v>
      </c>
    </row>
    <row r="3450" spans="1:4" x14ac:dyDescent="0.2">
      <c r="A3450" s="5">
        <v>3389</v>
      </c>
      <c r="B3450" s="138">
        <f>'Tax Sched 23'!E16</f>
        <v>220007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643535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645975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645975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645975</v>
      </c>
      <c r="C3568" s="2" t="s">
        <v>594</v>
      </c>
      <c r="D3568" s="2" t="str">
        <f t="shared" si="54"/>
        <v>Error?</v>
      </c>
    </row>
    <row r="3569" spans="1:4" x14ac:dyDescent="0.2">
      <c r="A3569" s="5">
        <v>3508</v>
      </c>
      <c r="B3569" s="138">
        <f>'Acct Summary 7-8'!K4</f>
        <v>71145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71145</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71145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71145</v>
      </c>
      <c r="C3588" s="2" t="s">
        <v>594</v>
      </c>
      <c r="D3588" s="2" t="str">
        <f t="shared" si="55"/>
        <v>Error?</v>
      </c>
    </row>
    <row r="3589" spans="1:4" x14ac:dyDescent="0.2">
      <c r="A3589" s="5">
        <v>3528</v>
      </c>
      <c r="B3589" s="138">
        <f>'Acct Summary 7-8'!K79</f>
        <v>574830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645975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71145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67879</v>
      </c>
      <c r="C3725" s="2" t="s">
        <v>594</v>
      </c>
      <c r="D3725" s="2" t="str">
        <f t="shared" si="57"/>
        <v>Error?</v>
      </c>
    </row>
    <row r="3726" spans="1:4" x14ac:dyDescent="0.2">
      <c r="A3726" s="5">
        <v>3665</v>
      </c>
      <c r="B3726" s="138">
        <f>'Tax Sched 23'!D13</f>
        <v>67879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70186</v>
      </c>
      <c r="C3728" s="2" t="s">
        <v>594</v>
      </c>
      <c r="D3728" s="2" t="str">
        <f t="shared" si="57"/>
        <v>Error?</v>
      </c>
    </row>
    <row r="3729" spans="1:4" x14ac:dyDescent="0.2">
      <c r="A3729" s="5">
        <v>3668</v>
      </c>
      <c r="B3729" s="138">
        <f>'Tax Sched 23'!E13</f>
        <v>70186</v>
      </c>
      <c r="D3729" s="2" t="str">
        <f t="shared" si="57"/>
        <v>Error?</v>
      </c>
    </row>
    <row r="3730" spans="1:4" x14ac:dyDescent="0.2">
      <c r="A3730" s="5">
        <v>3669</v>
      </c>
      <c r="B3730" s="138">
        <f>'ICR Computation 30'!E10</f>
        <v>286515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4768329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14257038</v>
      </c>
      <c r="C4122" s="2" t="s">
        <v>594</v>
      </c>
      <c r="D4122" s="2" t="str">
        <f t="shared" si="63"/>
        <v>Error?</v>
      </c>
    </row>
    <row r="4123" spans="1:4" x14ac:dyDescent="0.2">
      <c r="A4123" s="5">
        <v>4062</v>
      </c>
      <c r="B4123" s="138">
        <f>'Acct Summary 7-8'!D10</f>
        <v>733138</v>
      </c>
      <c r="C4123" s="2" t="s">
        <v>594</v>
      </c>
      <c r="D4123" s="2" t="str">
        <f t="shared" si="63"/>
        <v>Error?</v>
      </c>
    </row>
    <row r="4124" spans="1:4" x14ac:dyDescent="0.2">
      <c r="A4124" s="5">
        <v>4063</v>
      </c>
      <c r="B4124" s="138">
        <f>'Acct Summary 7-8'!E10</f>
        <v>930300</v>
      </c>
      <c r="C4124" s="2" t="s">
        <v>594</v>
      </c>
      <c r="D4124" s="2" t="str">
        <f t="shared" si="63"/>
        <v>Error?</v>
      </c>
    </row>
    <row r="4125" spans="1:4" x14ac:dyDescent="0.2">
      <c r="A4125" s="5">
        <v>4064</v>
      </c>
      <c r="B4125" s="138">
        <f>'Acct Summary 7-8'!F10</f>
        <v>567667</v>
      </c>
      <c r="C4125" s="2" t="s">
        <v>594</v>
      </c>
      <c r="D4125" s="2" t="str">
        <f t="shared" si="63"/>
        <v>Error?</v>
      </c>
    </row>
    <row r="4126" spans="1:4" x14ac:dyDescent="0.2">
      <c r="A4126" s="5">
        <v>4065</v>
      </c>
      <c r="B4126" s="138">
        <f>'Acct Summary 7-8'!G10</f>
        <v>446868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74372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71145</v>
      </c>
      <c r="C4130" s="2" t="s">
        <v>594</v>
      </c>
      <c r="D4130" s="2" t="str">
        <f t="shared" si="63"/>
        <v>Error?</v>
      </c>
    </row>
    <row r="4131" spans="1:4" x14ac:dyDescent="0.2">
      <c r="A4131" s="5">
        <v>4070</v>
      </c>
      <c r="B4131" s="138">
        <f>'Acct Summary 7-8'!C18</f>
        <v>4768329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14171482</v>
      </c>
      <c r="C4136" s="2" t="s">
        <v>594</v>
      </c>
      <c r="D4136" s="2" t="str">
        <f t="shared" si="63"/>
        <v>Error?</v>
      </c>
    </row>
    <row r="4137" spans="1:4" x14ac:dyDescent="0.2">
      <c r="A4137" s="5">
        <v>4076</v>
      </c>
      <c r="B4137" s="138">
        <f>'Acct Summary 7-8'!D19</f>
        <v>810348</v>
      </c>
      <c r="C4137" s="2" t="s">
        <v>594</v>
      </c>
      <c r="D4137" s="2" t="str">
        <f t="shared" si="63"/>
        <v>Error?</v>
      </c>
    </row>
    <row r="4138" spans="1:4" x14ac:dyDescent="0.2">
      <c r="A4138" s="5">
        <v>4077</v>
      </c>
      <c r="B4138" s="138">
        <f>'Acct Summary 7-8'!E19</f>
        <v>929903</v>
      </c>
      <c r="C4138" s="2" t="s">
        <v>594</v>
      </c>
      <c r="D4138" s="2" t="str">
        <f t="shared" si="63"/>
        <v>Error?</v>
      </c>
    </row>
    <row r="4139" spans="1:4" x14ac:dyDescent="0.2">
      <c r="A4139" s="5">
        <v>4078</v>
      </c>
      <c r="B4139" s="138">
        <f>'Acct Summary 7-8'!F19</f>
        <v>420671</v>
      </c>
      <c r="C4139" s="2" t="s">
        <v>594</v>
      </c>
      <c r="D4139" s="2" t="str">
        <f t="shared" si="63"/>
        <v>Error?</v>
      </c>
    </row>
    <row r="4140" spans="1:4" x14ac:dyDescent="0.2">
      <c r="A4140" s="5">
        <v>4079</v>
      </c>
      <c r="B4140" s="138">
        <f>'Acct Summary 7-8'!G19</f>
        <v>433803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9505000</v>
      </c>
      <c r="C4171" s="2" t="s">
        <v>594</v>
      </c>
      <c r="D4171" s="2" t="str">
        <f t="shared" si="64"/>
        <v>Error?</v>
      </c>
    </row>
    <row r="4172" spans="1:4" x14ac:dyDescent="0.2">
      <c r="A4172" s="5">
        <v>4111</v>
      </c>
      <c r="B4172" s="138">
        <f>'Short-Term Long-Term Debt 24'!J49</f>
        <v>9502069</v>
      </c>
      <c r="C4172" s="2" t="s">
        <v>594</v>
      </c>
      <c r="D4172" s="2" t="str">
        <f t="shared" si="64"/>
        <v>Error?</v>
      </c>
    </row>
    <row r="4173" spans="1:4" x14ac:dyDescent="0.2">
      <c r="A4173" s="5">
        <v>4112</v>
      </c>
      <c r="B4173" s="138">
        <f>'Short-Term Long-Term Debt 24'!H49</f>
        <v>595000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2940</v>
      </c>
      <c r="C4268" s="2" t="s">
        <v>594</v>
      </c>
      <c r="D4268" s="2" t="str">
        <f t="shared" si="65"/>
        <v>Error?</v>
      </c>
    </row>
    <row r="4269" spans="1:5" x14ac:dyDescent="0.2">
      <c r="A4269" s="12">
        <v>4208</v>
      </c>
      <c r="B4269" s="138">
        <f>'FP Info 3'!J16</f>
        <v>2898620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9685</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112168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24379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140371064</v>
      </c>
      <c r="D4995" s="2" t="str">
        <f t="shared" si="77"/>
        <v>Error?</v>
      </c>
    </row>
    <row r="4996" spans="1:4" x14ac:dyDescent="0.2">
      <c r="A4996" s="12">
        <v>4935</v>
      </c>
      <c r="B4996" s="138">
        <f>'FP Info 3'!H31</f>
        <v>19371206.832000002</v>
      </c>
      <c r="D4996" s="2" t="str">
        <f t="shared" si="77"/>
        <v>Error?</v>
      </c>
    </row>
    <row r="4997" spans="1:4" x14ac:dyDescent="0.2">
      <c r="A4997" s="12">
        <v>4936</v>
      </c>
      <c r="B4997" s="138">
        <f>'FP Info 3'!H37</f>
        <v>9505000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67879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3040981</v>
      </c>
      <c r="D5061" s="2" t="str">
        <f t="shared" si="78"/>
        <v>Error?</v>
      </c>
    </row>
    <row r="5062" spans="1:4" x14ac:dyDescent="0.2">
      <c r="A5062" s="10">
        <v>5001</v>
      </c>
      <c r="D5062" s="2" t="str">
        <f t="shared" si="78"/>
        <v>OK</v>
      </c>
    </row>
    <row r="5063" spans="1:4" x14ac:dyDescent="0.2">
      <c r="A5063" s="5">
        <v>5002</v>
      </c>
      <c r="B5063" s="138">
        <f>'Revenues 9-14'!C7</f>
        <v>54303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3163163</v>
      </c>
      <c r="C5066" s="2" t="s">
        <v>594</v>
      </c>
      <c r="D5066" s="2" t="str">
        <f t="shared" si="78"/>
        <v>Error?</v>
      </c>
    </row>
    <row r="5067" spans="1:4" x14ac:dyDescent="0.2">
      <c r="A5067" s="5">
        <v>5006</v>
      </c>
      <c r="B5067" s="138">
        <f>'Revenues 9-14'!C14</f>
        <v>3526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60514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64040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25338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25338</v>
      </c>
      <c r="C5087" s="2" t="s">
        <v>594</v>
      </c>
      <c r="D5087" s="2" t="str">
        <f t="shared" si="78"/>
        <v>Error?</v>
      </c>
    </row>
    <row r="5088" spans="1:4" x14ac:dyDescent="0.2">
      <c r="A5088" s="5">
        <v>5027</v>
      </c>
      <c r="B5088" s="138">
        <f>'Revenues 9-14'!C65</f>
        <v>5943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5943</v>
      </c>
      <c r="C5090" s="2" t="s">
        <v>594</v>
      </c>
      <c r="D5090" s="2" t="str">
        <f t="shared" si="78"/>
        <v>Error?</v>
      </c>
    </row>
    <row r="5091" spans="1:4" x14ac:dyDescent="0.2">
      <c r="A5091" s="5">
        <v>5030</v>
      </c>
      <c r="B5091" s="138">
        <f>'Revenues 9-14'!C70</f>
        <v>24836</v>
      </c>
      <c r="D5091" s="2" t="str">
        <f t="shared" si="78"/>
        <v>Error?</v>
      </c>
    </row>
    <row r="5092" spans="1:4" x14ac:dyDescent="0.2">
      <c r="A5092" s="5">
        <v>5031</v>
      </c>
      <c r="B5092" s="138">
        <f>'Revenues 9-14'!C71</f>
        <v>80874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5534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260047</v>
      </c>
      <c r="C5096" s="2" t="s">
        <v>594</v>
      </c>
      <c r="D5096" s="2" t="str">
        <f t="shared" si="78"/>
        <v>Error?</v>
      </c>
    </row>
    <row r="5097" spans="1:4" x14ac:dyDescent="0.2">
      <c r="A5097" s="5">
        <v>5036</v>
      </c>
      <c r="B5097" s="138">
        <f>'Revenues 9-14'!C77</f>
        <v>50663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51176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141783</v>
      </c>
      <c r="D5101" s="2" t="str">
        <f t="shared" si="78"/>
        <v>Error?</v>
      </c>
    </row>
    <row r="5102" spans="1:4" x14ac:dyDescent="0.2">
      <c r="A5102" s="5">
        <v>5041</v>
      </c>
      <c r="B5102" s="138">
        <f>'Revenues 9-14'!C82</f>
        <v>243622</v>
      </c>
      <c r="C5102" s="2" t="s">
        <v>594</v>
      </c>
      <c r="D5102" s="2" t="str">
        <f t="shared" si="78"/>
        <v>Error?</v>
      </c>
    </row>
    <row r="5103" spans="1:4" x14ac:dyDescent="0.2">
      <c r="A5103" s="5">
        <v>5042</v>
      </c>
      <c r="B5103" s="138">
        <f>'Revenues 9-14'!C84</f>
        <v>89392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89392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54810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10675</v>
      </c>
      <c r="D5119" s="2" t="str">
        <f t="shared" ref="D5119:D5182" si="79">IF(ISBLANK(B5119),"OK",IF(A5119-B5119=0,"OK","Error?"))</f>
        <v>Error?</v>
      </c>
    </row>
    <row r="5120" spans="1:4" x14ac:dyDescent="0.2">
      <c r="A5120" s="5">
        <v>5059</v>
      </c>
      <c r="B5120" s="138">
        <f>'Revenues 9-14'!C108</f>
        <v>76017</v>
      </c>
      <c r="C5120" s="2" t="s">
        <v>594</v>
      </c>
      <c r="D5120" s="2" t="str">
        <f t="shared" si="79"/>
        <v>Error?</v>
      </c>
    </row>
    <row r="5121" spans="1:4" x14ac:dyDescent="0.2">
      <c r="A5121" s="5">
        <v>5060</v>
      </c>
      <c r="B5121" s="138">
        <f>'Revenues 9-14'!C109</f>
        <v>3927562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4193719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4193719</v>
      </c>
      <c r="C5132" s="2" t="s">
        <v>594</v>
      </c>
      <c r="D5132" s="2" t="str">
        <f t="shared" si="79"/>
        <v>Error?</v>
      </c>
    </row>
    <row r="5133" spans="1:4" x14ac:dyDescent="0.2">
      <c r="A5133" s="5">
        <v>5072</v>
      </c>
      <c r="B5133" s="138">
        <f>'Revenues 9-14'!C124</f>
        <v>922</v>
      </c>
      <c r="D5133" s="2" t="str">
        <f t="shared" si="79"/>
        <v>Error?</v>
      </c>
    </row>
    <row r="5134" spans="1:4" x14ac:dyDescent="0.2">
      <c r="A5134" s="5">
        <v>5073</v>
      </c>
      <c r="B5134" s="138">
        <f>'Revenues 9-14'!C125</f>
        <v>83626</v>
      </c>
      <c r="D5134" s="2" t="str">
        <f t="shared" si="79"/>
        <v>Error?</v>
      </c>
    </row>
    <row r="5135" spans="1:4" x14ac:dyDescent="0.2">
      <c r="A5135" s="5">
        <v>5074</v>
      </c>
      <c r="B5135" s="138">
        <f>'Revenues 9-14'!C126</f>
        <v>112206</v>
      </c>
      <c r="D5135" s="2" t="str">
        <f t="shared" si="79"/>
        <v>Error?</v>
      </c>
    </row>
    <row r="5136" spans="1:4" x14ac:dyDescent="0.2">
      <c r="A5136" s="10">
        <v>5075</v>
      </c>
      <c r="D5136" s="2" t="str">
        <f t="shared" si="79"/>
        <v>OK</v>
      </c>
    </row>
    <row r="5137" spans="1:4" x14ac:dyDescent="0.2">
      <c r="A5137" s="5">
        <v>5076</v>
      </c>
      <c r="B5137" s="138">
        <f>'Revenues 9-14'!C127</f>
        <v>1758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921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199433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44852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49302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3913</v>
      </c>
      <c r="D5167" s="2" t="str">
        <f t="shared" si="79"/>
        <v>Error?</v>
      </c>
    </row>
    <row r="5168" spans="1:4" x14ac:dyDescent="0.2">
      <c r="A5168" s="5">
        <v>5107</v>
      </c>
      <c r="B5168" s="138">
        <f>'Revenues 9-14'!C147</f>
        <v>18207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283722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556077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4749796</v>
      </c>
      <c r="C5223" s="2" t="s">
        <v>594</v>
      </c>
      <c r="D5223" s="2" t="str">
        <f t="shared" si="80"/>
        <v>Error?</v>
      </c>
    </row>
    <row r="5224" spans="1:4" x14ac:dyDescent="0.2">
      <c r="A5224" s="5">
        <v>5163</v>
      </c>
      <c r="B5224" s="138">
        <f>'Revenues 9-14'!C176</f>
        <v>4417</v>
      </c>
      <c r="D5224" s="2" t="str">
        <f t="shared" si="80"/>
        <v>Error?</v>
      </c>
    </row>
    <row r="5225" spans="1:4" x14ac:dyDescent="0.2">
      <c r="A5225" s="5">
        <v>5164</v>
      </c>
      <c r="B5225" s="138">
        <f>'Revenues 9-14'!C178</f>
        <v>4417</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222724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63791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286515</v>
      </c>
      <c r="C5246" s="2" t="s">
        <v>594</v>
      </c>
      <c r="D5246" s="2" t="str">
        <f t="shared" si="80"/>
        <v>Error?</v>
      </c>
    </row>
    <row r="5247" spans="1:4" x14ac:dyDescent="0.2">
      <c r="A5247" s="5">
        <v>5186</v>
      </c>
      <c r="B5247" s="138">
        <f>'Revenues 9-14'!C203</f>
        <v>149514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149514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218090</v>
      </c>
      <c r="D5278" s="2" t="str">
        <f t="shared" si="81"/>
        <v>Error?</v>
      </c>
    </row>
    <row r="5279" spans="1:4" x14ac:dyDescent="0.2">
      <c r="A5279" s="5">
        <v>5218</v>
      </c>
      <c r="B5279" s="138">
        <f>'Revenues 9-14'!C221</f>
        <v>6583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224673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9685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806934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811351</v>
      </c>
      <c r="C5326" s="2" t="s">
        <v>594</v>
      </c>
      <c r="D5326" s="2" t="str">
        <f t="shared" si="82"/>
        <v>Error?</v>
      </c>
    </row>
    <row r="5327" spans="1:4" x14ac:dyDescent="0.2">
      <c r="A5327" s="5">
        <v>5266</v>
      </c>
      <c r="B5327" s="138">
        <f>'Revenues 9-14'!C275</f>
        <v>9488709</v>
      </c>
      <c r="C5327" s="2" t="s">
        <v>594</v>
      </c>
      <c r="D5327" s="2" t="str">
        <f t="shared" si="82"/>
        <v>Error?</v>
      </c>
    </row>
    <row r="5328" spans="1:4" x14ac:dyDescent="0.2">
      <c r="A5328" s="5">
        <v>5267</v>
      </c>
      <c r="B5328" s="138">
        <f>'Revenues 9-14'!D5</f>
        <v>678791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678791</v>
      </c>
      <c r="C5334" s="2" t="s">
        <v>594</v>
      </c>
      <c r="D5334" s="2" t="str">
        <f t="shared" si="82"/>
        <v>Error?</v>
      </c>
    </row>
    <row r="5335" spans="1:4" x14ac:dyDescent="0.2">
      <c r="A5335" s="5">
        <v>5274</v>
      </c>
      <c r="B5335" s="138">
        <f>'Revenues 9-14'!D14</f>
        <v>757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757</v>
      </c>
      <c r="C5339" s="2" t="s">
        <v>594</v>
      </c>
      <c r="D5339" s="2" t="str">
        <f t="shared" si="82"/>
        <v>Error?</v>
      </c>
    </row>
    <row r="5340" spans="1:4" x14ac:dyDescent="0.2">
      <c r="A5340" s="5">
        <v>5279</v>
      </c>
      <c r="B5340" s="138">
        <f>'Revenues 9-14'!D65</f>
        <v>2619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2619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3602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47369</v>
      </c>
      <c r="D5354" s="2" t="str">
        <f t="shared" si="82"/>
        <v>Error?</v>
      </c>
    </row>
    <row r="5355" spans="1:4" x14ac:dyDescent="0.2">
      <c r="A5355" s="5">
        <v>5294</v>
      </c>
      <c r="B5355" s="138">
        <f>'Revenues 9-14'!D108</f>
        <v>50971</v>
      </c>
      <c r="C5355" s="2" t="s">
        <v>594</v>
      </c>
      <c r="D5355" s="2" t="str">
        <f t="shared" si="82"/>
        <v>Error?</v>
      </c>
    </row>
    <row r="5356" spans="1:4" x14ac:dyDescent="0.2">
      <c r="A5356" s="5">
        <v>5295</v>
      </c>
      <c r="B5356" s="138">
        <f>'Revenues 9-14'!D109</f>
        <v>733138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733138</v>
      </c>
      <c r="C5508" s="2" t="s">
        <v>594</v>
      </c>
      <c r="D5508" s="2" t="str">
        <f t="shared" si="85"/>
        <v>Error?</v>
      </c>
    </row>
    <row r="5509" spans="1:4" x14ac:dyDescent="0.2">
      <c r="A5509" s="5">
        <v>5448</v>
      </c>
      <c r="B5509" s="138">
        <f>'Revenues 9-14'!E5</f>
        <v>928241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928241</v>
      </c>
      <c r="C5513" s="2" t="s">
        <v>594</v>
      </c>
      <c r="D5513" s="2" t="str">
        <f t="shared" si="85"/>
        <v>Error?</v>
      </c>
    </row>
    <row r="5514" spans="1:4" x14ac:dyDescent="0.2">
      <c r="A5514" s="5">
        <v>5453</v>
      </c>
      <c r="B5514" s="138">
        <f>'Revenues 9-14'!E14</f>
        <v>737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737</v>
      </c>
      <c r="C5518" s="2" t="s">
        <v>594</v>
      </c>
      <c r="D5518" s="2" t="str">
        <f t="shared" si="85"/>
        <v>Error?</v>
      </c>
    </row>
    <row r="5519" spans="1:4" x14ac:dyDescent="0.2">
      <c r="A5519" s="5">
        <v>5458</v>
      </c>
      <c r="B5519" s="138">
        <f>'Revenues 9-14'!E65</f>
        <v>1322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1322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930300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930300</v>
      </c>
      <c r="C5552" s="2" t="s">
        <v>594</v>
      </c>
      <c r="D5552" s="2" t="str">
        <f t="shared" si="85"/>
        <v>Error?</v>
      </c>
    </row>
    <row r="5553" spans="1:4" x14ac:dyDescent="0.2">
      <c r="A5553" s="5">
        <v>5492</v>
      </c>
      <c r="B5553" s="138">
        <f>'Revenues 9-14'!F5</f>
        <v>271516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271516</v>
      </c>
      <c r="C5557" s="2" t="s">
        <v>594</v>
      </c>
      <c r="D5557" s="2" t="str">
        <f t="shared" si="85"/>
        <v>Error?</v>
      </c>
    </row>
    <row r="5558" spans="1:4" x14ac:dyDescent="0.2">
      <c r="A5558" s="5">
        <v>5497</v>
      </c>
      <c r="B5558" s="138">
        <f>'Revenues 9-14'!F14</f>
        <v>303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303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1806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1806</v>
      </c>
      <c r="C5579" s="2" t="s">
        <v>594</v>
      </c>
      <c r="D5579" s="2" t="str">
        <f t="shared" si="86"/>
        <v>Error?</v>
      </c>
    </row>
    <row r="5580" spans="1:4" x14ac:dyDescent="0.2">
      <c r="A5580" s="5">
        <v>5519</v>
      </c>
      <c r="B5580" s="138">
        <f>'Revenues 9-14'!F65</f>
        <v>2620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2620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825</v>
      </c>
      <c r="D5586" s="2" t="str">
        <f t="shared" si="86"/>
        <v>Error?</v>
      </c>
    </row>
    <row r="5587" spans="1:4" x14ac:dyDescent="0.2">
      <c r="A5587" s="5">
        <v>5526</v>
      </c>
      <c r="B5587" s="138">
        <f>'Revenues 9-14'!F108</f>
        <v>825</v>
      </c>
      <c r="C5587" s="2" t="s">
        <v>594</v>
      </c>
      <c r="D5587" s="2" t="str">
        <f t="shared" si="86"/>
        <v>Error?</v>
      </c>
    </row>
    <row r="5588" spans="1:4" x14ac:dyDescent="0.2">
      <c r="A5588" s="5">
        <v>5527</v>
      </c>
      <c r="B5588" s="138">
        <f>'Revenues 9-14'!F109</f>
        <v>277070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149257</v>
      </c>
      <c r="D5615" s="2" t="str">
        <f t="shared" si="86"/>
        <v>Error?</v>
      </c>
    </row>
    <row r="5616" spans="1:4" x14ac:dyDescent="0.2">
      <c r="A5616" s="10">
        <v>5555</v>
      </c>
      <c r="D5616" s="2" t="str">
        <f t="shared" si="86"/>
        <v>OK</v>
      </c>
    </row>
    <row r="5617" spans="1:4" x14ac:dyDescent="0.2">
      <c r="A5617" s="5">
        <v>5556</v>
      </c>
      <c r="B5617" s="138">
        <f>'Revenues 9-14'!F152</f>
        <v>141340</v>
      </c>
      <c r="D5617" s="2" t="str">
        <f t="shared" si="86"/>
        <v>Error?</v>
      </c>
    </row>
    <row r="5618" spans="1:4" x14ac:dyDescent="0.2">
      <c r="A5618" s="5">
        <v>5557</v>
      </c>
      <c r="B5618" s="138">
        <f>'Revenues 9-14'!F154</f>
        <v>290597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290597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290597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567667</v>
      </c>
      <c r="C5720" s="2" t="s">
        <v>594</v>
      </c>
      <c r="D5720" s="2" t="str">
        <f t="shared" si="88"/>
        <v>Error?</v>
      </c>
    </row>
    <row r="5721" spans="1:4" x14ac:dyDescent="0.2">
      <c r="A5721" s="5">
        <v>5660</v>
      </c>
      <c r="B5721" s="138">
        <f>'Revenues 9-14'!G5</f>
        <v>219731</v>
      </c>
      <c r="D5721" s="2" t="str">
        <f t="shared" si="88"/>
        <v>Error?</v>
      </c>
    </row>
    <row r="5722" spans="1:4" x14ac:dyDescent="0.2">
      <c r="A5722" s="5">
        <v>5661</v>
      </c>
      <c r="B5722" s="138">
        <f>'Revenues 9-14'!G7</f>
        <v>0</v>
      </c>
      <c r="D5722" s="2" t="str">
        <f t="shared" si="88"/>
        <v>Error?</v>
      </c>
    </row>
    <row r="5723" spans="1:4" x14ac:dyDescent="0.2">
      <c r="A5723" s="5">
        <v>5662</v>
      </c>
      <c r="B5723" s="138">
        <f>'Revenues 9-14'!G8</f>
        <v>209739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429470</v>
      </c>
      <c r="C5725" s="2" t="s">
        <v>594</v>
      </c>
      <c r="D5725" s="2" t="str">
        <f t="shared" si="88"/>
        <v>Error?</v>
      </c>
    </row>
    <row r="5726" spans="1:4" x14ac:dyDescent="0.2">
      <c r="A5726" s="5">
        <v>5665</v>
      </c>
      <c r="B5726" s="138">
        <f>'Revenues 9-14'!G14</f>
        <v>476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15476</v>
      </c>
      <c r="C5730" s="2" t="s">
        <v>594</v>
      </c>
      <c r="D5730" s="2" t="str">
        <f t="shared" si="88"/>
        <v>Error?</v>
      </c>
    </row>
    <row r="5731" spans="1:4" x14ac:dyDescent="0.2">
      <c r="A5731" s="5">
        <v>5670</v>
      </c>
      <c r="B5731" s="138">
        <f>'Revenues 9-14'!G65</f>
        <v>1922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1922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446868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67879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67879</v>
      </c>
      <c r="C5918" s="2" t="s">
        <v>594</v>
      </c>
      <c r="D5918" s="2" t="str">
        <f t="shared" si="91"/>
        <v>Error?</v>
      </c>
    </row>
    <row r="5919" spans="1:4" x14ac:dyDescent="0.2">
      <c r="A5919" s="5">
        <v>5858</v>
      </c>
      <c r="B5919" s="138">
        <f>'Revenues 9-14'!I14</f>
        <v>76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76</v>
      </c>
      <c r="C5923" s="2" t="s">
        <v>594</v>
      </c>
      <c r="D5923" s="2" t="str">
        <f t="shared" si="91"/>
        <v>Error?</v>
      </c>
    </row>
    <row r="5924" spans="1:4" x14ac:dyDescent="0.2">
      <c r="A5924" s="5">
        <v>5863</v>
      </c>
      <c r="B5924" s="138">
        <f>'Revenues 9-14'!I65</f>
        <v>6417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6417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74372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67879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67879</v>
      </c>
      <c r="C5987" s="2" t="s">
        <v>594</v>
      </c>
      <c r="D5987" s="2" t="str">
        <f t="shared" si="92"/>
        <v>Error?</v>
      </c>
    </row>
    <row r="5988" spans="1:4" x14ac:dyDescent="0.2">
      <c r="A5988" s="5">
        <v>5927</v>
      </c>
      <c r="B5988" s="138">
        <f>'Revenues 9-14'!K14</f>
        <v>76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76</v>
      </c>
      <c r="C5992" s="2" t="s">
        <v>594</v>
      </c>
      <c r="D5992" s="2" t="str">
        <f t="shared" si="92"/>
        <v>Error?</v>
      </c>
    </row>
    <row r="5993" spans="1:4" x14ac:dyDescent="0.2">
      <c r="A5993" s="5">
        <v>5932</v>
      </c>
      <c r="B5993" s="138">
        <f>'Revenues 9-14'!K65</f>
        <v>3190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3190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71145</v>
      </c>
      <c r="C6023" s="2" t="s">
        <v>594</v>
      </c>
      <c r="D6023" s="2" t="str">
        <f t="shared" si="93"/>
        <v>Error?</v>
      </c>
    </row>
    <row r="6024" spans="1:5" x14ac:dyDescent="0.2">
      <c r="A6024" s="5">
        <v>5963</v>
      </c>
      <c r="B6024" s="138">
        <f>'Revenues 9-14'!G109</f>
        <v>446868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74372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71145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148803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38944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1263.03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106471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106471</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106471</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106471</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602466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602466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602466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620238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620238</v>
      </c>
      <c r="D6229" s="2" t="str">
        <f t="shared" si="96"/>
        <v>Error?</v>
      </c>
      <c r="E6229" s="2" t="s">
        <v>199</v>
      </c>
    </row>
    <row r="6230" spans="1:5" x14ac:dyDescent="0.2">
      <c r="A6230">
        <v>6169</v>
      </c>
      <c r="B6230" s="138">
        <f>'Acct Summary 7-8'!J20</f>
        <v>-17772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-17772</v>
      </c>
      <c r="D6263" s="2" t="str">
        <f t="shared" si="96"/>
        <v>Error?</v>
      </c>
      <c r="E6263" s="2" t="s">
        <v>199</v>
      </c>
    </row>
    <row r="6264" spans="1:5" x14ac:dyDescent="0.2">
      <c r="A6264">
        <v>6203</v>
      </c>
      <c r="B6264" s="138">
        <f>'Acct Summary 7-8'!J79</f>
        <v>124243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106471</v>
      </c>
      <c r="D6266" s="2" t="str">
        <f t="shared" si="96"/>
        <v>Error?</v>
      </c>
      <c r="E6266" s="2" t="s">
        <v>199</v>
      </c>
    </row>
    <row r="6267" spans="1:5" x14ac:dyDescent="0.2">
      <c r="A6267">
        <v>6206</v>
      </c>
      <c r="B6267" s="138">
        <f>'Acct Summary 7-8'!C82</f>
        <v>85556</v>
      </c>
      <c r="D6267" s="2" t="str">
        <f t="shared" si="96"/>
        <v>Error?</v>
      </c>
      <c r="E6267" s="2" t="s">
        <v>199</v>
      </c>
    </row>
    <row r="6268" spans="1:5" x14ac:dyDescent="0.2">
      <c r="A6268">
        <v>6207</v>
      </c>
      <c r="B6268" s="138">
        <f>'Acct Summary 7-8'!D82</f>
        <v>-77210</v>
      </c>
      <c r="D6268" s="2" t="str">
        <f t="shared" si="96"/>
        <v>Error?</v>
      </c>
      <c r="E6268" s="2" t="s">
        <v>199</v>
      </c>
    </row>
    <row r="6269" spans="1:5" x14ac:dyDescent="0.2">
      <c r="A6269">
        <v>6208</v>
      </c>
      <c r="B6269" s="138">
        <f>'Acct Summary 7-8'!E82</f>
        <v>397</v>
      </c>
      <c r="D6269" s="2" t="str">
        <f t="shared" si="96"/>
        <v>Error?</v>
      </c>
      <c r="E6269" s="2" t="s">
        <v>199</v>
      </c>
    </row>
    <row r="6270" spans="1:5" x14ac:dyDescent="0.2">
      <c r="A6270">
        <v>6209</v>
      </c>
      <c r="B6270" s="138">
        <f>'Acct Summary 7-8'!F82</f>
        <v>146996</v>
      </c>
      <c r="D6270" s="2" t="str">
        <f t="shared" si="96"/>
        <v>Error?</v>
      </c>
      <c r="E6270" s="2" t="s">
        <v>199</v>
      </c>
    </row>
    <row r="6271" spans="1:5" x14ac:dyDescent="0.2">
      <c r="A6271">
        <v>6210</v>
      </c>
      <c r="B6271" s="138">
        <f>'Acct Summary 7-8'!G82</f>
        <v>13065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74372</v>
      </c>
      <c r="D6273" s="2" t="str">
        <f t="shared" si="97"/>
        <v>Error?</v>
      </c>
      <c r="E6273" s="2" t="s">
        <v>199</v>
      </c>
    </row>
    <row r="6274" spans="1:5" x14ac:dyDescent="0.2">
      <c r="A6274">
        <v>6213</v>
      </c>
      <c r="B6274" s="138">
        <f>'Acct Summary 7-8'!J82</f>
        <v>-17772</v>
      </c>
      <c r="D6274" s="2" t="str">
        <f t="shared" si="97"/>
        <v>Error?</v>
      </c>
      <c r="E6274" s="2" t="s">
        <v>199</v>
      </c>
    </row>
    <row r="6275" spans="1:5" x14ac:dyDescent="0.2">
      <c r="A6275">
        <v>6214</v>
      </c>
      <c r="B6275" s="138">
        <f>'Acct Summary 7-8'!K82</f>
        <v>71145</v>
      </c>
      <c r="D6275" s="2" t="str">
        <f t="shared" si="97"/>
        <v>Error?</v>
      </c>
      <c r="E6275" s="2" t="s">
        <v>199</v>
      </c>
    </row>
    <row r="6276" spans="1:5" x14ac:dyDescent="0.2">
      <c r="A6276">
        <v>6215</v>
      </c>
      <c r="B6276" s="138">
        <f>'Acct Summary 7-8'!C83</f>
        <v>0.40527891465817795</v>
      </c>
      <c r="D6276" s="2" t="str">
        <f t="shared" si="97"/>
        <v>Error?</v>
      </c>
      <c r="E6276" s="2" t="s">
        <v>199</v>
      </c>
    </row>
    <row r="6277" spans="1:5" x14ac:dyDescent="0.2">
      <c r="A6277">
        <v>6216</v>
      </c>
      <c r="B6277" s="138">
        <f>'Acct Summary 7-8'!D83</f>
        <v>-0.11347319689899694</v>
      </c>
      <c r="D6277" s="2" t="str">
        <f t="shared" si="97"/>
        <v>Error?</v>
      </c>
      <c r="E6277" s="2" t="s">
        <v>199</v>
      </c>
    </row>
    <row r="6278" spans="1:5" x14ac:dyDescent="0.2">
      <c r="A6278">
        <v>6217</v>
      </c>
      <c r="B6278" s="138">
        <f>'Acct Summary 7-8'!E83</f>
        <v>0.13544865233708631</v>
      </c>
      <c r="D6278" s="2" t="str">
        <f t="shared" si="97"/>
        <v>Error?</v>
      </c>
      <c r="E6278" s="2" t="s">
        <v>199</v>
      </c>
    </row>
    <row r="6279" spans="1:5" x14ac:dyDescent="0.2">
      <c r="A6279">
        <v>6218</v>
      </c>
      <c r="B6279" s="138">
        <f>'Acct Summary 7-8'!F83</f>
        <v>0.21384129053093728</v>
      </c>
      <c r="D6279" s="2" t="str">
        <f t="shared" si="97"/>
        <v>Error?</v>
      </c>
      <c r="E6279" s="2" t="s">
        <v>199</v>
      </c>
    </row>
    <row r="6280" spans="1:5" x14ac:dyDescent="0.2">
      <c r="A6280">
        <v>6219</v>
      </c>
      <c r="B6280" s="138">
        <f>'Acct Summary 7-8'!G83</f>
        <v>4.6106286194228685E-2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5.6355915507045627E-2</v>
      </c>
      <c r="D6282" s="2" t="str">
        <f t="shared" si="97"/>
        <v>Error?</v>
      </c>
      <c r="E6282" s="2" t="s">
        <v>199</v>
      </c>
    </row>
    <row r="6283" spans="1:5" x14ac:dyDescent="0.2">
      <c r="A6283">
        <v>6222</v>
      </c>
      <c r="B6283" s="138">
        <f>'Acct Summary 7-8'!J83</f>
        <v>-0.16691869147467386</v>
      </c>
      <c r="D6283" s="2" t="str">
        <f t="shared" si="97"/>
        <v>Error?</v>
      </c>
      <c r="E6283" s="2" t="s">
        <v>199</v>
      </c>
    </row>
    <row r="6284" spans="1:5" x14ac:dyDescent="0.2">
      <c r="A6284">
        <v>6223</v>
      </c>
      <c r="B6284" s="138">
        <f>'Acct Summary 7-8'!K83</f>
        <v>0.11013584117032393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599256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599256</v>
      </c>
      <c r="D6301" s="2" t="str">
        <f t="shared" si="97"/>
        <v>Error?</v>
      </c>
      <c r="E6301" s="2" t="s">
        <v>199</v>
      </c>
    </row>
    <row r="6302" spans="1:5" x14ac:dyDescent="0.2">
      <c r="A6302">
        <v>6241</v>
      </c>
      <c r="B6302" s="138">
        <f>'Revenues 9-14'!J14</f>
        <v>506</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506</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2704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2704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10532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602466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4450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131530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148099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50646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53004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24646</v>
      </c>
      <c r="D6880" s="2" t="str">
        <f t="shared" si="106"/>
        <v>Error?</v>
      </c>
    </row>
    <row r="6881" spans="1:4" x14ac:dyDescent="0.2">
      <c r="A6881">
        <v>6820</v>
      </c>
      <c r="B6881" s="138">
        <f>'Expenditures 15-22'!K22</f>
        <v>24646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620238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602466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8119</v>
      </c>
      <c r="D7073" s="2" t="str">
        <f t="shared" si="109"/>
        <v>Error?</v>
      </c>
    </row>
    <row r="7074" spans="1:4" x14ac:dyDescent="0.2">
      <c r="A7074">
        <v>7013</v>
      </c>
      <c r="B7074" s="138">
        <f>'Expenditures 15-22'!K216</f>
        <v>8119</v>
      </c>
      <c r="D7074" s="2" t="str">
        <f t="shared" si="109"/>
        <v>Error?</v>
      </c>
    </row>
    <row r="7075" spans="1:4" x14ac:dyDescent="0.2">
      <c r="A7075">
        <v>7014</v>
      </c>
      <c r="B7075" s="138">
        <f>'Expenditures 15-22'!D218</f>
        <v>713</v>
      </c>
      <c r="D7075" s="2" t="str">
        <f t="shared" si="109"/>
        <v>Error?</v>
      </c>
    </row>
    <row r="7076" spans="1:4" x14ac:dyDescent="0.2">
      <c r="A7076">
        <v>7015</v>
      </c>
      <c r="B7076" s="138">
        <f>'Expenditures 15-22'!K218</f>
        <v>713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942</v>
      </c>
      <c r="D7079" s="2" t="str">
        <f t="shared" si="109"/>
        <v>Error?</v>
      </c>
    </row>
    <row r="7080" spans="1:4" x14ac:dyDescent="0.2">
      <c r="A7080">
        <v>7019</v>
      </c>
      <c r="B7080" s="138">
        <f>'Expenditures 15-22'!K226</f>
        <v>942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13538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13538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176980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176980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3235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3235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407007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13787</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420794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5691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5691</v>
      </c>
      <c r="D7198" s="2" t="str">
        <f t="shared" si="111"/>
        <v>Error?</v>
      </c>
    </row>
    <row r="7199" spans="1:4" x14ac:dyDescent="0.2">
      <c r="A7199">
        <v>7138</v>
      </c>
      <c r="B7199" s="138">
        <f>'Expenditures 15-22'!C330</f>
        <v>407007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199444</v>
      </c>
      <c r="D7201" s="2" t="str">
        <f t="shared" si="111"/>
        <v>Error?</v>
      </c>
    </row>
    <row r="7202" spans="1:4" x14ac:dyDescent="0.2">
      <c r="A7202">
        <v>7141</v>
      </c>
      <c r="B7202" s="138">
        <f>'Expenditures 15-22'!F330</f>
        <v>13787</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620238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407007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199444</v>
      </c>
      <c r="D7218" s="2" t="str">
        <f t="shared" si="111"/>
        <v>Error?</v>
      </c>
    </row>
    <row r="7219" spans="1:4" x14ac:dyDescent="0.2">
      <c r="A7219">
        <v>7158</v>
      </c>
      <c r="B7219" s="138">
        <f>'Expenditures 15-22'!F342</f>
        <v>13787</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620238</v>
      </c>
      <c r="D7224" s="2" t="str">
        <f t="shared" si="111"/>
        <v>Error?</v>
      </c>
    </row>
    <row r="7225" spans="1:4" x14ac:dyDescent="0.2">
      <c r="A7225">
        <v>7164</v>
      </c>
      <c r="B7225" s="138">
        <f>'Expenditures 15-22'!K343</f>
        <v>-17772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v>
      </c>
      <c r="D7246" s="2" t="str">
        <f t="shared" si="112"/>
        <v>Error?</v>
      </c>
    </row>
    <row r="7247" spans="1:4" x14ac:dyDescent="0.2">
      <c r="A7247">
        <f t="shared" si="113"/>
        <v>7186</v>
      </c>
      <c r="B7247" s="138">
        <f>'Expenditures 15-22'!E7</f>
        <v>3658</v>
      </c>
      <c r="D7247" s="2" t="str">
        <f t="shared" si="112"/>
        <v>Error?</v>
      </c>
    </row>
    <row r="7248" spans="1:4" x14ac:dyDescent="0.2">
      <c r="A7248">
        <f t="shared" si="113"/>
        <v>7187</v>
      </c>
      <c r="B7248" s="138">
        <f>'Expenditures 15-22'!F7</f>
        <v>12901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49187</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1459</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52745</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14</v>
      </c>
      <c r="D7265" s="2" t="str">
        <f t="shared" si="112"/>
        <v>Error?</v>
      </c>
    </row>
    <row r="7266" spans="1:5" x14ac:dyDescent="0.2">
      <c r="A7266">
        <f t="shared" si="113"/>
        <v>7205</v>
      </c>
      <c r="B7266" s="138">
        <f>'Expenditures 15-22'!F17</f>
        <v>245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1004659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10532</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18207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28739</v>
      </c>
      <c r="D7719" s="2" t="str">
        <f t="shared" si="126"/>
        <v>Error?</v>
      </c>
      <c r="E7719" s="2" t="s">
        <v>881</v>
      </c>
    </row>
    <row r="7720" spans="1:6" x14ac:dyDescent="0.2">
      <c r="A7720">
        <v>7659</v>
      </c>
      <c r="B7720" s="138">
        <f>'Rest Tax Levies-Tort Im 25'!H14</f>
        <v>54303</v>
      </c>
      <c r="D7720" s="2" t="str">
        <f t="shared" si="126"/>
        <v>Error?</v>
      </c>
      <c r="E7720" s="2" t="s">
        <v>881</v>
      </c>
    </row>
    <row r="7721" spans="1:6" x14ac:dyDescent="0.2">
      <c r="A7721">
        <v>7660</v>
      </c>
      <c r="B7721" s="138">
        <f>'Rest Tax Levies-Tort Im 25'!K14</f>
        <v>28739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810641</v>
      </c>
      <c r="D7797" s="2" t="str">
        <f t="shared" si="127"/>
        <v>Error?</v>
      </c>
      <c r="E7797" s="4" t="s">
        <v>2018</v>
      </c>
    </row>
    <row r="7798" spans="1:5" x14ac:dyDescent="0.2">
      <c r="A7798">
        <v>7737</v>
      </c>
      <c r="B7798" s="138">
        <f>'Contracts Paid in CY 29'!F141</f>
        <v>166785</v>
      </c>
      <c r="D7798" s="2" t="str">
        <f t="shared" si="127"/>
        <v>Error?</v>
      </c>
      <c r="E7798" s="4" t="s">
        <v>2018</v>
      </c>
    </row>
    <row r="7799" spans="1:5" x14ac:dyDescent="0.2">
      <c r="A7799">
        <v>7738</v>
      </c>
      <c r="B7799" s="138">
        <f>'Contracts Paid in CY 29'!G141</f>
        <v>613535</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1253</v>
      </c>
      <c r="B2" s="2404"/>
      <c r="C2" s="2404"/>
      <c r="D2" s="2404"/>
      <c r="E2" s="2404"/>
      <c r="F2" s="2404"/>
      <c r="G2" s="2404"/>
      <c r="H2" s="2404"/>
      <c r="I2" s="2404"/>
      <c r="J2" s="2404"/>
      <c r="K2" s="2404"/>
      <c r="L2" s="2404"/>
    </row>
    <row r="3" spans="1:29" ht="13.5" customHeight="1" x14ac:dyDescent="0.2">
      <c r="A3" s="2435" t="s">
        <v>1252</v>
      </c>
      <c r="B3" s="2435"/>
      <c r="C3" s="2435"/>
      <c r="D3" s="2435"/>
      <c r="E3" s="2435"/>
      <c r="F3" s="2435"/>
      <c r="G3" s="2435"/>
      <c r="H3" s="2435"/>
      <c r="I3" s="2435"/>
      <c r="J3" s="2435"/>
      <c r="K3" s="2435"/>
      <c r="L3" s="2435"/>
    </row>
    <row r="4" spans="1:29" ht="13.5" customHeight="1" x14ac:dyDescent="0.2">
      <c r="A4" s="2404" t="s">
        <v>1799</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6" t="str">
        <f>COVER!A17</f>
        <v>Wesclin CUSD 3</v>
      </c>
      <c r="B7" s="2427"/>
      <c r="C7" s="2427"/>
      <c r="D7" s="2428"/>
      <c r="E7" s="2429">
        <f>COVER!A13</f>
        <v>13014003026</v>
      </c>
      <c r="F7" s="2430"/>
      <c r="G7" s="2436" t="str">
        <f>COVER!T23</f>
        <v>066.004582</v>
      </c>
      <c r="H7" s="2437"/>
      <c r="I7" s="2437"/>
      <c r="J7" s="2437"/>
      <c r="K7" s="2437"/>
      <c r="L7" s="2438"/>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39"/>
      <c r="B9" s="2440"/>
      <c r="C9" s="2440"/>
      <c r="D9" s="2440"/>
      <c r="E9" s="2440"/>
      <c r="F9" s="2441"/>
      <c r="G9" s="2410" t="str">
        <f>COVER!T13</f>
        <v>Rice Sullivan, LLC</v>
      </c>
      <c r="H9" s="2442"/>
      <c r="I9" s="2442"/>
      <c r="J9" s="2442"/>
      <c r="K9" s="2442"/>
      <c r="L9" s="2443"/>
    </row>
    <row r="10" spans="1:29" ht="13.5" customHeight="1" x14ac:dyDescent="0.2">
      <c r="A10" s="2416" t="str">
        <f>COVER!A38</f>
        <v>Jennifer Filyaw</v>
      </c>
      <c r="B10" s="2417"/>
      <c r="C10" s="2417"/>
      <c r="D10" s="2417"/>
      <c r="E10" s="2417"/>
      <c r="F10" s="2418"/>
      <c r="G10" s="2410" t="str">
        <f>COVER!T17</f>
        <v>3121 North Illinois Street, Suite A</v>
      </c>
      <c r="H10" s="2411"/>
      <c r="I10" s="2411"/>
      <c r="J10" s="2411"/>
      <c r="K10" s="2411"/>
      <c r="L10" s="2412"/>
    </row>
    <row r="11" spans="1:29" ht="13.5" customHeight="1" x14ac:dyDescent="0.2">
      <c r="A11" s="1184" t="s">
        <v>1599</v>
      </c>
      <c r="B11" s="1185"/>
      <c r="C11" s="1186"/>
      <c r="D11" s="1191"/>
      <c r="E11" s="1186"/>
      <c r="F11" s="1190"/>
      <c r="G11" s="2410" t="str">
        <f>COVER!T19</f>
        <v>Swansea</v>
      </c>
      <c r="H11" s="2411"/>
      <c r="I11" s="2411"/>
      <c r="J11" s="2411"/>
      <c r="K11" s="2411"/>
      <c r="L11" s="2412"/>
    </row>
    <row r="12" spans="1:29" ht="13.5" customHeight="1" x14ac:dyDescent="0.2">
      <c r="A12" s="2419" t="s">
        <v>1598</v>
      </c>
      <c r="B12" s="2420"/>
      <c r="C12" s="2420"/>
      <c r="D12" s="2420"/>
      <c r="E12" s="2420"/>
      <c r="F12" s="2421"/>
      <c r="G12" s="2413"/>
      <c r="H12" s="2414"/>
      <c r="I12" s="2414"/>
      <c r="J12" s="2414"/>
      <c r="K12" s="2414"/>
      <c r="L12" s="2415"/>
    </row>
    <row r="13" spans="1:29" ht="13.5" customHeight="1" x14ac:dyDescent="0.2">
      <c r="A13" s="2410"/>
      <c r="B13" s="2411"/>
      <c r="C13" s="2411"/>
      <c r="D13" s="2411"/>
      <c r="E13" s="2411"/>
      <c r="F13" s="2412"/>
      <c r="G13" s="2405" t="s">
        <v>1600</v>
      </c>
      <c r="H13" s="2406"/>
      <c r="I13" s="2422" t="str">
        <f>COVER!T25</f>
        <v>bdixon@rsco.net</v>
      </c>
      <c r="J13" s="2423"/>
      <c r="K13" s="2423"/>
      <c r="L13" s="2424"/>
    </row>
    <row r="14" spans="1:29" ht="13.5" customHeight="1" x14ac:dyDescent="0.2">
      <c r="A14" s="2410" t="str">
        <f>COVER!A19</f>
        <v>699 Wesclin Road</v>
      </c>
      <c r="B14" s="2411"/>
      <c r="C14" s="2411"/>
      <c r="D14" s="2411"/>
      <c r="E14" s="2411"/>
      <c r="F14" s="2412"/>
      <c r="G14" s="1195" t="s">
        <v>1247</v>
      </c>
      <c r="H14" s="1193"/>
      <c r="I14" s="1193"/>
      <c r="J14" s="1193"/>
      <c r="K14" s="1193"/>
      <c r="L14" s="1194"/>
    </row>
    <row r="15" spans="1:29" ht="13.5" customHeight="1" x14ac:dyDescent="0.2">
      <c r="A15" s="2410" t="str">
        <f>COVER!A21</f>
        <v>Trenton</v>
      </c>
      <c r="B15" s="2411"/>
      <c r="C15" s="2411"/>
      <c r="D15" s="2411"/>
      <c r="E15" s="2411"/>
      <c r="F15" s="2412"/>
      <c r="G15" s="2407" t="str">
        <f>COVER!T15</f>
        <v>Bill R. Dixon, CPA</v>
      </c>
      <c r="H15" s="2408"/>
      <c r="I15" s="2408"/>
      <c r="J15" s="2408"/>
      <c r="K15" s="2408"/>
      <c r="L15" s="2409"/>
    </row>
    <row r="16" spans="1:29" ht="12.2" customHeight="1" x14ac:dyDescent="0.2">
      <c r="A16" s="2432">
        <f>COVER!A25</f>
        <v>62293</v>
      </c>
      <c r="B16" s="2433"/>
      <c r="C16" s="2433"/>
      <c r="D16" s="2433"/>
      <c r="E16" s="2433"/>
      <c r="F16" s="2434"/>
      <c r="G16" s="2444"/>
      <c r="H16" s="2445"/>
      <c r="I16" s="2445"/>
      <c r="J16" s="2445"/>
      <c r="K16" s="2445"/>
      <c r="L16" s="2446"/>
    </row>
    <row r="17" spans="1:13" ht="12.2" customHeight="1" x14ac:dyDescent="0.2">
      <c r="A17" s="2447"/>
      <c r="B17" s="2433"/>
      <c r="C17" s="2433"/>
      <c r="D17" s="2433"/>
      <c r="E17" s="2433"/>
      <c r="F17" s="2434"/>
      <c r="G17" s="1195" t="s">
        <v>1246</v>
      </c>
      <c r="H17" s="1193"/>
      <c r="I17" s="1193"/>
      <c r="J17" s="1193"/>
      <c r="K17" s="1197" t="s">
        <v>1245</v>
      </c>
      <c r="L17" s="1190"/>
      <c r="M17" s="1183"/>
    </row>
    <row r="18" spans="1:13" ht="12.2" customHeight="1" x14ac:dyDescent="0.2">
      <c r="A18" s="2416"/>
      <c r="B18" s="2417"/>
      <c r="C18" s="2417"/>
      <c r="D18" s="2417"/>
      <c r="E18" s="2417"/>
      <c r="F18" s="2418"/>
      <c r="G18" s="2426" t="str">
        <f>COVER!T21</f>
        <v>618-233-0186</v>
      </c>
      <c r="H18" s="2427"/>
      <c r="I18" s="2427"/>
      <c r="J18" s="2427"/>
      <c r="K18" s="2426" t="str">
        <f>COVER!X21</f>
        <v>618-234-5804</v>
      </c>
      <c r="L18" s="243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&amp;LSee Notes to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8" t="str">
        <f>'Single Audit Cover'!A7</f>
        <v>Wesclin CUSD 3</v>
      </c>
      <c r="B1" s="2425"/>
      <c r="C1" s="2425"/>
      <c r="D1" s="2425"/>
    </row>
    <row r="2" spans="1:11" s="1214" customFormat="1" ht="12.75" x14ac:dyDescent="0.2">
      <c r="A2" s="2449">
        <f>'Single Audit Cover'!E7</f>
        <v>13014003026</v>
      </c>
      <c r="B2" s="2450"/>
      <c r="C2" s="2450"/>
      <c r="D2" s="2450"/>
    </row>
    <row r="3" spans="1:11" s="1214" customFormat="1" ht="12.75" x14ac:dyDescent="0.2">
      <c r="A3" s="2448" t="s">
        <v>1593</v>
      </c>
      <c r="B3" s="2425"/>
      <c r="C3" s="2425"/>
      <c r="D3" s="2425"/>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1946</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2" t="str">
        <f>'Single Audit Cover'!A7</f>
        <v>Wesclin CUSD 3</v>
      </c>
      <c r="B1" s="2452"/>
      <c r="C1" s="2452"/>
      <c r="D1" s="2452"/>
      <c r="E1" s="2452"/>
    </row>
    <row r="2" spans="1:5" x14ac:dyDescent="0.2">
      <c r="A2" s="2453">
        <f>'Single Audit Cover'!E7</f>
        <v>13014003026</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59" t="s">
        <v>1305</v>
      </c>
    </row>
    <row r="10" spans="1:5" x14ac:dyDescent="0.2">
      <c r="A10" s="1260" t="s">
        <v>1304</v>
      </c>
      <c r="B10" s="1261" t="s">
        <v>1303</v>
      </c>
      <c r="C10" s="1261"/>
      <c r="D10" s="1262">
        <f>SUM('Acct Summary 7-8'!C7:K7)</f>
        <v>811351</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38944</v>
      </c>
    </row>
    <row r="15" spans="1:5" x14ac:dyDescent="0.2">
      <c r="A15" s="1260"/>
      <c r="B15" s="1261"/>
      <c r="C15" s="1261"/>
    </row>
    <row r="16" spans="1:5" x14ac:dyDescent="0.2">
      <c r="A16" s="1260" t="s">
        <v>1954</v>
      </c>
      <c r="B16" s="1261"/>
      <c r="C16" s="1261"/>
    </row>
    <row r="17" spans="1:4" x14ac:dyDescent="0.2">
      <c r="A17" s="1260" t="s">
        <v>1601</v>
      </c>
      <c r="B17" s="1261" t="s">
        <v>1298</v>
      </c>
      <c r="C17" s="1261"/>
      <c r="D17" s="1263">
        <f>-SUM('Revenues 9-14'!C271:D271,'Revenues 9-14'!F271:G271)</f>
        <v>-112168</v>
      </c>
    </row>
    <row r="19" spans="1:4" ht="13.5" thickBot="1" x14ac:dyDescent="0.25">
      <c r="A19" s="1264" t="s">
        <v>1297</v>
      </c>
      <c r="D19" s="1265">
        <f>SUM(D10:D17)</f>
        <v>738127</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4"/>
      <c r="B24" s="2454"/>
      <c r="D24" s="1267"/>
    </row>
    <row r="25" spans="1:4" x14ac:dyDescent="0.2">
      <c r="A25" s="2451"/>
      <c r="B25" s="2451"/>
      <c r="D25" s="1267"/>
    </row>
    <row r="26" spans="1:4" x14ac:dyDescent="0.2">
      <c r="A26" s="2451"/>
      <c r="B26" s="2451"/>
      <c r="D26" s="1267"/>
    </row>
    <row r="27" spans="1:4" x14ac:dyDescent="0.2">
      <c r="A27" s="2451"/>
      <c r="B27" s="2451"/>
      <c r="D27" s="1267"/>
    </row>
    <row r="28" spans="1:4" x14ac:dyDescent="0.2">
      <c r="A28" s="2451"/>
      <c r="B28" s="2451"/>
      <c r="D28" s="1267"/>
    </row>
    <row r="29" spans="1:4" x14ac:dyDescent="0.2">
      <c r="A29" s="2451"/>
      <c r="B29" s="2451"/>
      <c r="D29" s="1267"/>
    </row>
    <row r="30" spans="1:4" x14ac:dyDescent="0.2">
      <c r="A30" s="2451"/>
      <c r="B30" s="2451"/>
      <c r="D30" s="1267"/>
    </row>
    <row r="32" spans="1:4" x14ac:dyDescent="0.2">
      <c r="A32" s="1259" t="s">
        <v>1295</v>
      </c>
      <c r="D32" s="1262">
        <f>SUM(D19:D30)</f>
        <v>738127</v>
      </c>
    </row>
    <row r="33" spans="1:4" x14ac:dyDescent="0.2">
      <c r="D33" s="1268"/>
    </row>
    <row r="34" spans="1:4" x14ac:dyDescent="0.2">
      <c r="A34" s="317" t="s">
        <v>1294</v>
      </c>
    </row>
    <row r="35" spans="1:4" x14ac:dyDescent="0.2">
      <c r="A35" s="317" t="s">
        <v>1293</v>
      </c>
      <c r="B35" s="1257" t="s">
        <v>1292</v>
      </c>
      <c r="D35" s="1269">
        <v>738127</v>
      </c>
    </row>
    <row r="37" spans="1:4" x14ac:dyDescent="0.2">
      <c r="A37" s="1259" t="s">
        <v>1291</v>
      </c>
    </row>
    <row r="39" spans="1:4" ht="13.35" customHeight="1" x14ac:dyDescent="0.2">
      <c r="A39" s="1266" t="s">
        <v>1290</v>
      </c>
    </row>
    <row r="40" spans="1:4" x14ac:dyDescent="0.2">
      <c r="A40" s="2451"/>
      <c r="B40" s="2451"/>
      <c r="D40" s="1267"/>
    </row>
    <row r="41" spans="1:4" x14ac:dyDescent="0.2">
      <c r="A41" s="2451"/>
      <c r="B41" s="2451"/>
      <c r="D41" s="1270"/>
    </row>
    <row r="42" spans="1:4" x14ac:dyDescent="0.2">
      <c r="A42" s="2451"/>
      <c r="B42" s="2451"/>
      <c r="D42" s="1270"/>
    </row>
    <row r="43" spans="1:4" x14ac:dyDescent="0.2">
      <c r="A43" s="2451"/>
      <c r="B43" s="2451"/>
      <c r="D43" s="1270"/>
    </row>
    <row r="44" spans="1:4" x14ac:dyDescent="0.2">
      <c r="A44" s="2451"/>
      <c r="B44" s="2451"/>
      <c r="D44" s="1270"/>
    </row>
    <row r="45" spans="1:4" x14ac:dyDescent="0.2">
      <c r="A45" s="2451"/>
      <c r="B45" s="2451"/>
      <c r="D45" s="1270"/>
    </row>
    <row r="47" spans="1:4" x14ac:dyDescent="0.2">
      <c r="B47" s="1271" t="s">
        <v>1289</v>
      </c>
      <c r="C47" s="1271"/>
      <c r="D47" s="1272">
        <f>SUM(D35:D45)</f>
        <v>738127</v>
      </c>
    </row>
    <row r="49" spans="2:4" x14ac:dyDescent="0.2">
      <c r="B49" s="1271" t="s">
        <v>1288</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Wesclin CUSD 3</v>
      </c>
      <c r="B1" s="2465"/>
      <c r="C1" s="2465"/>
      <c r="D1" s="2465"/>
      <c r="E1" s="2465"/>
      <c r="F1" s="2465"/>
    </row>
    <row r="2" spans="1:7" ht="13.5" customHeight="1" x14ac:dyDescent="0.2">
      <c r="A2" s="2466">
        <f>'Single Audit Cover'!E7</f>
        <v>13014003026</v>
      </c>
      <c r="B2" s="2466"/>
      <c r="C2" s="2466"/>
      <c r="D2" s="2466"/>
      <c r="E2" s="2466"/>
      <c r="F2" s="2466"/>
      <c r="G2" s="1274"/>
    </row>
    <row r="3" spans="1:7" ht="15.75" customHeight="1" x14ac:dyDescent="0.2">
      <c r="A3" s="2467" t="s">
        <v>1333</v>
      </c>
      <c r="B3" s="2467"/>
      <c r="C3" s="2467"/>
      <c r="D3" s="2467"/>
      <c r="E3" s="2467"/>
      <c r="F3" s="2467"/>
    </row>
    <row r="4" spans="1:7" ht="13.5" customHeight="1" x14ac:dyDescent="0.2">
      <c r="A4" s="2468" t="str">
        <f>'Single Audit Cover'!A4</f>
        <v>Year Ending June 30, 2018</v>
      </c>
      <c r="B4" s="2468"/>
      <c r="C4" s="2468"/>
      <c r="D4" s="2468"/>
      <c r="E4" s="2468"/>
      <c r="F4" s="2468"/>
    </row>
    <row r="5" spans="1:7" ht="8.25" customHeight="1" x14ac:dyDescent="0.2">
      <c r="C5" s="317"/>
      <c r="D5" s="317"/>
    </row>
    <row r="6" spans="1:7" ht="13.5" customHeight="1" x14ac:dyDescent="0.2">
      <c r="A6" s="1275" t="s">
        <v>1831</v>
      </c>
      <c r="C6" s="317"/>
      <c r="D6" s="317"/>
    </row>
    <row r="7" spans="1:7" ht="60.95" customHeight="1" x14ac:dyDescent="0.2">
      <c r="A7" s="2464" t="s">
        <v>2169</v>
      </c>
      <c r="B7" s="2464"/>
      <c r="C7" s="2464"/>
      <c r="D7" s="2464"/>
      <c r="E7" s="2464"/>
      <c r="F7" s="2464"/>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2075</v>
      </c>
      <c r="F10" s="1279" t="s">
        <v>101</v>
      </c>
      <c r="G10" s="1277"/>
    </row>
    <row r="11" spans="1:7" ht="12" customHeight="1" x14ac:dyDescent="0.2">
      <c r="A11" s="1278"/>
      <c r="B11" s="1279"/>
      <c r="C11" s="1925"/>
      <c r="D11" s="1279"/>
      <c r="E11" s="1925"/>
      <c r="F11" s="1279"/>
      <c r="G11" s="1277"/>
    </row>
    <row r="12" spans="1:7" x14ac:dyDescent="0.2">
      <c r="A12" s="1275" t="s">
        <v>1669</v>
      </c>
      <c r="C12" s="1259"/>
      <c r="D12" s="1259"/>
    </row>
    <row r="13" spans="1:7" ht="15" customHeight="1" x14ac:dyDescent="0.2">
      <c r="A13" s="2464" t="s">
        <v>2170</v>
      </c>
      <c r="B13" s="2464"/>
      <c r="C13" s="2464"/>
      <c r="D13" s="2464"/>
      <c r="E13" s="2464"/>
      <c r="F13" s="2464"/>
    </row>
    <row r="14" spans="1:7" ht="9.75" customHeight="1" x14ac:dyDescent="0.2">
      <c r="C14" s="1259"/>
      <c r="D14" s="1259"/>
    </row>
    <row r="15" spans="1:7" ht="13.5" customHeight="1" x14ac:dyDescent="0.2">
      <c r="C15" s="1869" t="s">
        <v>1332</v>
      </c>
      <c r="D15" s="2462" t="s">
        <v>1331</v>
      </c>
      <c r="E15" s="2462"/>
      <c r="F15" s="2462"/>
    </row>
    <row r="16" spans="1:7" ht="13.5" customHeight="1" x14ac:dyDescent="0.2">
      <c r="A16" s="1281"/>
      <c r="B16" s="1275" t="s">
        <v>1330</v>
      </c>
      <c r="C16" s="1869" t="s">
        <v>1329</v>
      </c>
      <c r="D16" s="2463" t="s">
        <v>1670</v>
      </c>
      <c r="E16" s="2463"/>
      <c r="F16" s="2463"/>
    </row>
    <row r="17" spans="1:6" ht="20.45" customHeight="1" x14ac:dyDescent="0.2">
      <c r="A17" s="1282"/>
      <c r="B17" s="1283" t="s">
        <v>2155</v>
      </c>
      <c r="C17" s="1284"/>
      <c r="D17" s="2457"/>
      <c r="E17" s="2457"/>
      <c r="F17" s="2457"/>
    </row>
    <row r="18" spans="1:6" ht="20.65" customHeight="1" x14ac:dyDescent="0.2">
      <c r="A18" s="1282"/>
      <c r="B18" s="1283"/>
      <c r="C18" s="1284"/>
      <c r="D18" s="2457"/>
      <c r="E18" s="2457"/>
      <c r="F18" s="2457"/>
    </row>
    <row r="19" spans="1:6" ht="20.65" customHeight="1" x14ac:dyDescent="0.2">
      <c r="A19" s="1282"/>
      <c r="B19" s="1283"/>
      <c r="C19" s="1284"/>
      <c r="D19" s="2457"/>
      <c r="E19" s="2457"/>
      <c r="F19" s="2457"/>
    </row>
    <row r="20" spans="1:6" ht="20.65" customHeight="1" x14ac:dyDescent="0.2">
      <c r="A20" s="1282"/>
      <c r="B20" s="1283"/>
      <c r="C20" s="1284"/>
      <c r="D20" s="2457"/>
      <c r="E20" s="2457"/>
      <c r="F20" s="2457"/>
    </row>
    <row r="21" spans="1:6" ht="20.65" customHeight="1" x14ac:dyDescent="0.2">
      <c r="A21" s="1282"/>
      <c r="B21" s="1283"/>
      <c r="C21" s="1284"/>
      <c r="D21" s="2457"/>
      <c r="E21" s="2457"/>
      <c r="F21" s="2457"/>
    </row>
    <row r="22" spans="1:6" ht="20.65" customHeight="1" x14ac:dyDescent="0.2">
      <c r="A22" s="1282"/>
      <c r="B22" s="1283"/>
      <c r="C22" s="1284"/>
      <c r="D22" s="2457"/>
      <c r="E22" s="2457"/>
      <c r="F22" s="2457"/>
    </row>
    <row r="23" spans="1:6" ht="20.65" customHeight="1" x14ac:dyDescent="0.2">
      <c r="A23" s="1282"/>
      <c r="B23" s="1283"/>
      <c r="C23" s="1284"/>
      <c r="D23" s="2457"/>
      <c r="E23" s="2457"/>
      <c r="F23" s="2457"/>
    </row>
    <row r="24" spans="1:6" ht="20.65" customHeight="1" x14ac:dyDescent="0.2">
      <c r="A24" s="1282"/>
      <c r="B24" s="1283"/>
      <c r="C24" s="1284"/>
      <c r="D24" s="2457"/>
      <c r="E24" s="2457"/>
      <c r="F24" s="2457"/>
    </row>
    <row r="25" spans="1:6" ht="20.65" customHeight="1" x14ac:dyDescent="0.2">
      <c r="A25" s="1282"/>
      <c r="B25" s="1283"/>
      <c r="C25" s="1284"/>
      <c r="D25" s="2457"/>
      <c r="E25" s="2457"/>
      <c r="F25" s="2457"/>
    </row>
    <row r="26" spans="1:6" ht="20.65" customHeight="1" x14ac:dyDescent="0.2">
      <c r="A26" s="1282"/>
      <c r="B26" s="1283"/>
      <c r="C26" s="1284"/>
      <c r="D26" s="2457"/>
      <c r="E26" s="2457"/>
      <c r="F26" s="2457"/>
    </row>
    <row r="27" spans="1:6" ht="20.65" customHeight="1" x14ac:dyDescent="0.2">
      <c r="A27" s="1282"/>
      <c r="B27" s="1283"/>
      <c r="C27" s="1284"/>
      <c r="D27" s="2457"/>
      <c r="E27" s="2457"/>
      <c r="F27" s="2457"/>
    </row>
    <row r="28" spans="1:6" ht="20.65" customHeight="1" x14ac:dyDescent="0.2">
      <c r="A28" s="1282"/>
      <c r="B28" s="1283"/>
      <c r="C28" s="1284"/>
      <c r="D28" s="2457"/>
      <c r="E28" s="2457"/>
      <c r="F28" s="2457"/>
    </row>
    <row r="29" spans="1:6" ht="20.65" customHeight="1" x14ac:dyDescent="0.2">
      <c r="A29" s="1282"/>
      <c r="B29" s="1283"/>
      <c r="C29" s="1284"/>
      <c r="D29" s="2457"/>
      <c r="E29" s="2457"/>
      <c r="F29" s="2457"/>
    </row>
    <row r="30" spans="1:6" ht="12" customHeight="1" x14ac:dyDescent="0.2">
      <c r="A30" s="328"/>
      <c r="B30" s="328"/>
      <c r="C30" s="1477"/>
      <c r="D30" s="1926"/>
      <c r="E30" s="1285"/>
    </row>
    <row r="31" spans="1:6" ht="12" customHeight="1" x14ac:dyDescent="0.2">
      <c r="A31" s="1286" t="s">
        <v>1630</v>
      </c>
      <c r="B31" s="328"/>
      <c r="C31" s="1477"/>
      <c r="D31" s="1926"/>
      <c r="E31" s="1285"/>
    </row>
    <row r="32" spans="1:6" ht="30" customHeight="1" x14ac:dyDescent="0.2">
      <c r="A32" s="2458" t="s">
        <v>1833</v>
      </c>
      <c r="B32" s="2458"/>
      <c r="C32" s="2458"/>
      <c r="D32" s="2458"/>
      <c r="E32" s="2458"/>
      <c r="F32" s="2458"/>
    </row>
    <row r="33" spans="1:6" ht="13.5" customHeight="1" x14ac:dyDescent="0.2">
      <c r="A33" s="328" t="s">
        <v>1509</v>
      </c>
      <c r="B33" s="328"/>
      <c r="C33" s="1287">
        <v>38944</v>
      </c>
      <c r="D33" s="1926"/>
      <c r="E33" s="1285"/>
    </row>
    <row r="34" spans="1:6" ht="13.5" customHeight="1" x14ac:dyDescent="0.2">
      <c r="A34" s="328" t="s">
        <v>1947</v>
      </c>
      <c r="B34" s="328"/>
      <c r="C34" s="1288">
        <v>0</v>
      </c>
      <c r="D34" s="1926" t="s">
        <v>1671</v>
      </c>
      <c r="E34" s="2459">
        <f>+C33+C34</f>
        <v>38944</v>
      </c>
      <c r="F34" s="2460"/>
    </row>
    <row r="35" spans="1:6" ht="12" customHeight="1" x14ac:dyDescent="0.2">
      <c r="A35" s="328"/>
      <c r="B35" s="328"/>
      <c r="C35" s="1927"/>
      <c r="D35" s="1926"/>
      <c r="E35" s="1289"/>
      <c r="F35" s="1290"/>
    </row>
    <row r="36" spans="1:6" ht="13.5" customHeight="1" x14ac:dyDescent="0.2">
      <c r="A36" s="1286" t="s">
        <v>1631</v>
      </c>
      <c r="B36" s="328"/>
      <c r="C36" s="1477"/>
      <c r="D36" s="1926"/>
      <c r="E36" s="1285"/>
    </row>
    <row r="37" spans="1:6" ht="14.25" customHeight="1" x14ac:dyDescent="0.2">
      <c r="A37" s="328" t="s">
        <v>1563</v>
      </c>
      <c r="B37" s="328"/>
      <c r="C37" s="1928"/>
      <c r="D37" s="1926"/>
      <c r="E37" s="1285"/>
    </row>
    <row r="38" spans="1:6" ht="14.25" customHeight="1" x14ac:dyDescent="0.2">
      <c r="A38" s="328"/>
      <c r="B38" s="328" t="s">
        <v>1510</v>
      </c>
      <c r="C38" s="1291">
        <v>0</v>
      </c>
      <c r="D38" s="1926"/>
      <c r="E38" s="1285"/>
    </row>
    <row r="39" spans="1:6" ht="14.25" customHeight="1" x14ac:dyDescent="0.2">
      <c r="A39" s="328"/>
      <c r="B39" s="328" t="s">
        <v>1511</v>
      </c>
      <c r="C39" s="1291">
        <v>0</v>
      </c>
      <c r="D39" s="1926"/>
      <c r="E39" s="1285"/>
    </row>
    <row r="40" spans="1:6" ht="14.25" customHeight="1" x14ac:dyDescent="0.2">
      <c r="A40" s="328"/>
      <c r="B40" s="328" t="s">
        <v>1512</v>
      </c>
      <c r="C40" s="1291">
        <v>0</v>
      </c>
      <c r="D40" s="1926"/>
      <c r="E40" s="1285"/>
    </row>
    <row r="41" spans="1:6" ht="14.25" customHeight="1" x14ac:dyDescent="0.2">
      <c r="A41" s="328"/>
      <c r="B41" s="328" t="s">
        <v>1513</v>
      </c>
      <c r="C41" s="1291">
        <v>0</v>
      </c>
      <c r="D41" s="1926"/>
      <c r="E41" s="1285"/>
    </row>
    <row r="42" spans="1:6" ht="14.25" customHeight="1" x14ac:dyDescent="0.2">
      <c r="A42" s="328" t="s">
        <v>1514</v>
      </c>
      <c r="B42" s="328"/>
      <c r="C42" s="1924">
        <v>0</v>
      </c>
      <c r="D42" s="1926"/>
      <c r="E42" s="1285"/>
    </row>
    <row r="43" spans="1:6" ht="14.25" customHeight="1" x14ac:dyDescent="0.2">
      <c r="A43" s="328" t="s">
        <v>1515</v>
      </c>
      <c r="B43" s="328"/>
      <c r="C43" s="1292" t="s">
        <v>401</v>
      </c>
      <c r="D43" s="1926"/>
      <c r="E43" s="1285"/>
    </row>
    <row r="44" spans="1:6" ht="14.25" customHeight="1" x14ac:dyDescent="0.2">
      <c r="A44" s="328"/>
      <c r="B44" s="328"/>
      <c r="C44" s="1928" t="s">
        <v>1516</v>
      </c>
      <c r="D44" s="1926"/>
      <c r="E44" s="1285"/>
    </row>
    <row r="45" spans="1:6" ht="13.5" customHeight="1" x14ac:dyDescent="0.2">
      <c r="B45" s="322"/>
      <c r="C45" s="1293"/>
      <c r="D45" s="1293"/>
    </row>
    <row r="46" spans="1:6" x14ac:dyDescent="0.2">
      <c r="A46" s="1294" t="s">
        <v>1834</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1" t="s">
        <v>1672</v>
      </c>
      <c r="C49" s="2461"/>
      <c r="D49" s="2461"/>
      <c r="E49" s="1398"/>
    </row>
    <row r="50" spans="1:5" s="1299" customFormat="1" ht="3.75" customHeight="1" x14ac:dyDescent="0.2">
      <c r="A50" s="1298"/>
      <c r="B50" s="1868"/>
      <c r="C50" s="1868"/>
      <c r="D50" s="1868"/>
      <c r="E50" s="1398"/>
    </row>
    <row r="51" spans="1:5" s="1299" customFormat="1" ht="20.25" customHeight="1" x14ac:dyDescent="0.2">
      <c r="A51" s="1300">
        <v>6</v>
      </c>
      <c r="B51" s="2456" t="s">
        <v>1632</v>
      </c>
      <c r="C51" s="2456"/>
      <c r="D51" s="2456"/>
    </row>
    <row r="52" spans="1:5" ht="14.25" customHeight="1" x14ac:dyDescent="0.2">
      <c r="A52" s="1300"/>
      <c r="B52" s="2456"/>
      <c r="C52" s="2456"/>
      <c r="D52" s="245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
  <pageSetup scale="90" firstPageNumber="39" orientation="portrait" useFirstPageNumber="1" r:id="rId1"/>
  <headerFooter alignWithMargins="0">
    <oddHeader>&amp;L&amp;8Page 41&amp;R&amp;8Page 41</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7" zoomScaleNormal="100" workbookViewId="0">
      <selection activeCell="G18" sqref="G18"/>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5" t="str">
        <f>'Single Audit Cover'!A7</f>
        <v>Wesclin CUSD 3</v>
      </c>
      <c r="C1" s="2469"/>
      <c r="D1" s="2469"/>
      <c r="E1" s="2469"/>
      <c r="F1" s="2469"/>
      <c r="G1" s="2469"/>
      <c r="H1" s="2469"/>
      <c r="I1" s="2469"/>
      <c r="J1" s="2469"/>
      <c r="K1" s="2469"/>
      <c r="L1" s="2469"/>
      <c r="M1" s="2469"/>
    </row>
    <row r="2" spans="2:14" ht="15" x14ac:dyDescent="0.2">
      <c r="B2" s="2466">
        <f>'Single Audit Cover'!E7</f>
        <v>13014003026</v>
      </c>
      <c r="C2" s="2466"/>
      <c r="D2" s="2466"/>
      <c r="E2" s="2466"/>
      <c r="F2" s="2466"/>
      <c r="G2" s="2466"/>
      <c r="H2" s="2466"/>
      <c r="I2" s="2466"/>
      <c r="J2" s="2466"/>
      <c r="K2" s="2466"/>
      <c r="L2" s="2466"/>
      <c r="M2" s="2466"/>
      <c r="N2" s="1301"/>
    </row>
    <row r="3" spans="2:14" ht="15" x14ac:dyDescent="0.2">
      <c r="B3" s="2470" t="s">
        <v>1281</v>
      </c>
      <c r="C3" s="2470"/>
      <c r="D3" s="2470"/>
      <c r="E3" s="2470"/>
      <c r="F3" s="2470"/>
      <c r="G3" s="2470"/>
      <c r="H3" s="2470"/>
      <c r="I3" s="2470"/>
      <c r="J3" s="2470"/>
      <c r="K3" s="2470"/>
      <c r="L3" s="2470"/>
      <c r="M3" s="2470"/>
      <c r="N3" s="1301"/>
    </row>
    <row r="4" spans="2:14" ht="15" x14ac:dyDescent="0.2">
      <c r="B4" s="2471" t="str">
        <f>'Single Audit Cover'!A4</f>
        <v>Year Ending June 30, 2018</v>
      </c>
      <c r="C4" s="2471"/>
      <c r="D4" s="2471"/>
      <c r="E4" s="2471"/>
      <c r="F4" s="2471"/>
      <c r="G4" s="2471"/>
      <c r="H4" s="2471"/>
      <c r="I4" s="2471"/>
      <c r="J4" s="2471"/>
      <c r="K4" s="2471"/>
      <c r="L4" s="2471"/>
      <c r="M4" s="247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2097</v>
      </c>
      <c r="C11" s="1337"/>
      <c r="D11" s="1338"/>
      <c r="E11" s="1339"/>
      <c r="F11" s="1339"/>
      <c r="G11" s="1339"/>
      <c r="H11" s="1339"/>
      <c r="I11" s="1339"/>
      <c r="J11" s="1339"/>
      <c r="K11" s="1339"/>
      <c r="L11" s="1339">
        <f>+G11+I11+K11</f>
        <v>0</v>
      </c>
      <c r="M11" s="1339"/>
    </row>
    <row r="12" spans="2:14" ht="20.100000000000001" customHeight="1" x14ac:dyDescent="0.2">
      <c r="B12" s="1336" t="s">
        <v>2098</v>
      </c>
      <c r="C12" s="1340"/>
      <c r="D12" s="1341"/>
      <c r="E12" s="1342"/>
      <c r="F12" s="1342"/>
      <c r="G12" s="1342"/>
      <c r="H12" s="1342"/>
      <c r="I12" s="1342"/>
      <c r="J12" s="1342"/>
      <c r="K12" s="1342"/>
      <c r="L12" s="1339">
        <f t="shared" ref="L12:L27" si="0">+G12+I12+K12</f>
        <v>0</v>
      </c>
      <c r="M12" s="1342"/>
    </row>
    <row r="13" spans="2:14" ht="20.100000000000001" customHeight="1" x14ac:dyDescent="0.2">
      <c r="B13" s="1336" t="s">
        <v>2099</v>
      </c>
      <c r="C13" s="1340">
        <v>84.01</v>
      </c>
      <c r="D13" s="1341" t="s">
        <v>2108</v>
      </c>
      <c r="E13" s="1342"/>
      <c r="F13" s="1342">
        <v>94992</v>
      </c>
      <c r="G13" s="1342"/>
      <c r="H13" s="1342"/>
      <c r="I13" s="1342">
        <v>145938</v>
      </c>
      <c r="J13" s="1342"/>
      <c r="K13" s="1342"/>
      <c r="L13" s="1339">
        <f t="shared" si="0"/>
        <v>145938</v>
      </c>
      <c r="M13" s="1342">
        <v>149323</v>
      </c>
    </row>
    <row r="14" spans="2:14" ht="20.100000000000001" customHeight="1" x14ac:dyDescent="0.2">
      <c r="B14" s="1336" t="s">
        <v>2100</v>
      </c>
      <c r="C14" s="1340">
        <v>84.01</v>
      </c>
      <c r="D14" s="1341" t="s">
        <v>2109</v>
      </c>
      <c r="E14" s="1342">
        <v>99821</v>
      </c>
      <c r="F14" s="1342">
        <v>54522</v>
      </c>
      <c r="G14" s="1342">
        <v>99821</v>
      </c>
      <c r="H14" s="1342"/>
      <c r="I14" s="1342">
        <v>54522</v>
      </c>
      <c r="J14" s="1342"/>
      <c r="K14" s="1342"/>
      <c r="L14" s="1339">
        <f t="shared" si="0"/>
        <v>154343</v>
      </c>
      <c r="M14" s="1342">
        <v>162140</v>
      </c>
    </row>
    <row r="15" spans="2:14" ht="20.100000000000001" customHeight="1" x14ac:dyDescent="0.2">
      <c r="B15" s="1336" t="s">
        <v>2101</v>
      </c>
      <c r="C15" s="1340">
        <v>84.367000000000004</v>
      </c>
      <c r="D15" s="1341" t="s">
        <v>2110</v>
      </c>
      <c r="E15" s="1342"/>
      <c r="F15" s="1342"/>
      <c r="G15" s="1342"/>
      <c r="H15" s="1342"/>
      <c r="I15" s="1342">
        <v>37235</v>
      </c>
      <c r="J15" s="1342"/>
      <c r="K15" s="1342"/>
      <c r="L15" s="1339">
        <f t="shared" si="0"/>
        <v>37235</v>
      </c>
      <c r="M15" s="1342">
        <v>42877</v>
      </c>
    </row>
    <row r="16" spans="2:14" ht="20.100000000000001" customHeight="1" x14ac:dyDescent="0.2">
      <c r="B16" s="1336" t="s">
        <v>2102</v>
      </c>
      <c r="C16" s="1340">
        <v>84.367000000000004</v>
      </c>
      <c r="D16" s="1341" t="s">
        <v>2111</v>
      </c>
      <c r="E16" s="1342">
        <v>8998</v>
      </c>
      <c r="F16" s="1342">
        <v>24379</v>
      </c>
      <c r="G16" s="1342">
        <v>8998</v>
      </c>
      <c r="H16" s="1342"/>
      <c r="I16" s="1342">
        <v>24379</v>
      </c>
      <c r="J16" s="1342"/>
      <c r="K16" s="1342"/>
      <c r="L16" s="1339">
        <f t="shared" si="0"/>
        <v>33377</v>
      </c>
      <c r="M16" s="1342">
        <v>43875</v>
      </c>
    </row>
    <row r="17" spans="2:14" ht="20.100000000000001" customHeight="1" x14ac:dyDescent="0.2">
      <c r="B17" s="323" t="s">
        <v>2132</v>
      </c>
      <c r="C17" s="1340">
        <v>84.027000000000001</v>
      </c>
      <c r="D17" s="1341" t="s">
        <v>2133</v>
      </c>
      <c r="E17" s="1342"/>
      <c r="F17" s="1342">
        <v>6583</v>
      </c>
      <c r="G17" s="1342">
        <v>6583</v>
      </c>
      <c r="H17" s="1342"/>
      <c r="I17" s="1342"/>
      <c r="J17" s="1342"/>
      <c r="K17" s="1342"/>
      <c r="L17" s="1339">
        <f t="shared" si="0"/>
        <v>6583</v>
      </c>
      <c r="M17" s="1342" t="s">
        <v>2131</v>
      </c>
    </row>
    <row r="18" spans="2:14" ht="20.100000000000001" customHeight="1" x14ac:dyDescent="0.2">
      <c r="B18" s="1336" t="s">
        <v>2103</v>
      </c>
      <c r="C18" s="1340"/>
      <c r="D18" s="1341"/>
      <c r="E18" s="1342">
        <f>E14+E16</f>
        <v>108819</v>
      </c>
      <c r="F18" s="1342">
        <f>F13+F14+F15+F16+F17</f>
        <v>180476</v>
      </c>
      <c r="G18" s="1342">
        <f>G14+G16+G17</f>
        <v>115402</v>
      </c>
      <c r="H18" s="1342"/>
      <c r="I18" s="1342">
        <f>I13+I14+I15+I16+I17</f>
        <v>262074</v>
      </c>
      <c r="J18" s="1342"/>
      <c r="K18" s="1342"/>
      <c r="L18" s="1339">
        <f>+G18+I18+K18</f>
        <v>377476</v>
      </c>
      <c r="M18" s="1342">
        <f>M13+M14+M15+M16</f>
        <v>398215</v>
      </c>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t="s">
        <v>2104</v>
      </c>
      <c r="C20" s="1340"/>
      <c r="D20" s="1341"/>
      <c r="E20" s="1342"/>
      <c r="F20" s="1342"/>
      <c r="G20" s="1342"/>
      <c r="H20" s="1342"/>
      <c r="I20" s="1342"/>
      <c r="J20" s="1342"/>
      <c r="K20" s="1342"/>
      <c r="L20" s="1339">
        <f t="shared" si="0"/>
        <v>0</v>
      </c>
      <c r="M20" s="1342"/>
    </row>
    <row r="21" spans="2:14" ht="20.100000000000001" customHeight="1" x14ac:dyDescent="0.2">
      <c r="B21" s="1336" t="s">
        <v>2173</v>
      </c>
      <c r="C21" s="1340">
        <v>84.040999999999997</v>
      </c>
      <c r="D21" s="1341" t="s">
        <v>2106</v>
      </c>
      <c r="E21" s="1342"/>
      <c r="F21" s="1342">
        <v>4417</v>
      </c>
      <c r="G21" s="1342"/>
      <c r="H21" s="1342"/>
      <c r="I21" s="1342">
        <v>4417</v>
      </c>
      <c r="J21" s="1342"/>
      <c r="K21" s="1342"/>
      <c r="L21" s="1339">
        <f t="shared" si="0"/>
        <v>4417</v>
      </c>
      <c r="M21" s="1342" t="s">
        <v>2131</v>
      </c>
    </row>
    <row r="22" spans="2:14" ht="20.100000000000001" customHeight="1" x14ac:dyDescent="0.2">
      <c r="B22" s="1336" t="s">
        <v>2105</v>
      </c>
      <c r="C22" s="1340">
        <v>84.040999999999997</v>
      </c>
      <c r="D22" s="1341" t="s">
        <v>2107</v>
      </c>
      <c r="E22" s="1342">
        <v>6276</v>
      </c>
      <c r="F22" s="1342"/>
      <c r="G22" s="1342">
        <v>6276</v>
      </c>
      <c r="H22" s="1342"/>
      <c r="I22" s="1342"/>
      <c r="J22" s="1342"/>
      <c r="K22" s="1342"/>
      <c r="L22" s="1339">
        <f t="shared" si="0"/>
        <v>6276</v>
      </c>
      <c r="M22" s="1342" t="s">
        <v>2131</v>
      </c>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t="s">
        <v>2103</v>
      </c>
      <c r="C24" s="1340"/>
      <c r="D24" s="1341"/>
      <c r="E24" s="1342">
        <f>E22</f>
        <v>6276</v>
      </c>
      <c r="F24" s="1342">
        <f>F21</f>
        <v>4417</v>
      </c>
      <c r="G24" s="1342">
        <f>G22</f>
        <v>6276</v>
      </c>
      <c r="H24" s="1342"/>
      <c r="I24" s="1342">
        <f>I21</f>
        <v>4417</v>
      </c>
      <c r="J24" s="1342"/>
      <c r="K24" s="1342"/>
      <c r="L24" s="1339">
        <f t="shared" si="0"/>
        <v>10693</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2076</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2020</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&amp;L&amp;8See Notes to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7" zoomScaleNormal="100" workbookViewId="0">
      <selection activeCell="M24" sqref="M24"/>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5" t="str">
        <f>'Single Audit Cover'!A7</f>
        <v>Wesclin CUSD 3</v>
      </c>
      <c r="C1" s="2469"/>
      <c r="D1" s="2469"/>
      <c r="E1" s="2469"/>
      <c r="F1" s="2469"/>
      <c r="G1" s="2469"/>
      <c r="H1" s="2469"/>
      <c r="I1" s="2469"/>
      <c r="J1" s="2469"/>
      <c r="K1" s="2469"/>
      <c r="L1" s="2469"/>
      <c r="M1" s="2469"/>
    </row>
    <row r="2" spans="2:14" ht="15" x14ac:dyDescent="0.2">
      <c r="B2" s="2466">
        <f>'Single Audit Cover'!E7</f>
        <v>13014003026</v>
      </c>
      <c r="C2" s="2466"/>
      <c r="D2" s="2466"/>
      <c r="E2" s="2466"/>
      <c r="F2" s="2466"/>
      <c r="G2" s="2466"/>
      <c r="H2" s="2466"/>
      <c r="I2" s="2466"/>
      <c r="J2" s="2466"/>
      <c r="K2" s="2466"/>
      <c r="L2" s="2466"/>
      <c r="M2" s="2466"/>
      <c r="N2" s="1301"/>
    </row>
    <row r="3" spans="2:14" ht="15" x14ac:dyDescent="0.2">
      <c r="B3" s="2470" t="s">
        <v>1281</v>
      </c>
      <c r="C3" s="2470"/>
      <c r="D3" s="2470"/>
      <c r="E3" s="2470"/>
      <c r="F3" s="2470"/>
      <c r="G3" s="2470"/>
      <c r="H3" s="2470"/>
      <c r="I3" s="2470"/>
      <c r="J3" s="2470"/>
      <c r="K3" s="2470"/>
      <c r="L3" s="2470"/>
      <c r="M3" s="2470"/>
      <c r="N3" s="1301"/>
    </row>
    <row r="4" spans="2:14" ht="15" x14ac:dyDescent="0.2">
      <c r="B4" s="2471" t="str">
        <f>'Single Audit Cover'!A4</f>
        <v>Year Ending June 30, 2018</v>
      </c>
      <c r="C4" s="2471"/>
      <c r="D4" s="2471"/>
      <c r="E4" s="2471"/>
      <c r="F4" s="2471"/>
      <c r="G4" s="2471"/>
      <c r="H4" s="2471"/>
      <c r="I4" s="2471"/>
      <c r="J4" s="2471"/>
      <c r="K4" s="2471"/>
      <c r="L4" s="2471"/>
      <c r="M4" s="247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2112</v>
      </c>
      <c r="C11" s="1337"/>
      <c r="D11" s="1338"/>
      <c r="E11" s="1339"/>
      <c r="F11" s="1339"/>
      <c r="G11" s="1339"/>
      <c r="H11" s="1339"/>
      <c r="I11" s="1339"/>
      <c r="J11" s="1339"/>
      <c r="K11" s="1339"/>
      <c r="L11" s="1339">
        <f>+G11+I11+K11</f>
        <v>0</v>
      </c>
      <c r="M11" s="1339"/>
    </row>
    <row r="12" spans="2:14" ht="20.100000000000001" customHeight="1" x14ac:dyDescent="0.2">
      <c r="B12" s="1336" t="s">
        <v>2113</v>
      </c>
      <c r="C12" s="1340"/>
      <c r="D12" s="1341"/>
      <c r="E12" s="1342"/>
      <c r="F12" s="1342"/>
      <c r="G12" s="1342"/>
      <c r="H12" s="1342"/>
      <c r="I12" s="1342"/>
      <c r="J12" s="1342"/>
      <c r="K12" s="1342"/>
      <c r="L12" s="1339">
        <f t="shared" ref="L12:L27" si="0">+G12+I12+K12</f>
        <v>0</v>
      </c>
      <c r="M12" s="1342"/>
    </row>
    <row r="13" spans="2:14" ht="20.100000000000001" customHeight="1" x14ac:dyDescent="0.2">
      <c r="B13" s="1336" t="s">
        <v>2114</v>
      </c>
      <c r="C13" s="1340">
        <v>84.027000000000001</v>
      </c>
      <c r="D13" s="1341" t="s">
        <v>2120</v>
      </c>
      <c r="E13" s="1342"/>
      <c r="F13" s="1342">
        <v>218090</v>
      </c>
      <c r="G13" s="1342"/>
      <c r="H13" s="1342"/>
      <c r="I13" s="1342">
        <v>218090</v>
      </c>
      <c r="J13" s="1342"/>
      <c r="K13" s="1342"/>
      <c r="L13" s="1339">
        <f t="shared" si="0"/>
        <v>218090</v>
      </c>
      <c r="M13" s="1342"/>
    </row>
    <row r="14" spans="2:14" ht="20.100000000000001" customHeight="1" x14ac:dyDescent="0.2">
      <c r="B14" s="1336" t="s">
        <v>2115</v>
      </c>
      <c r="C14" s="1340">
        <v>84.027000000000001</v>
      </c>
      <c r="D14" s="1341" t="s">
        <v>2121</v>
      </c>
      <c r="E14" s="1342">
        <v>211623</v>
      </c>
      <c r="F14" s="1342"/>
      <c r="G14" s="1342">
        <v>211623</v>
      </c>
      <c r="H14" s="1342"/>
      <c r="I14" s="1342"/>
      <c r="J14" s="1342"/>
      <c r="K14" s="1342"/>
      <c r="L14" s="1339">
        <f t="shared" si="0"/>
        <v>211623</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t="s">
        <v>2103</v>
      </c>
      <c r="C16" s="1340"/>
      <c r="D16" s="1341"/>
      <c r="E16" s="1342">
        <f>E14</f>
        <v>211623</v>
      </c>
      <c r="F16" s="1342">
        <f>F13</f>
        <v>218090</v>
      </c>
      <c r="G16" s="1342">
        <f>G14</f>
        <v>211623</v>
      </c>
      <c r="H16" s="1342"/>
      <c r="I16" s="1342">
        <f>I13</f>
        <v>218090</v>
      </c>
      <c r="J16" s="1342"/>
      <c r="K16" s="1342"/>
      <c r="L16" s="1339">
        <f t="shared" si="0"/>
        <v>429713</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t="s">
        <v>2116</v>
      </c>
      <c r="C18" s="1340"/>
      <c r="D18" s="1341"/>
      <c r="E18" s="1342"/>
      <c r="F18" s="1342"/>
      <c r="G18" s="1342"/>
      <c r="H18" s="1342"/>
      <c r="I18" s="1342"/>
      <c r="J18" s="1342"/>
      <c r="K18" s="1342"/>
      <c r="L18" s="1339">
        <f t="shared" si="0"/>
        <v>0</v>
      </c>
      <c r="M18" s="1342"/>
    </row>
    <row r="19" spans="2:14" ht="20.100000000000001" customHeight="1" x14ac:dyDescent="0.2">
      <c r="B19" s="1336" t="s">
        <v>2117</v>
      </c>
      <c r="C19" s="1340">
        <v>84.048000000000002</v>
      </c>
      <c r="D19" s="1341" t="s">
        <v>2122</v>
      </c>
      <c r="E19" s="1342"/>
      <c r="F19" s="1342">
        <v>9685</v>
      </c>
      <c r="G19" s="1342"/>
      <c r="H19" s="1342"/>
      <c r="I19" s="1342">
        <v>9685</v>
      </c>
      <c r="J19" s="1342"/>
      <c r="K19" s="1342"/>
      <c r="L19" s="1339">
        <f t="shared" si="0"/>
        <v>9685</v>
      </c>
      <c r="M19" s="1342"/>
    </row>
    <row r="20" spans="2:14" ht="20.100000000000001" customHeight="1" x14ac:dyDescent="0.2">
      <c r="B20" s="1336" t="s">
        <v>2118</v>
      </c>
      <c r="C20" s="1340">
        <v>84.048000000000002</v>
      </c>
      <c r="D20" s="1341" t="s">
        <v>2123</v>
      </c>
      <c r="E20" s="1342">
        <v>10973</v>
      </c>
      <c r="F20" s="1342"/>
      <c r="G20" s="1342">
        <v>10973</v>
      </c>
      <c r="H20" s="1342"/>
      <c r="I20" s="1342"/>
      <c r="J20" s="1342"/>
      <c r="K20" s="1342"/>
      <c r="L20" s="1339">
        <f t="shared" si="0"/>
        <v>10973</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t="s">
        <v>2103</v>
      </c>
      <c r="C22" s="1340"/>
      <c r="D22" s="1341"/>
      <c r="E22" s="1342">
        <f>E20</f>
        <v>10973</v>
      </c>
      <c r="F22" s="1342">
        <f>F19</f>
        <v>9685</v>
      </c>
      <c r="G22" s="1342">
        <f>G20</f>
        <v>10973</v>
      </c>
      <c r="H22" s="1342"/>
      <c r="I22" s="1342">
        <f>I19</f>
        <v>9685</v>
      </c>
      <c r="J22" s="1342"/>
      <c r="K22" s="1342"/>
      <c r="L22" s="1339">
        <f t="shared" si="0"/>
        <v>20658</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t="s">
        <v>2119</v>
      </c>
      <c r="C24" s="1340"/>
      <c r="D24" s="1341"/>
      <c r="E24" s="1342">
        <f>E22+E16+' SEFA'!E24+' SEFA'!E18</f>
        <v>337691</v>
      </c>
      <c r="F24" s="1342">
        <f>F22+F16+' SEFA'!F24+' SEFA'!F18</f>
        <v>412668</v>
      </c>
      <c r="G24" s="1342">
        <f>G22+G16+' SEFA'!G24+' SEFA'!G18</f>
        <v>344274</v>
      </c>
      <c r="H24" s="1342"/>
      <c r="I24" s="1342">
        <f>I22+I16+' SEFA'!I24+' SEFA'!I18</f>
        <v>494266</v>
      </c>
      <c r="J24" s="1342"/>
      <c r="K24" s="1342"/>
      <c r="L24" s="1339">
        <f t="shared" si="0"/>
        <v>838540</v>
      </c>
      <c r="M24" s="1342">
        <f>' SEFA'!M18</f>
        <v>398215</v>
      </c>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&amp;LSee Notes to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7" zoomScaleNormal="100" workbookViewId="0">
      <selection activeCell="L25" sqref="L2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5" t="str">
        <f>'Single Audit Cover'!A7</f>
        <v>Wesclin CUSD 3</v>
      </c>
      <c r="C1" s="2469"/>
      <c r="D1" s="2469"/>
      <c r="E1" s="2469"/>
      <c r="F1" s="2469"/>
      <c r="G1" s="2469"/>
      <c r="H1" s="2469"/>
      <c r="I1" s="2469"/>
      <c r="J1" s="2469"/>
      <c r="K1" s="2469"/>
      <c r="L1" s="2469"/>
      <c r="M1" s="2469"/>
    </row>
    <row r="2" spans="2:14" ht="15" x14ac:dyDescent="0.2">
      <c r="B2" s="2466">
        <f>'Single Audit Cover'!E7</f>
        <v>13014003026</v>
      </c>
      <c r="C2" s="2466"/>
      <c r="D2" s="2466"/>
      <c r="E2" s="2466"/>
      <c r="F2" s="2466"/>
      <c r="G2" s="2466"/>
      <c r="H2" s="2466"/>
      <c r="I2" s="2466"/>
      <c r="J2" s="2466"/>
      <c r="K2" s="2466"/>
      <c r="L2" s="2466"/>
      <c r="M2" s="2466"/>
      <c r="N2" s="1301"/>
    </row>
    <row r="3" spans="2:14" ht="15" x14ac:dyDescent="0.2">
      <c r="B3" s="2470" t="s">
        <v>1281</v>
      </c>
      <c r="C3" s="2470"/>
      <c r="D3" s="2470"/>
      <c r="E3" s="2470"/>
      <c r="F3" s="2470"/>
      <c r="G3" s="2470"/>
      <c r="H3" s="2470"/>
      <c r="I3" s="2470"/>
      <c r="J3" s="2470"/>
      <c r="K3" s="2470"/>
      <c r="L3" s="2470"/>
      <c r="M3" s="2470"/>
      <c r="N3" s="1301"/>
    </row>
    <row r="4" spans="2:14" ht="15" x14ac:dyDescent="0.2">
      <c r="B4" s="2471" t="str">
        <f>'Single Audit Cover'!A4</f>
        <v>Year Ending June 30, 2018</v>
      </c>
      <c r="C4" s="2471"/>
      <c r="D4" s="2471"/>
      <c r="E4" s="2471"/>
      <c r="F4" s="2471"/>
      <c r="G4" s="2471"/>
      <c r="H4" s="2471"/>
      <c r="I4" s="2471"/>
      <c r="J4" s="2471"/>
      <c r="K4" s="2471"/>
      <c r="L4" s="2471"/>
      <c r="M4" s="247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2179</v>
      </c>
      <c r="C11" s="1337"/>
      <c r="D11" s="1338"/>
      <c r="E11" s="1339"/>
      <c r="F11" s="1339"/>
      <c r="G11" s="1339"/>
      <c r="H11" s="1339"/>
      <c r="I11" s="1339"/>
      <c r="J11" s="1339"/>
      <c r="K11" s="1339"/>
      <c r="L11" s="1339">
        <f>+G11+I11+K11</f>
        <v>0</v>
      </c>
      <c r="M11" s="1339"/>
    </row>
    <row r="12" spans="2:14" ht="20.100000000000001" customHeight="1" x14ac:dyDescent="0.2">
      <c r="B12" s="1336" t="s">
        <v>2180</v>
      </c>
      <c r="C12" s="1340"/>
      <c r="D12" s="1341"/>
      <c r="E12" s="1342"/>
      <c r="F12" s="1342"/>
      <c r="G12" s="1342"/>
      <c r="H12" s="1342"/>
      <c r="I12" s="1342"/>
      <c r="J12" s="1342"/>
      <c r="K12" s="1342"/>
      <c r="L12" s="1339">
        <f t="shared" ref="L12:L27" si="0">+G12+I12+K12</f>
        <v>0</v>
      </c>
      <c r="M12" s="1342"/>
    </row>
    <row r="13" spans="2:14" ht="20.100000000000001" customHeight="1" x14ac:dyDescent="0.2">
      <c r="B13" s="1336" t="s">
        <v>2174</v>
      </c>
      <c r="C13" s="1340">
        <v>10.555</v>
      </c>
      <c r="D13" s="1341" t="s">
        <v>2127</v>
      </c>
      <c r="E13" s="1342"/>
      <c r="F13" s="1342">
        <v>181636</v>
      </c>
      <c r="G13" s="1342"/>
      <c r="H13" s="1342"/>
      <c r="I13" s="1342">
        <v>181636</v>
      </c>
      <c r="J13" s="1342"/>
      <c r="K13" s="1342"/>
      <c r="L13" s="1339">
        <f t="shared" si="0"/>
        <v>181636</v>
      </c>
      <c r="M13" s="1342" t="s">
        <v>2131</v>
      </c>
    </row>
    <row r="14" spans="2:14" ht="20.100000000000001" customHeight="1" x14ac:dyDescent="0.2">
      <c r="B14" s="1336" t="s">
        <v>2175</v>
      </c>
      <c r="C14" s="1340">
        <v>10.555</v>
      </c>
      <c r="D14" s="1341" t="s">
        <v>2128</v>
      </c>
      <c r="E14" s="1342">
        <v>175373</v>
      </c>
      <c r="F14" s="1342">
        <v>41088</v>
      </c>
      <c r="G14" s="1342">
        <v>175373</v>
      </c>
      <c r="H14" s="1342"/>
      <c r="I14" s="1342">
        <v>41088</v>
      </c>
      <c r="J14" s="1342"/>
      <c r="K14" s="1342"/>
      <c r="L14" s="1339">
        <f t="shared" si="0"/>
        <v>216461</v>
      </c>
      <c r="M14" s="1342" t="s">
        <v>2131</v>
      </c>
    </row>
    <row r="15" spans="2:14" ht="20.100000000000001" customHeight="1" x14ac:dyDescent="0.2">
      <c r="B15" s="1336" t="s">
        <v>2176</v>
      </c>
      <c r="C15" s="1340">
        <v>10.553000000000001</v>
      </c>
      <c r="D15" s="1341" t="s">
        <v>2129</v>
      </c>
      <c r="E15" s="1342"/>
      <c r="F15" s="1342">
        <v>52680</v>
      </c>
      <c r="G15" s="1342"/>
      <c r="H15" s="1342"/>
      <c r="I15" s="1342">
        <v>52680</v>
      </c>
      <c r="J15" s="1342"/>
      <c r="K15" s="1342"/>
      <c r="L15" s="1339">
        <f t="shared" si="0"/>
        <v>52680</v>
      </c>
      <c r="M15" s="1342" t="s">
        <v>2131</v>
      </c>
    </row>
    <row r="16" spans="2:14" ht="20.100000000000001" customHeight="1" x14ac:dyDescent="0.2">
      <c r="B16" s="1336" t="s">
        <v>2177</v>
      </c>
      <c r="C16" s="1340">
        <v>10.553000000000001</v>
      </c>
      <c r="D16" s="1341" t="s">
        <v>2130</v>
      </c>
      <c r="E16" s="1342">
        <v>50600</v>
      </c>
      <c r="F16" s="1342">
        <v>11111</v>
      </c>
      <c r="G16" s="1342">
        <v>50600</v>
      </c>
      <c r="H16" s="1342"/>
      <c r="I16" s="1342">
        <v>11111</v>
      </c>
      <c r="J16" s="1342"/>
      <c r="K16" s="1342"/>
      <c r="L16" s="1339">
        <f t="shared" si="0"/>
        <v>61711</v>
      </c>
      <c r="M16" s="1342" t="s">
        <v>2131</v>
      </c>
    </row>
    <row r="17" spans="2:14" ht="20.100000000000001" customHeight="1" x14ac:dyDescent="0.2">
      <c r="B17" s="1336" t="s">
        <v>2103</v>
      </c>
      <c r="C17" s="1340"/>
      <c r="D17" s="1341"/>
      <c r="E17" s="1342">
        <f>E14+E16</f>
        <v>225973</v>
      </c>
      <c r="F17" s="1342">
        <f>F13+F14+F15+F16</f>
        <v>286515</v>
      </c>
      <c r="G17" s="1342">
        <f>G14+G16</f>
        <v>225973</v>
      </c>
      <c r="H17" s="1342"/>
      <c r="I17" s="1342">
        <f>I13+I14+I15+I16</f>
        <v>286515</v>
      </c>
      <c r="J17" s="1342"/>
      <c r="K17" s="1342"/>
      <c r="L17" s="1339">
        <f t="shared" si="0"/>
        <v>512488</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t="s">
        <v>2124</v>
      </c>
      <c r="C19" s="1340"/>
      <c r="D19" s="1341"/>
      <c r="E19" s="1342"/>
      <c r="F19" s="1342"/>
      <c r="G19" s="1342"/>
      <c r="H19" s="1342"/>
      <c r="I19" s="1342"/>
      <c r="J19" s="1342"/>
      <c r="K19" s="1342"/>
      <c r="L19" s="1339">
        <f t="shared" si="0"/>
        <v>0</v>
      </c>
      <c r="M19" s="1342"/>
    </row>
    <row r="20" spans="2:14" ht="20.100000000000001" customHeight="1" x14ac:dyDescent="0.2">
      <c r="B20" s="1336" t="s">
        <v>2178</v>
      </c>
      <c r="C20" s="1340">
        <v>10.555</v>
      </c>
      <c r="D20" s="1341" t="s">
        <v>2134</v>
      </c>
      <c r="E20" s="1342"/>
      <c r="F20" s="1342">
        <v>38944</v>
      </c>
      <c r="G20" s="1342"/>
      <c r="H20" s="1342"/>
      <c r="I20" s="1342">
        <v>38944</v>
      </c>
      <c r="J20" s="1342"/>
      <c r="K20" s="1342"/>
      <c r="L20" s="1339">
        <f t="shared" si="0"/>
        <v>38944</v>
      </c>
      <c r="M20" s="1342" t="s">
        <v>2131</v>
      </c>
    </row>
    <row r="21" spans="2:14" ht="20.100000000000001" customHeight="1" x14ac:dyDescent="0.2">
      <c r="B21" s="1336" t="s">
        <v>2103</v>
      </c>
      <c r="C21" s="1340"/>
      <c r="D21" s="1341"/>
      <c r="E21" s="1342"/>
      <c r="F21" s="1342">
        <f>F20</f>
        <v>38944</v>
      </c>
      <c r="G21" s="1342"/>
      <c r="H21" s="1342"/>
      <c r="I21" s="1342">
        <f>I20</f>
        <v>38944</v>
      </c>
      <c r="J21" s="1342"/>
      <c r="K21" s="1342"/>
      <c r="L21" s="1339">
        <f t="shared" si="0"/>
        <v>38944</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t="s">
        <v>2125</v>
      </c>
      <c r="C23" s="1340"/>
      <c r="D23" s="1341"/>
      <c r="E23" s="1342">
        <f>E17</f>
        <v>225973</v>
      </c>
      <c r="F23" s="1342">
        <f>F17+F21</f>
        <v>325459</v>
      </c>
      <c r="G23" s="1342">
        <f>G17</f>
        <v>225973</v>
      </c>
      <c r="H23" s="1342"/>
      <c r="I23" s="1342">
        <f>I21+I17</f>
        <v>325459</v>
      </c>
      <c r="J23" s="1342"/>
      <c r="K23" s="1342"/>
      <c r="L23" s="1339">
        <f t="shared" si="0"/>
        <v>551432</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t="s">
        <v>2126</v>
      </c>
      <c r="C25" s="1340"/>
      <c r="D25" s="1341"/>
      <c r="E25" s="1342">
        <f>E23+' SEFA (2)'!E24</f>
        <v>563664</v>
      </c>
      <c r="F25" s="1342">
        <f>F23+' SEFA (2)'!F24</f>
        <v>738127</v>
      </c>
      <c r="G25" s="1342">
        <f>G23+' SEFA (2)'!G24</f>
        <v>570247</v>
      </c>
      <c r="H25" s="1342"/>
      <c r="I25" s="1342">
        <f>I23+' SEFA (2)'!I24</f>
        <v>819725</v>
      </c>
      <c r="J25" s="1342"/>
      <c r="K25" s="1342"/>
      <c r="L25" s="1339">
        <f>+G25+I25+K25</f>
        <v>1389972</v>
      </c>
      <c r="M25" s="1342">
        <f>' SEFA (2)'!M24</f>
        <v>398215</v>
      </c>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&amp;LSee Notes to Financial Statements.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3" zoomScale="110" zoomScaleNormal="110" workbookViewId="0">
      <selection activeCell="R31" sqref="R31"/>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Wesclin CUSD 3</v>
      </c>
      <c r="C1" s="2484"/>
      <c r="D1" s="2484"/>
      <c r="E1" s="2484"/>
      <c r="F1" s="2484"/>
      <c r="G1" s="2484"/>
      <c r="H1" s="2484"/>
      <c r="I1" s="2484"/>
      <c r="J1" s="1421"/>
    </row>
    <row r="2" spans="2:10" s="317" customFormat="1" ht="12.75" customHeight="1" x14ac:dyDescent="0.2">
      <c r="B2" s="2485">
        <f>'Single Audit Cover'!E7</f>
        <v>13014003026</v>
      </c>
      <c r="C2" s="2486"/>
      <c r="D2" s="2486"/>
      <c r="E2" s="2486"/>
      <c r="F2" s="2486"/>
      <c r="G2" s="2486"/>
      <c r="H2" s="2486"/>
      <c r="I2" s="2486"/>
      <c r="J2" s="1421"/>
    </row>
    <row r="3" spans="2:10" s="317" customFormat="1" ht="12.75" customHeight="1" x14ac:dyDescent="0.2">
      <c r="B3" s="2487" t="s">
        <v>1347</v>
      </c>
      <c r="C3" s="2488"/>
      <c r="D3" s="2488"/>
      <c r="E3" s="2488"/>
      <c r="F3" s="2488"/>
      <c r="G3" s="2488"/>
      <c r="H3" s="2488"/>
      <c r="I3" s="2488"/>
      <c r="J3" s="1422"/>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7" t="s">
        <v>1346</v>
      </c>
      <c r="C7" s="2488"/>
      <c r="D7" s="2488"/>
      <c r="E7" s="2488"/>
      <c r="F7" s="2488"/>
      <c r="G7" s="2488"/>
      <c r="H7" s="2488"/>
      <c r="I7" s="2488"/>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9" t="s">
        <v>2181</v>
      </c>
      <c r="D11" s="2489"/>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2075</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t="s">
        <v>2075</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t="s">
        <v>2075</v>
      </c>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2075</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t="s">
        <v>2075</v>
      </c>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0" t="s">
        <v>2156</v>
      </c>
      <c r="E29" s="2490"/>
      <c r="F29" s="2490"/>
      <c r="G29" s="2490"/>
      <c r="H29" s="2490"/>
      <c r="I29" s="2490"/>
    </row>
    <row r="30" spans="2:9" s="317" customFormat="1" x14ac:dyDescent="0.2">
      <c r="B30" s="1367"/>
      <c r="C30" s="322"/>
      <c r="D30" s="1432" t="s">
        <v>1849</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2075</v>
      </c>
      <c r="H33" s="1299" t="s">
        <v>101</v>
      </c>
    </row>
    <row r="35" spans="2:9" x14ac:dyDescent="0.2">
      <c r="B35" s="1440" t="s">
        <v>1850</v>
      </c>
      <c r="C35" s="1441"/>
      <c r="D35" s="1266"/>
    </row>
    <row r="36" spans="2:9" ht="6" customHeight="1" x14ac:dyDescent="0.2">
      <c r="B36" s="1440"/>
      <c r="C36" s="1441"/>
      <c r="D36" s="1266"/>
    </row>
    <row r="37" spans="2:9" ht="17.25" customHeight="1" x14ac:dyDescent="0.2">
      <c r="B37" s="1442" t="s">
        <v>1851</v>
      </c>
      <c r="C37" s="2491" t="s">
        <v>1852</v>
      </c>
      <c r="D37" s="2492"/>
      <c r="E37" s="2492"/>
      <c r="F37" s="2493"/>
      <c r="G37" s="2491" t="s">
        <v>1674</v>
      </c>
      <c r="H37" s="2492"/>
      <c r="I37" s="2493"/>
    </row>
    <row r="38" spans="2:9" ht="16.5" customHeight="1" x14ac:dyDescent="0.2">
      <c r="B38" s="1443">
        <v>84.040999999999997</v>
      </c>
      <c r="C38" s="2479" t="s">
        <v>2105</v>
      </c>
      <c r="D38" s="2480"/>
      <c r="E38" s="2480"/>
      <c r="F38" s="2481"/>
      <c r="G38" s="2494">
        <v>4417</v>
      </c>
      <c r="H38" s="2495"/>
      <c r="I38" s="2496"/>
    </row>
    <row r="39" spans="2:9" ht="16.5" customHeight="1" x14ac:dyDescent="0.2">
      <c r="B39" s="1443" t="s">
        <v>2171</v>
      </c>
      <c r="C39" s="2479" t="s">
        <v>2172</v>
      </c>
      <c r="D39" s="2480"/>
      <c r="E39" s="2480"/>
      <c r="F39" s="2481"/>
      <c r="G39" s="2482">
        <v>325459</v>
      </c>
      <c r="H39" s="2482"/>
      <c r="I39" s="2482"/>
    </row>
    <row r="40" spans="2:9" ht="16.5" customHeight="1" x14ac:dyDescent="0.2">
      <c r="B40" s="1443"/>
      <c r="C40" s="2479"/>
      <c r="D40" s="2480"/>
      <c r="E40" s="2480"/>
      <c r="F40" s="2481"/>
      <c r="G40" s="2482"/>
      <c r="H40" s="2482"/>
      <c r="I40" s="2482"/>
    </row>
    <row r="41" spans="2:9" ht="16.5" customHeight="1" x14ac:dyDescent="0.2">
      <c r="B41" s="1443"/>
      <c r="C41" s="2479"/>
      <c r="D41" s="2480"/>
      <c r="E41" s="2480"/>
      <c r="F41" s="2481"/>
      <c r="G41" s="2482"/>
      <c r="H41" s="2482"/>
      <c r="I41" s="2482"/>
    </row>
    <row r="42" spans="2:9" ht="16.5" customHeight="1" x14ac:dyDescent="0.2">
      <c r="B42" s="1443"/>
      <c r="C42" s="2479"/>
      <c r="D42" s="2480"/>
      <c r="E42" s="2480"/>
      <c r="F42" s="2481"/>
      <c r="G42" s="2482"/>
      <c r="H42" s="2482"/>
      <c r="I42" s="2482"/>
    </row>
    <row r="43" spans="2:9" ht="16.5" customHeight="1" x14ac:dyDescent="0.2">
      <c r="B43" s="1443"/>
      <c r="C43" s="2472" t="s">
        <v>1675</v>
      </c>
      <c r="D43" s="2473"/>
      <c r="E43" s="2473"/>
      <c r="F43" s="2474"/>
      <c r="G43" s="2475">
        <f>SUM(G38:I42)</f>
        <v>329876</v>
      </c>
      <c r="H43" s="2475"/>
      <c r="I43" s="2475"/>
    </row>
    <row r="44" spans="2:9" ht="12.75" customHeight="1" x14ac:dyDescent="0.2"/>
    <row r="45" spans="2:9" ht="12.75" customHeight="1" x14ac:dyDescent="0.2">
      <c r="B45" s="1434" t="s">
        <v>1950</v>
      </c>
      <c r="D45" s="2476">
        <v>819725</v>
      </c>
      <c r="E45" s="2477"/>
    </row>
    <row r="46" spans="2:9" ht="5.25" customHeight="1" x14ac:dyDescent="0.2">
      <c r="B46" s="1444"/>
      <c r="D46" s="1445"/>
      <c r="E46" s="1446"/>
    </row>
    <row r="47" spans="2:9" ht="12.75" customHeight="1" x14ac:dyDescent="0.2">
      <c r="B47" s="1299" t="s">
        <v>1676</v>
      </c>
      <c r="C47" s="1299"/>
      <c r="D47" s="1447">
        <f>+G43/D45</f>
        <v>0.4024227637317393</v>
      </c>
      <c r="E47" s="1448"/>
      <c r="F47" s="1449"/>
      <c r="I47" s="1450"/>
    </row>
    <row r="48" spans="2:9" ht="9.9499999999999993" customHeight="1" x14ac:dyDescent="0.2"/>
    <row r="49" spans="1:9" x14ac:dyDescent="0.2">
      <c r="B49" s="1367" t="s">
        <v>1335</v>
      </c>
      <c r="C49" s="1281"/>
      <c r="D49" s="1281"/>
      <c r="E49" s="2478">
        <v>750000</v>
      </c>
      <c r="F49" s="2478"/>
      <c r="G49" s="2478"/>
      <c r="H49" s="322"/>
    </row>
    <row r="51" spans="1:9" ht="13.5" customHeight="1" x14ac:dyDescent="0.2">
      <c r="B51" s="1367" t="s">
        <v>1334</v>
      </c>
      <c r="C51" s="1281"/>
      <c r="E51" s="1437"/>
      <c r="F51" s="1299" t="s">
        <v>940</v>
      </c>
      <c r="G51" s="1437" t="s">
        <v>2075</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1853</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1854</v>
      </c>
      <c r="C58" s="1463"/>
      <c r="D58" s="1463"/>
    </row>
    <row r="59" spans="1:9" s="1460" customFormat="1" ht="3.95" customHeight="1" x14ac:dyDescent="0.2">
      <c r="A59" s="1457"/>
      <c r="B59" s="1462"/>
      <c r="C59" s="1463"/>
      <c r="D59" s="1463"/>
    </row>
    <row r="60" spans="1:9" s="1460" customFormat="1" ht="13.5" customHeight="1" x14ac:dyDescent="0.2">
      <c r="A60" s="1457"/>
      <c r="B60" s="1462" t="s">
        <v>1855</v>
      </c>
      <c r="C60" s="1463"/>
      <c r="D60" s="1463"/>
    </row>
    <row r="61" spans="1:9" s="1460" customFormat="1" ht="3.95" customHeight="1" x14ac:dyDescent="0.2">
      <c r="A61" s="1457"/>
      <c r="B61" s="1462"/>
      <c r="C61" s="1463"/>
      <c r="D61" s="1463"/>
    </row>
    <row r="62" spans="1:9" s="1460" customFormat="1" ht="12.75" customHeight="1" x14ac:dyDescent="0.2">
      <c r="A62" s="1457"/>
      <c r="B62" s="1462" t="s">
        <v>1856</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&amp;LSee Notes to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Wesclin CUSD 3</v>
      </c>
      <c r="C1" s="2483"/>
      <c r="D1" s="2483"/>
      <c r="E1" s="2483"/>
      <c r="F1" s="2483"/>
      <c r="G1" s="2483"/>
      <c r="H1" s="2483"/>
      <c r="I1" s="2483"/>
      <c r="J1" s="2483"/>
      <c r="K1" s="2483"/>
      <c r="L1" s="1373"/>
      <c r="M1" s="1373"/>
    </row>
    <row r="2" spans="1:13" ht="12" customHeight="1" x14ac:dyDescent="0.2">
      <c r="B2" s="2485">
        <f>'Single Audit Cover'!E7</f>
        <v>13014003026</v>
      </c>
      <c r="C2" s="2485"/>
      <c r="D2" s="2485"/>
      <c r="E2" s="2485"/>
      <c r="F2" s="2485"/>
      <c r="G2" s="2485"/>
      <c r="H2" s="2485"/>
      <c r="I2" s="2485"/>
      <c r="J2" s="2485"/>
      <c r="K2" s="2485"/>
      <c r="L2" s="1374"/>
      <c r="M2" s="1375"/>
    </row>
    <row r="3" spans="1:13" ht="10.35" customHeight="1" x14ac:dyDescent="0.2">
      <c r="B3" s="2499" t="s">
        <v>1347</v>
      </c>
      <c r="C3" s="2499"/>
      <c r="D3" s="2499"/>
      <c r="E3" s="2499"/>
      <c r="F3" s="2499"/>
      <c r="G3" s="2499"/>
      <c r="H3" s="2499"/>
      <c r="I3" s="2499"/>
      <c r="J3" s="2499"/>
      <c r="K3" s="2499"/>
      <c r="L3" s="1376"/>
      <c r="M3" s="1376"/>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0" t="s">
        <v>1363</v>
      </c>
      <c r="C7" s="2500"/>
      <c r="D7" s="2501"/>
      <c r="E7" s="2501"/>
      <c r="F7" s="2501"/>
      <c r="G7" s="2501"/>
      <c r="H7" s="2501"/>
      <c r="I7" s="2501"/>
      <c r="J7" s="2501"/>
      <c r="K7" s="250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v>1</v>
      </c>
      <c r="E10" s="322"/>
      <c r="F10" s="1386" t="s">
        <v>1362</v>
      </c>
      <c r="G10" s="1387"/>
      <c r="H10" s="1388" t="s">
        <v>1361</v>
      </c>
      <c r="I10" s="1387" t="s">
        <v>2157</v>
      </c>
      <c r="J10" s="1389" t="s">
        <v>1360</v>
      </c>
      <c r="K10" s="322"/>
      <c r="L10" s="1380"/>
    </row>
    <row r="11" spans="1:13" ht="13.5" customHeight="1" x14ac:dyDescent="0.2">
      <c r="B11" s="322"/>
      <c r="C11" s="322"/>
      <c r="D11" s="322"/>
      <c r="E11" s="322"/>
      <c r="F11" s="322"/>
      <c r="G11" s="1382"/>
      <c r="H11" s="322"/>
      <c r="I11" s="1390" t="s">
        <v>1359</v>
      </c>
      <c r="J11" s="322"/>
      <c r="K11" s="1391">
        <v>2016</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8" t="s">
        <v>2158</v>
      </c>
      <c r="C14" s="2498"/>
      <c r="D14" s="2498"/>
      <c r="E14" s="2498"/>
      <c r="F14" s="2498"/>
      <c r="G14" s="2498"/>
      <c r="H14" s="2498"/>
      <c r="I14" s="2498"/>
      <c r="J14" s="2498"/>
      <c r="K14" s="2498"/>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8" t="s">
        <v>2159</v>
      </c>
      <c r="C17" s="2498"/>
      <c r="D17" s="2498"/>
      <c r="E17" s="2498"/>
      <c r="F17" s="2498"/>
      <c r="G17" s="2498"/>
      <c r="H17" s="2498"/>
      <c r="I17" s="2498"/>
      <c r="J17" s="2498"/>
      <c r="K17" s="2498"/>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502" t="s">
        <v>2160</v>
      </c>
      <c r="C20" s="2502"/>
      <c r="D20" s="2498"/>
      <c r="E20" s="2498"/>
      <c r="F20" s="2498"/>
      <c r="G20" s="2498"/>
      <c r="H20" s="2498"/>
      <c r="I20" s="2498"/>
      <c r="J20" s="2498"/>
      <c r="K20" s="249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8" t="s">
        <v>2159</v>
      </c>
      <c r="C23" s="2498"/>
      <c r="D23" s="2498"/>
      <c r="E23" s="2498"/>
      <c r="F23" s="2498"/>
      <c r="G23" s="2498"/>
      <c r="H23" s="2498"/>
      <c r="I23" s="2498"/>
      <c r="J23" s="2498"/>
      <c r="K23" s="249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8" t="s">
        <v>2161</v>
      </c>
      <c r="C26" s="2498"/>
      <c r="D26" s="2498"/>
      <c r="E26" s="2498"/>
      <c r="F26" s="2498"/>
      <c r="G26" s="2498"/>
      <c r="H26" s="2498"/>
      <c r="I26" s="2498"/>
      <c r="J26" s="2498"/>
      <c r="K26" s="249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7" t="s">
        <v>2162</v>
      </c>
      <c r="C29" s="2497"/>
      <c r="D29" s="2498"/>
      <c r="E29" s="2498"/>
      <c r="F29" s="2498"/>
      <c r="G29" s="2498"/>
      <c r="H29" s="2498"/>
      <c r="I29" s="2498"/>
      <c r="J29" s="2498"/>
      <c r="K29" s="249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497" t="s">
        <v>2163</v>
      </c>
      <c r="C32" s="2497"/>
      <c r="D32" s="2498"/>
      <c r="E32" s="2498"/>
      <c r="F32" s="2498"/>
      <c r="G32" s="2498"/>
      <c r="H32" s="2498"/>
      <c r="I32" s="2498"/>
      <c r="J32" s="2498"/>
      <c r="K32" s="249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Wesclin CUSD 3</v>
      </c>
      <c r="C1" s="2506"/>
      <c r="D1" s="2506"/>
      <c r="E1" s="2506"/>
      <c r="F1" s="2506"/>
      <c r="G1" s="2506"/>
      <c r="H1" s="2506"/>
      <c r="I1" s="2506"/>
      <c r="J1" s="2506"/>
      <c r="K1" s="2506"/>
      <c r="L1" s="1464"/>
    </row>
    <row r="2" spans="1:12" ht="12.75" customHeight="1" x14ac:dyDescent="0.2">
      <c r="B2" s="2507">
        <f>'Single Audit Cover'!E7</f>
        <v>13014003026</v>
      </c>
      <c r="C2" s="2507"/>
      <c r="D2" s="2507"/>
      <c r="E2" s="2507"/>
      <c r="F2" s="2507"/>
      <c r="G2" s="2507"/>
      <c r="H2" s="2507"/>
      <c r="I2" s="2507"/>
      <c r="J2" s="2507"/>
      <c r="K2" s="2507"/>
      <c r="L2" s="1465"/>
    </row>
    <row r="3" spans="1:12" ht="12.75" customHeight="1" x14ac:dyDescent="0.2">
      <c r="B3" s="2499" t="s">
        <v>1347</v>
      </c>
      <c r="C3" s="2499"/>
      <c r="D3" s="2499"/>
      <c r="E3" s="2499"/>
      <c r="F3" s="2499"/>
      <c r="G3" s="2499"/>
      <c r="H3" s="2499"/>
      <c r="I3" s="2499"/>
      <c r="J3" s="2499"/>
      <c r="K3" s="2499"/>
      <c r="L3" s="1376"/>
    </row>
    <row r="4" spans="1:12" ht="12.75" customHeight="1" x14ac:dyDescent="0.2">
      <c r="B4" s="2499" t="str">
        <f>'Single Audit Cover'!A4</f>
        <v>Year Ending June 30, 2018</v>
      </c>
      <c r="C4" s="2499"/>
      <c r="D4" s="2499"/>
      <c r="E4" s="2499"/>
      <c r="F4" s="2499"/>
      <c r="G4" s="2499"/>
      <c r="H4" s="2499"/>
      <c r="I4" s="2499"/>
      <c r="J4" s="2499"/>
      <c r="K4" s="2499"/>
      <c r="L4" s="1376"/>
    </row>
    <row r="5" spans="1:12" ht="5.25" customHeight="1" x14ac:dyDescent="0.2">
      <c r="B5" s="1259" t="s">
        <v>1231</v>
      </c>
      <c r="C5" s="1259"/>
      <c r="L5" s="322"/>
    </row>
    <row r="6" spans="1:12" ht="30.75" customHeight="1" x14ac:dyDescent="0.2">
      <c r="A6" s="322"/>
      <c r="B6" s="2508" t="s">
        <v>1375</v>
      </c>
      <c r="C6" s="2508"/>
      <c r="D6" s="2508"/>
      <c r="E6" s="2508"/>
      <c r="F6" s="2508"/>
      <c r="G6" s="2508"/>
      <c r="H6" s="2508"/>
      <c r="I6" s="2508"/>
      <c r="J6" s="2508"/>
      <c r="K6" s="2508"/>
      <c r="L6" s="322"/>
    </row>
    <row r="7" spans="1:12" ht="4.5" customHeight="1" x14ac:dyDescent="0.2">
      <c r="B7" s="1378"/>
      <c r="C7" s="1378"/>
      <c r="D7" s="1378"/>
      <c r="E7" s="1378"/>
      <c r="F7" s="1378"/>
      <c r="G7" s="1379"/>
      <c r="H7" s="1378"/>
      <c r="I7" s="1379"/>
      <c r="J7" s="1378"/>
      <c r="K7" s="1378"/>
      <c r="L7" s="322"/>
    </row>
    <row r="8" spans="1:12" ht="13.5" customHeight="1" x14ac:dyDescent="0.2">
      <c r="B8" s="1386" t="s">
        <v>1857</v>
      </c>
      <c r="C8" s="1466" t="s">
        <v>1951</v>
      </c>
      <c r="D8" s="1467" t="s">
        <v>2131</v>
      </c>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0"/>
      <c r="G12" s="2490"/>
      <c r="H12" s="2490"/>
      <c r="I12" s="2490"/>
      <c r="J12" s="2490"/>
      <c r="K12" s="2490"/>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3"/>
      <c r="E14" s="2503"/>
      <c r="F14" s="2503"/>
      <c r="H14" s="1474" t="s">
        <v>1370</v>
      </c>
      <c r="I14" s="2504"/>
      <c r="J14" s="2504"/>
      <c r="K14" s="2504"/>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4"/>
      <c r="E16" s="2504"/>
      <c r="F16" s="2504"/>
      <c r="G16" s="2504"/>
      <c r="H16" s="2504"/>
      <c r="I16" s="2504"/>
      <c r="J16" s="2504"/>
      <c r="K16" s="2504"/>
      <c r="L16" s="322"/>
    </row>
    <row r="17" spans="2:12" ht="13.5" customHeight="1" x14ac:dyDescent="0.2">
      <c r="B17" s="1386" t="s">
        <v>1368</v>
      </c>
      <c r="C17" s="1386"/>
      <c r="D17" s="2505"/>
      <c r="E17" s="2505"/>
      <c r="F17" s="2505"/>
      <c r="G17" s="2505"/>
      <c r="H17" s="2505"/>
      <c r="I17" s="2505"/>
      <c r="J17" s="2505"/>
      <c r="K17" s="2505"/>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8"/>
      <c r="C20" s="2498"/>
      <c r="D20" s="2498"/>
      <c r="E20" s="2498"/>
      <c r="F20" s="2498"/>
      <c r="G20" s="2498"/>
      <c r="H20" s="2498"/>
      <c r="I20" s="2498"/>
      <c r="J20" s="2498"/>
      <c r="K20" s="2498"/>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1858</v>
      </c>
      <c r="C22" s="1476"/>
      <c r="D22" s="322"/>
      <c r="E22" s="322"/>
      <c r="F22" s="322"/>
      <c r="G22" s="1382"/>
      <c r="H22" s="322"/>
      <c r="I22" s="1382"/>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1859</v>
      </c>
      <c r="C25" s="1476"/>
      <c r="D25" s="322"/>
      <c r="E25" s="322"/>
      <c r="F25" s="322"/>
      <c r="G25" s="1382"/>
      <c r="H25" s="322"/>
      <c r="I25" s="1382"/>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1860</v>
      </c>
      <c r="C28" s="1476"/>
      <c r="D28" s="322"/>
      <c r="E28" s="322"/>
      <c r="F28" s="322"/>
      <c r="G28" s="1382"/>
      <c r="H28" s="322"/>
      <c r="I28" s="1382"/>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1861</v>
      </c>
      <c r="C40" s="1402"/>
      <c r="D40" s="1377"/>
      <c r="E40" s="1378"/>
      <c r="F40" s="1378"/>
      <c r="G40" s="1379"/>
      <c r="H40" s="1378"/>
      <c r="I40" s="1379"/>
      <c r="J40" s="1378"/>
      <c r="K40" s="1378"/>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1862</v>
      </c>
      <c r="C48" s="1418"/>
      <c r="D48" s="322"/>
      <c r="E48" s="322"/>
      <c r="F48" s="322"/>
    </row>
    <row r="49" spans="2:3" s="317" customFormat="1" ht="10.5" customHeight="1" x14ac:dyDescent="0.2">
      <c r="B49" s="1419" t="s">
        <v>1863</v>
      </c>
      <c r="C49" s="1419"/>
    </row>
    <row r="50" spans="2:3" s="317" customFormat="1" ht="11.1" customHeight="1" x14ac:dyDescent="0.2">
      <c r="B50" s="1419" t="s">
        <v>1864</v>
      </c>
      <c r="C50" s="1419"/>
    </row>
    <row r="51" spans="2:3" s="317" customFormat="1" ht="11.1" customHeight="1" x14ac:dyDescent="0.2">
      <c r="B51" s="1419" t="s">
        <v>1865</v>
      </c>
      <c r="C51" s="1419"/>
    </row>
    <row r="52" spans="2:3" s="317" customFormat="1" ht="11.1" customHeight="1" x14ac:dyDescent="0.2">
      <c r="B52" s="1419" t="s">
        <v>1866</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scale="99" firstPageNumber="42" orientation="portrait" useFirstPageNumber="1" r:id="rId1"/>
  <headerFooter alignWithMargins="0">
    <oddHeader>&amp;L&amp;8Page 44&amp;R&amp;8Page 44</oddHeader>
    <oddFooter>&amp;LSee Notes to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3" t="str">
        <f>'Single Audit Cover'!A7</f>
        <v>Wesclin CUSD 3</v>
      </c>
      <c r="C1" s="2483"/>
      <c r="D1" s="2483"/>
      <c r="E1" s="1490"/>
    </row>
    <row r="2" spans="2:5" s="1281" customFormat="1" ht="12.75" customHeight="1" x14ac:dyDescent="0.2">
      <c r="B2" s="2485">
        <f>'Single Audit Cover'!E7</f>
        <v>13014003026</v>
      </c>
      <c r="C2" s="2485"/>
      <c r="D2" s="2485"/>
      <c r="E2" s="1491"/>
    </row>
    <row r="3" spans="2:5" ht="12.75" customHeight="1" x14ac:dyDescent="0.2">
      <c r="B3" s="2499" t="s">
        <v>1867</v>
      </c>
      <c r="C3" s="2499"/>
      <c r="D3" s="2499"/>
      <c r="E3" s="1273"/>
    </row>
    <row r="4" spans="2:5" s="1281" customFormat="1" ht="12.75" customHeight="1" x14ac:dyDescent="0.2">
      <c r="B4" s="2509" t="str">
        <f>'Single Audit Cover'!A4</f>
        <v>Year Ending June 30, 2018</v>
      </c>
      <c r="C4" s="2509"/>
      <c r="D4" s="2509"/>
      <c r="E4" s="1492"/>
    </row>
    <row r="5" spans="2:5" s="1281" customFormat="1" ht="40.15" customHeight="1" x14ac:dyDescent="0.2">
      <c r="B5" s="1493" t="s">
        <v>1868</v>
      </c>
      <c r="C5" s="328"/>
      <c r="D5" s="328"/>
      <c r="E5" s="328"/>
    </row>
    <row r="6" spans="2:5" s="1281" customFormat="1" ht="13.5" customHeight="1" x14ac:dyDescent="0.2">
      <c r="B6" s="1494" t="s">
        <v>1382</v>
      </c>
      <c r="C6" s="1494" t="s">
        <v>1381</v>
      </c>
      <c r="D6" s="1494" t="s">
        <v>1869</v>
      </c>
    </row>
    <row r="7" spans="2:5" ht="13.5" customHeight="1" x14ac:dyDescent="0.2">
      <c r="B7" s="1495"/>
      <c r="C7" s="324"/>
      <c r="D7" s="324"/>
      <c r="E7" s="324"/>
    </row>
    <row r="8" spans="2:5" ht="13.5" customHeight="1" x14ac:dyDescent="0.2">
      <c r="B8" s="1495" t="s">
        <v>2164</v>
      </c>
      <c r="C8" s="324" t="s">
        <v>2165</v>
      </c>
      <c r="D8" s="324" t="s">
        <v>2167</v>
      </c>
      <c r="E8" s="324"/>
    </row>
    <row r="9" spans="2:5" ht="13.5" customHeight="1" x14ac:dyDescent="0.2">
      <c r="B9" s="1496"/>
      <c r="C9" s="323" t="s">
        <v>2166</v>
      </c>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1870</v>
      </c>
    </row>
    <row r="46" spans="2:5" ht="12.2" customHeight="1" x14ac:dyDescent="0.2">
      <c r="B46" s="1504" t="s">
        <v>1871</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140371064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2.24E-2</v>
      </c>
      <c r="E10" s="356" t="s">
        <v>1062</v>
      </c>
      <c r="F10" s="355">
        <v>5.0000000000000001E-3</v>
      </c>
      <c r="G10" s="356" t="s">
        <v>1062</v>
      </c>
      <c r="H10" s="355">
        <v>2E-3</v>
      </c>
      <c r="I10" s="356" t="s">
        <v>1063</v>
      </c>
      <c r="J10" s="1753">
        <f>ROUND(D10+F10+H10,5)</f>
        <v>2.9399999999999999E-2</v>
      </c>
      <c r="K10" s="222"/>
      <c r="L10" s="355">
        <v>5.0000000000000001E-4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10863886</v>
      </c>
      <c r="E16" s="356"/>
      <c r="F16" s="1754">
        <f>SUM('Acct Summary 7-8'!C17,'Acct Summary 7-8'!D17,'Acct Summary 7-8'!F17)</f>
        <v>10634172</v>
      </c>
      <c r="G16" s="356"/>
      <c r="H16" s="1754">
        <f>SUM(D16-F16)</f>
        <v>229714</v>
      </c>
      <c r="I16" s="222"/>
      <c r="J16" s="1754">
        <f>SUM('Acct Summary 7-8'!C81,'Acct Summary 7-8'!D81,'Acct Summary 7-8'!F81,'Acct Summary 7-8'!I81)</f>
        <v>2898620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19371206.832000002</v>
      </c>
      <c r="I31" s="368"/>
      <c r="J31" s="222"/>
      <c r="K31" s="222"/>
      <c r="L31" s="222"/>
      <c r="M31" s="222"/>
    </row>
    <row r="32" spans="1:13" ht="13.35" customHeight="1" x14ac:dyDescent="0.2">
      <c r="B32" s="369" t="s">
        <v>2075</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9505000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Wesclin CUSD 3</v>
      </c>
      <c r="E7" s="391"/>
      <c r="G7" s="252"/>
      <c r="H7" s="387"/>
      <c r="I7" s="387"/>
      <c r="J7" s="387"/>
      <c r="K7" s="387"/>
      <c r="L7" s="329"/>
      <c r="M7" s="329"/>
      <c r="N7" s="329"/>
      <c r="O7" s="329"/>
      <c r="P7" s="329"/>
    </row>
    <row r="8" spans="1:18" ht="12.75" x14ac:dyDescent="0.2">
      <c r="A8" s="329"/>
      <c r="B8" s="329"/>
      <c r="C8" s="389" t="s">
        <v>1187</v>
      </c>
      <c r="D8" s="392">
        <f>COVER!A13</f>
        <v>13014003026</v>
      </c>
      <c r="E8" s="393"/>
      <c r="G8" s="329"/>
      <c r="H8" s="329"/>
      <c r="I8" s="329"/>
      <c r="J8" s="329"/>
      <c r="K8" s="329"/>
      <c r="L8" s="329"/>
      <c r="M8" s="329"/>
      <c r="N8" s="329"/>
      <c r="O8" s="329"/>
      <c r="P8" s="329"/>
    </row>
    <row r="9" spans="1:18" ht="12.75" x14ac:dyDescent="0.2">
      <c r="A9" s="329"/>
      <c r="B9" s="329"/>
      <c r="C9" s="389" t="s">
        <v>737</v>
      </c>
      <c r="D9" s="394" t="str">
        <f>COVER!A15</f>
        <v>Clinton / 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2898620</v>
      </c>
      <c r="I12" s="404"/>
      <c r="J12" s="404"/>
      <c r="K12" s="405">
        <f>TRUNC((H12/H13*100000),5)/100000</f>
        <v>0.26681244630000001</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10863886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10634172</v>
      </c>
      <c r="I17" s="404"/>
      <c r="J17" s="416"/>
      <c r="K17" s="405">
        <f>TRUNC((H17/H18*100000),5)/100000</f>
        <v>0.97885526410000001</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10863886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2898620</v>
      </c>
      <c r="I24" s="422"/>
      <c r="J24" s="422"/>
      <c r="K24" s="423">
        <f>TRUNC(((H24/H25*100000)/100000),2)</f>
        <v>98.12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29539.366669999999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3507872.8893599999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9505000</v>
      </c>
      <c r="I32" s="420"/>
      <c r="J32" s="420"/>
      <c r="K32" s="423">
        <f>TRUNC(100-((((H32/H33*100))*100)/100),2)</f>
        <v>50.93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19371206.832000002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80"/>
      <c r="D3" s="1581"/>
      <c r="E3" s="1581"/>
      <c r="F3" s="1581"/>
      <c r="G3" s="1581"/>
      <c r="H3" s="1581"/>
      <c r="I3" s="1581"/>
      <c r="J3" s="1581"/>
      <c r="K3" s="1581"/>
      <c r="L3" s="1581"/>
      <c r="M3" s="1582"/>
      <c r="N3" s="1583"/>
    </row>
    <row r="4" spans="1:14" ht="13.5" customHeight="1" x14ac:dyDescent="0.2">
      <c r="A4" s="463" t="s">
        <v>1750</v>
      </c>
      <c r="B4" s="464"/>
      <c r="C4" s="465">
        <v>9301</v>
      </c>
      <c r="D4" s="466">
        <v>374132</v>
      </c>
      <c r="E4" s="466"/>
      <c r="F4" s="466">
        <f>407303+914</f>
        <v>408217</v>
      </c>
      <c r="G4" s="466">
        <v>23644</v>
      </c>
      <c r="H4" s="466"/>
      <c r="I4" s="466">
        <v>2440</v>
      </c>
      <c r="J4" s="467"/>
      <c r="K4" s="466">
        <v>2440</v>
      </c>
      <c r="L4" s="466">
        <v>151482</v>
      </c>
      <c r="M4" s="468"/>
      <c r="N4" s="469"/>
    </row>
    <row r="5" spans="1:14" x14ac:dyDescent="0.2">
      <c r="A5" s="463" t="s">
        <v>1049</v>
      </c>
      <c r="B5" s="470">
        <v>120</v>
      </c>
      <c r="C5" s="465">
        <v>201803</v>
      </c>
      <c r="D5" s="466">
        <v>306293</v>
      </c>
      <c r="E5" s="466">
        <v>2931</v>
      </c>
      <c r="F5" s="466">
        <v>279190</v>
      </c>
      <c r="G5" s="466">
        <v>259723</v>
      </c>
      <c r="H5" s="466"/>
      <c r="I5" s="466">
        <v>1317244</v>
      </c>
      <c r="J5" s="467">
        <v>106471</v>
      </c>
      <c r="K5" s="471">
        <v>643535</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211104</v>
      </c>
      <c r="D13" s="1758">
        <f t="shared" ref="D13:L13" si="0">SUM(D4:D12)</f>
        <v>680425</v>
      </c>
      <c r="E13" s="1758">
        <f t="shared" si="0"/>
        <v>2931</v>
      </c>
      <c r="F13" s="1758">
        <f t="shared" si="0"/>
        <v>687407</v>
      </c>
      <c r="G13" s="1758">
        <f t="shared" si="0"/>
        <v>283367</v>
      </c>
      <c r="H13" s="1758">
        <f t="shared" si="0"/>
        <v>0</v>
      </c>
      <c r="I13" s="1758">
        <f t="shared" si="0"/>
        <v>1319684</v>
      </c>
      <c r="J13" s="1758">
        <f t="shared" si="0"/>
        <v>106471</v>
      </c>
      <c r="K13" s="1758">
        <f t="shared" si="0"/>
        <v>645975</v>
      </c>
      <c r="L13" s="1758">
        <f t="shared" si="0"/>
        <v>151482</v>
      </c>
      <c r="M13" s="468"/>
      <c r="N13" s="469"/>
    </row>
    <row r="14" spans="1:14" ht="18" customHeight="1" thickTop="1" x14ac:dyDescent="0.2">
      <c r="A14" s="2133" t="s">
        <v>149</v>
      </c>
      <c r="B14" s="2134"/>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509337</v>
      </c>
      <c r="N16" s="484"/>
    </row>
    <row r="17" spans="1:14" s="485" customFormat="1" ht="12.75" customHeight="1" x14ac:dyDescent="0.2">
      <c r="A17" s="482" t="s">
        <v>1470</v>
      </c>
      <c r="B17" s="483">
        <v>230</v>
      </c>
      <c r="C17" s="477"/>
      <c r="D17" s="477"/>
      <c r="E17" s="477"/>
      <c r="F17" s="477"/>
      <c r="G17" s="477"/>
      <c r="H17" s="477"/>
      <c r="I17" s="477"/>
      <c r="J17" s="477"/>
      <c r="K17" s="477"/>
      <c r="L17" s="477"/>
      <c r="M17" s="467">
        <v>36484393</v>
      </c>
      <c r="N17" s="484"/>
    </row>
    <row r="18" spans="1:14" s="485" customFormat="1" ht="12.75" customHeight="1" x14ac:dyDescent="0.2">
      <c r="A18" s="482" t="s">
        <v>1471</v>
      </c>
      <c r="B18" s="483">
        <v>240</v>
      </c>
      <c r="C18" s="477"/>
      <c r="D18" s="477"/>
      <c r="E18" s="477"/>
      <c r="F18" s="477"/>
      <c r="G18" s="477"/>
      <c r="H18" s="477"/>
      <c r="I18" s="477"/>
      <c r="J18" s="477"/>
      <c r="K18" s="477"/>
      <c r="L18" s="477"/>
      <c r="M18" s="467">
        <v>865261</v>
      </c>
      <c r="N18" s="484"/>
    </row>
    <row r="19" spans="1:14" s="485" customFormat="1" ht="12.75" customHeight="1" x14ac:dyDescent="0.2">
      <c r="A19" s="482" t="s">
        <v>1472</v>
      </c>
      <c r="B19" s="483">
        <v>250</v>
      </c>
      <c r="C19" s="477"/>
      <c r="D19" s="477"/>
      <c r="E19" s="477"/>
      <c r="F19" s="477"/>
      <c r="G19" s="477"/>
      <c r="H19" s="477"/>
      <c r="I19" s="477"/>
      <c r="J19" s="477"/>
      <c r="K19" s="477"/>
      <c r="L19" s="477"/>
      <c r="M19" s="467">
        <v>4816884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2931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9502069</v>
      </c>
    </row>
    <row r="23" spans="1:14" ht="13.5" customHeight="1" thickBot="1" x14ac:dyDescent="0.25">
      <c r="A23" s="1757" t="s">
        <v>664</v>
      </c>
      <c r="B23" s="1762"/>
      <c r="C23" s="468"/>
      <c r="D23" s="468"/>
      <c r="E23" s="468"/>
      <c r="F23" s="468"/>
      <c r="G23" s="468"/>
      <c r="H23" s="468"/>
      <c r="I23" s="468"/>
      <c r="J23" s="468"/>
      <c r="K23" s="468"/>
      <c r="L23" s="468"/>
      <c r="M23" s="1709">
        <f>SUM(M15:M22)</f>
        <v>42675875</v>
      </c>
      <c r="N23" s="1709">
        <f>SUM(N21:N22)</f>
        <v>9505000</v>
      </c>
    </row>
    <row r="24" spans="1:14" ht="18" customHeight="1" thickTop="1" x14ac:dyDescent="0.2">
      <c r="A24" s="2135" t="s">
        <v>619</v>
      </c>
      <c r="B24" s="2136"/>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151482</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151482</v>
      </c>
      <c r="M34" s="468"/>
      <c r="N34" s="480"/>
    </row>
    <row r="35" spans="1:14" ht="18" customHeight="1" thickTop="1" x14ac:dyDescent="0.2">
      <c r="A35" s="2137" t="s">
        <v>550</v>
      </c>
      <c r="B35" s="2138"/>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9505000</v>
      </c>
    </row>
    <row r="37" spans="1:14" ht="13.5" thickBot="1" x14ac:dyDescent="0.25">
      <c r="A37" s="1757" t="s">
        <v>674</v>
      </c>
      <c r="B37" s="1762"/>
      <c r="C37" s="477"/>
      <c r="D37" s="477"/>
      <c r="E37" s="477"/>
      <c r="F37" s="477"/>
      <c r="G37" s="477"/>
      <c r="H37" s="477"/>
      <c r="I37" s="477"/>
      <c r="J37" s="477"/>
      <c r="K37" s="477"/>
      <c r="L37" s="480"/>
      <c r="M37" s="468"/>
      <c r="N37" s="1709">
        <f>SUM(N36:N36)</f>
        <v>9505000</v>
      </c>
    </row>
    <row r="38" spans="1:14" s="329" customFormat="1" ht="13.5" customHeight="1" thickTop="1" x14ac:dyDescent="0.2">
      <c r="A38" s="496" t="s">
        <v>440</v>
      </c>
      <c r="B38" s="483">
        <v>714</v>
      </c>
      <c r="C38" s="466">
        <v>146407</v>
      </c>
      <c r="D38" s="466">
        <v>22994</v>
      </c>
      <c r="E38" s="466"/>
      <c r="F38" s="466"/>
      <c r="G38" s="466"/>
      <c r="H38" s="466"/>
      <c r="I38" s="466"/>
      <c r="J38" s="467">
        <v>106471</v>
      </c>
      <c r="K38" s="466">
        <v>645975</v>
      </c>
      <c r="L38" s="481"/>
      <c r="M38" s="497"/>
      <c r="N38" s="497"/>
    </row>
    <row r="39" spans="1:14" s="329" customFormat="1" ht="13.5" customHeight="1" x14ac:dyDescent="0.2">
      <c r="A39" s="496" t="s">
        <v>360</v>
      </c>
      <c r="B39" s="483">
        <v>730</v>
      </c>
      <c r="C39" s="466">
        <f>211104-C38</f>
        <v>64697</v>
      </c>
      <c r="D39" s="466">
        <f>680425-D38</f>
        <v>657431</v>
      </c>
      <c r="E39" s="466">
        <v>2931</v>
      </c>
      <c r="F39" s="466">
        <v>687407</v>
      </c>
      <c r="G39" s="466">
        <v>283367</v>
      </c>
      <c r="H39" s="466">
        <v>0</v>
      </c>
      <c r="I39" s="466">
        <v>1319684</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42675875</v>
      </c>
      <c r="N40" s="497"/>
    </row>
    <row r="41" spans="1:14" ht="13.5" customHeight="1" thickBot="1" x14ac:dyDescent="0.25">
      <c r="A41" s="1757" t="s">
        <v>676</v>
      </c>
      <c r="B41" s="1727"/>
      <c r="C41" s="1709">
        <f>(SUM(C34,C37,C38,C39))</f>
        <v>211104</v>
      </c>
      <c r="D41" s="1709">
        <f t="shared" ref="D41:L41" si="2">SUM(D34,D37,D38:D39)</f>
        <v>680425</v>
      </c>
      <c r="E41" s="1709">
        <f t="shared" si="2"/>
        <v>2931</v>
      </c>
      <c r="F41" s="1709">
        <f t="shared" si="2"/>
        <v>687407</v>
      </c>
      <c r="G41" s="1709">
        <f t="shared" si="2"/>
        <v>283367</v>
      </c>
      <c r="H41" s="1709">
        <f t="shared" si="2"/>
        <v>0</v>
      </c>
      <c r="I41" s="1709">
        <f t="shared" si="2"/>
        <v>1319684</v>
      </c>
      <c r="J41" s="1709">
        <f t="shared" si="2"/>
        <v>106471</v>
      </c>
      <c r="K41" s="1709">
        <f t="shared" si="2"/>
        <v>645975</v>
      </c>
      <c r="L41" s="1709">
        <f t="shared" si="2"/>
        <v>151482</v>
      </c>
      <c r="M41" s="1709">
        <f>SUM(M40)</f>
        <v>42675875</v>
      </c>
      <c r="N41" s="1709">
        <f>SUM(N37)</f>
        <v>9505000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94"/>
      <c r="D3" s="1595"/>
      <c r="E3" s="1595"/>
      <c r="F3" s="1595"/>
      <c r="G3" s="1595"/>
      <c r="H3" s="1595"/>
      <c r="I3" s="1595"/>
      <c r="J3" s="1595"/>
      <c r="K3" s="1596"/>
      <c r="L3" s="506"/>
    </row>
    <row r="4" spans="1:13" ht="15.75" customHeight="1" x14ac:dyDescent="0.2">
      <c r="A4" s="1952" t="s">
        <v>1579</v>
      </c>
      <c r="B4" s="1953">
        <v>1000</v>
      </c>
      <c r="C4" s="1763">
        <f>'Revenues 9-14'!C109</f>
        <v>3927562</v>
      </c>
      <c r="D4" s="1763">
        <f>'Revenues 9-14'!D109</f>
        <v>733138</v>
      </c>
      <c r="E4" s="1763">
        <f>'Revenues 9-14'!E109</f>
        <v>930300</v>
      </c>
      <c r="F4" s="1763">
        <f>'Revenues 9-14'!F109</f>
        <v>277070</v>
      </c>
      <c r="G4" s="1763">
        <f>'Revenues 9-14'!G109</f>
        <v>446868</v>
      </c>
      <c r="H4" s="1763">
        <f>'Revenues 9-14'!H109</f>
        <v>0</v>
      </c>
      <c r="I4" s="1763">
        <f>'Revenues 9-14'!I109</f>
        <v>74372</v>
      </c>
      <c r="J4" s="1763">
        <f>'Revenues 9-14'!J109</f>
        <v>602466</v>
      </c>
      <c r="K4" s="1763">
        <f>'Revenues 9-14'!K109</f>
        <v>71145</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4749796</v>
      </c>
      <c r="D6" s="1764">
        <f>'Revenues 9-14'!D173</f>
        <v>0</v>
      </c>
      <c r="E6" s="1764">
        <f>'Revenues 9-14'!E173</f>
        <v>0</v>
      </c>
      <c r="F6" s="1764">
        <f>'Revenues 9-14'!F173</f>
        <v>290597</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811351</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9488709</v>
      </c>
      <c r="D8" s="1709">
        <f t="shared" ref="D8:K8" si="0">SUM(D4:D7)</f>
        <v>733138</v>
      </c>
      <c r="E8" s="1709">
        <f t="shared" si="0"/>
        <v>930300</v>
      </c>
      <c r="F8" s="1709">
        <f t="shared" si="0"/>
        <v>567667</v>
      </c>
      <c r="G8" s="1709">
        <f t="shared" si="0"/>
        <v>446868</v>
      </c>
      <c r="H8" s="1709">
        <f t="shared" si="0"/>
        <v>0</v>
      </c>
      <c r="I8" s="1709">
        <f t="shared" si="0"/>
        <v>74372</v>
      </c>
      <c r="J8" s="1709">
        <f t="shared" si="0"/>
        <v>602466</v>
      </c>
      <c r="K8" s="1709">
        <f t="shared" si="0"/>
        <v>71145</v>
      </c>
      <c r="L8" s="347"/>
    </row>
    <row r="9" spans="1:13" ht="15.75" thickTop="1" x14ac:dyDescent="0.2">
      <c r="A9" s="514" t="s">
        <v>1752</v>
      </c>
      <c r="B9" s="515">
        <v>3998</v>
      </c>
      <c r="C9" s="481">
        <v>4768329</v>
      </c>
      <c r="D9" s="516"/>
      <c r="E9" s="481"/>
      <c r="F9" s="481"/>
      <c r="G9" s="517"/>
      <c r="H9" s="481"/>
      <c r="I9" s="509" t="s">
        <v>1231</v>
      </c>
      <c r="J9" s="478"/>
      <c r="K9" s="481"/>
      <c r="L9" s="347"/>
    </row>
    <row r="10" spans="1:13" s="519" customFormat="1" ht="13.5" thickBot="1" x14ac:dyDescent="0.25">
      <c r="A10" s="1757" t="s">
        <v>1235</v>
      </c>
      <c r="B10" s="1730"/>
      <c r="C10" s="1709">
        <f>SUM(C8:C9)</f>
        <v>14257038</v>
      </c>
      <c r="D10" s="1709">
        <f t="shared" ref="D10:K10" si="1">SUM(D8:D9)</f>
        <v>733138</v>
      </c>
      <c r="E10" s="1709">
        <f t="shared" si="1"/>
        <v>930300</v>
      </c>
      <c r="F10" s="1709">
        <f t="shared" si="1"/>
        <v>567667</v>
      </c>
      <c r="G10" s="1709">
        <f t="shared" si="1"/>
        <v>446868</v>
      </c>
      <c r="H10" s="1709">
        <f t="shared" si="1"/>
        <v>0</v>
      </c>
      <c r="I10" s="1709">
        <f t="shared" si="1"/>
        <v>74372</v>
      </c>
      <c r="J10" s="1709">
        <f t="shared" si="1"/>
        <v>602466</v>
      </c>
      <c r="K10" s="1709">
        <f t="shared" si="1"/>
        <v>71145</v>
      </c>
      <c r="L10" s="518"/>
    </row>
    <row r="11" spans="1:13" s="519" customFormat="1" ht="16.7" customHeight="1" thickTop="1" x14ac:dyDescent="0.2">
      <c r="A11" s="2133" t="s">
        <v>1238</v>
      </c>
      <c r="B11" s="2134"/>
      <c r="C11" s="1591"/>
      <c r="D11" s="1592"/>
      <c r="E11" s="1592"/>
      <c r="F11" s="1592"/>
      <c r="G11" s="1592"/>
      <c r="H11" s="1592"/>
      <c r="I11" s="1592"/>
      <c r="J11" s="1592"/>
      <c r="K11" s="1593"/>
      <c r="L11" s="518"/>
    </row>
    <row r="12" spans="1:13" ht="15.75" customHeight="1" x14ac:dyDescent="0.2">
      <c r="A12" s="1597" t="s">
        <v>476</v>
      </c>
      <c r="B12" s="1599">
        <v>1000</v>
      </c>
      <c r="C12" s="1763">
        <f>'Expenditures 15-22'!K33</f>
        <v>6877742</v>
      </c>
      <c r="D12" s="520" t="s">
        <v>1231</v>
      </c>
      <c r="E12" s="468" t="s">
        <v>1231</v>
      </c>
      <c r="F12" s="468" t="s">
        <v>1231</v>
      </c>
      <c r="G12" s="1763">
        <f>'Expenditures 15-22'!K229</f>
        <v>211630</v>
      </c>
      <c r="H12" s="521"/>
      <c r="I12" s="468" t="s">
        <v>1231</v>
      </c>
      <c r="J12" s="468" t="s">
        <v>1231</v>
      </c>
      <c r="K12" s="521" t="s">
        <v>1231</v>
      </c>
      <c r="L12" s="347"/>
    </row>
    <row r="13" spans="1:13" ht="15.75" customHeight="1" x14ac:dyDescent="0.2">
      <c r="A13" s="1597" t="s">
        <v>477</v>
      </c>
      <c r="B13" s="1599">
        <v>2000</v>
      </c>
      <c r="C13" s="1764">
        <f>'Expenditures 15-22'!K74</f>
        <v>2086144</v>
      </c>
      <c r="D13" s="1764">
        <f>'Expenditures 15-22'!K129</f>
        <v>810348</v>
      </c>
      <c r="E13" s="469" t="s">
        <v>1231</v>
      </c>
      <c r="F13" s="1764">
        <f>'Expenditures 15-22'!K184</f>
        <v>420671</v>
      </c>
      <c r="G13" s="1764">
        <f>'Expenditures 15-22'!K279</f>
        <v>209180</v>
      </c>
      <c r="H13" s="1764">
        <f>'Expenditures 15-22'!K303</f>
        <v>0</v>
      </c>
      <c r="I13" s="468" t="s">
        <v>1231</v>
      </c>
      <c r="J13" s="1764">
        <f>'Expenditures 15-22'!K330</f>
        <v>620238</v>
      </c>
      <c r="K13" s="1768">
        <f>'Expenditures 15-22'!K352</f>
        <v>0</v>
      </c>
      <c r="L13" s="347"/>
    </row>
    <row r="14" spans="1:13" ht="15.75" customHeight="1" x14ac:dyDescent="0.2">
      <c r="A14" s="1597" t="s">
        <v>469</v>
      </c>
      <c r="B14" s="1599">
        <v>3000</v>
      </c>
      <c r="C14" s="1764">
        <f>'Expenditures 15-22'!K75</f>
        <v>97330</v>
      </c>
      <c r="D14" s="1764">
        <f>'Expenditures 15-22'!K130</f>
        <v>0</v>
      </c>
      <c r="E14" s="520" t="s">
        <v>1231</v>
      </c>
      <c r="F14" s="1764">
        <f>'Expenditures 15-22'!K185</f>
        <v>0</v>
      </c>
      <c r="G14" s="1764">
        <f>'Expenditures 15-22'!K280</f>
        <v>12993</v>
      </c>
      <c r="H14" s="512"/>
      <c r="I14" s="468" t="s">
        <v>1231</v>
      </c>
      <c r="J14" s="468" t="s">
        <v>1231</v>
      </c>
      <c r="K14" s="512" t="s">
        <v>1231</v>
      </c>
      <c r="L14" s="347"/>
    </row>
    <row r="15" spans="1:13" ht="15.75" customHeight="1" x14ac:dyDescent="0.2">
      <c r="A15" s="1597" t="s">
        <v>109</v>
      </c>
      <c r="B15" s="1599">
        <v>4000</v>
      </c>
      <c r="C15" s="1764">
        <f>'Expenditures 15-22'!K102</f>
        <v>341937</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929903</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9403153</v>
      </c>
      <c r="D17" s="1709">
        <f t="shared" si="2"/>
        <v>810348</v>
      </c>
      <c r="E17" s="1709">
        <f t="shared" si="2"/>
        <v>929903</v>
      </c>
      <c r="F17" s="1709">
        <f t="shared" si="2"/>
        <v>420671</v>
      </c>
      <c r="G17" s="1709">
        <f t="shared" si="2"/>
        <v>433803</v>
      </c>
      <c r="H17" s="1709">
        <f t="shared" si="2"/>
        <v>0</v>
      </c>
      <c r="I17" s="468"/>
      <c r="J17" s="1709">
        <f>SUM(J12:J16)</f>
        <v>620238</v>
      </c>
      <c r="K17" s="1709">
        <f>SUM(K12:K16)</f>
        <v>0</v>
      </c>
      <c r="L17" s="347"/>
    </row>
    <row r="18" spans="1:12" ht="15" customHeight="1" thickTop="1" x14ac:dyDescent="0.2">
      <c r="A18" s="1765" t="s">
        <v>1753</v>
      </c>
      <c r="B18" s="1766">
        <v>4180</v>
      </c>
      <c r="C18" s="1763">
        <f t="shared" ref="C18:H18" si="3">C9</f>
        <v>4768329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14171482</v>
      </c>
      <c r="D19" s="1709">
        <f t="shared" si="4"/>
        <v>810348</v>
      </c>
      <c r="E19" s="1709">
        <f t="shared" si="4"/>
        <v>929903</v>
      </c>
      <c r="F19" s="1709">
        <f t="shared" si="4"/>
        <v>420671</v>
      </c>
      <c r="G19" s="1709">
        <f t="shared" si="4"/>
        <v>433803</v>
      </c>
      <c r="H19" s="1709">
        <f t="shared" si="4"/>
        <v>0</v>
      </c>
      <c r="I19" s="468"/>
      <c r="J19" s="1709">
        <f>SUM(J17:J18)</f>
        <v>620238</v>
      </c>
      <c r="K19" s="1709">
        <f>SUM(K17:K18)</f>
        <v>0</v>
      </c>
      <c r="L19" s="347"/>
    </row>
    <row r="20" spans="1:12" ht="16.5" thickTop="1" thickBot="1" x14ac:dyDescent="0.25">
      <c r="A20" s="2149" t="s">
        <v>1754</v>
      </c>
      <c r="B20" s="2150"/>
      <c r="C20" s="1767">
        <f>C8-C17</f>
        <v>85556</v>
      </c>
      <c r="D20" s="1767">
        <f t="shared" ref="D20:K20" si="5">D8-D17</f>
        <v>-77210</v>
      </c>
      <c r="E20" s="1767">
        <f t="shared" si="5"/>
        <v>397</v>
      </c>
      <c r="F20" s="1767">
        <f t="shared" si="5"/>
        <v>146996</v>
      </c>
      <c r="G20" s="1767">
        <f t="shared" si="5"/>
        <v>13065</v>
      </c>
      <c r="H20" s="1767">
        <f t="shared" si="5"/>
        <v>0</v>
      </c>
      <c r="I20" s="1767">
        <f t="shared" si="5"/>
        <v>74372</v>
      </c>
      <c r="J20" s="1767">
        <f t="shared" si="5"/>
        <v>-17772</v>
      </c>
      <c r="K20" s="1767">
        <f t="shared" si="5"/>
        <v>71145</v>
      </c>
      <c r="L20" s="347"/>
    </row>
    <row r="21" spans="1:12" ht="16.7" customHeight="1" thickTop="1" x14ac:dyDescent="0.2">
      <c r="A21" s="2161" t="s">
        <v>616</v>
      </c>
      <c r="B21" s="2162"/>
      <c r="C21" s="1591"/>
      <c r="D21" s="1592"/>
      <c r="E21" s="1592"/>
      <c r="F21" s="1592"/>
      <c r="G21" s="1592"/>
      <c r="H21" s="1592"/>
      <c r="I21" s="1592"/>
      <c r="J21" s="1592"/>
      <c r="K21" s="1593"/>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1895</v>
      </c>
      <c r="B30" s="527">
        <v>7160</v>
      </c>
      <c r="C30" s="477"/>
      <c r="D30" s="467"/>
      <c r="E30" s="477"/>
      <c r="F30" s="477"/>
      <c r="G30" s="477"/>
      <c r="H30" s="477"/>
      <c r="I30" s="477"/>
      <c r="J30" s="477"/>
      <c r="K30" s="477"/>
      <c r="L30" s="524"/>
    </row>
    <row r="31" spans="1:12" s="485" customFormat="1" ht="26.25" x14ac:dyDescent="0.2">
      <c r="A31" s="1510" t="s">
        <v>1899</v>
      </c>
      <c r="B31" s="527">
        <v>7170</v>
      </c>
      <c r="C31" s="477"/>
      <c r="D31" s="477"/>
      <c r="E31" s="474"/>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3" t="s">
        <v>392</v>
      </c>
      <c r="B44" s="2164"/>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1898</v>
      </c>
      <c r="B52" s="483">
        <v>8160</v>
      </c>
      <c r="C52" s="477"/>
      <c r="D52" s="477"/>
      <c r="E52" s="477"/>
      <c r="F52" s="477"/>
      <c r="G52" s="477"/>
      <c r="H52" s="477"/>
      <c r="I52" s="477"/>
      <c r="J52" s="477"/>
      <c r="K52" s="1764">
        <f>D30</f>
        <v>0</v>
      </c>
      <c r="L52" s="524"/>
    </row>
    <row r="53" spans="1:12" s="485" customFormat="1" ht="26.25" x14ac:dyDescent="0.2">
      <c r="A53" s="1511" t="s">
        <v>1897</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39" t="s">
        <v>460</v>
      </c>
      <c r="B76" s="2140"/>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1" t="s">
        <v>1239</v>
      </c>
      <c r="B77" s="2142"/>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5" t="s">
        <v>618</v>
      </c>
      <c r="B78" s="2146"/>
      <c r="C78" s="1723">
        <f t="shared" ref="C78:K78" si="9">C20+C77</f>
        <v>85556</v>
      </c>
      <c r="D78" s="1723">
        <f t="shared" si="9"/>
        <v>-77210</v>
      </c>
      <c r="E78" s="1723">
        <f t="shared" si="9"/>
        <v>397</v>
      </c>
      <c r="F78" s="1723">
        <f t="shared" si="9"/>
        <v>146996</v>
      </c>
      <c r="G78" s="1723">
        <f t="shared" si="9"/>
        <v>13065</v>
      </c>
      <c r="H78" s="1723">
        <f t="shared" si="9"/>
        <v>0</v>
      </c>
      <c r="I78" s="1723">
        <f t="shared" si="9"/>
        <v>74372</v>
      </c>
      <c r="J78" s="1723">
        <f t="shared" si="9"/>
        <v>-17772</v>
      </c>
      <c r="K78" s="1723">
        <f t="shared" si="9"/>
        <v>71145</v>
      </c>
      <c r="L78" s="533"/>
    </row>
    <row r="79" spans="1:12" ht="13.5" thickTop="1" x14ac:dyDescent="0.2">
      <c r="A79" s="1515" t="s">
        <v>2071</v>
      </c>
      <c r="B79" s="534"/>
      <c r="C79" s="478">
        <v>125548</v>
      </c>
      <c r="D79" s="535">
        <v>757635</v>
      </c>
      <c r="E79" s="535">
        <v>2534</v>
      </c>
      <c r="F79" s="535">
        <v>540411</v>
      </c>
      <c r="G79" s="535">
        <v>270302</v>
      </c>
      <c r="H79" s="535">
        <v>0</v>
      </c>
      <c r="I79" s="535">
        <v>1245312</v>
      </c>
      <c r="J79" s="535">
        <v>124243</v>
      </c>
      <c r="K79" s="535">
        <v>574830</v>
      </c>
      <c r="L79" s="347"/>
    </row>
    <row r="80" spans="1:12" x14ac:dyDescent="0.2">
      <c r="A80" s="2151" t="s">
        <v>1896</v>
      </c>
      <c r="B80" s="2152"/>
      <c r="C80" s="467"/>
      <c r="D80" s="467"/>
      <c r="E80" s="467"/>
      <c r="F80" s="467"/>
      <c r="G80" s="467"/>
      <c r="H80" s="467"/>
      <c r="I80" s="467"/>
      <c r="J80" s="467"/>
      <c r="K80" s="467"/>
      <c r="L80" s="347"/>
    </row>
    <row r="81" spans="1:12" ht="13.5" thickBot="1" x14ac:dyDescent="0.25">
      <c r="A81" s="2143" t="s">
        <v>2072</v>
      </c>
      <c r="B81" s="2144"/>
      <c r="C81" s="1709">
        <f>(SUM(C78:C80))</f>
        <v>211104</v>
      </c>
      <c r="D81" s="1709">
        <f>SUM(D78:D80)</f>
        <v>680425</v>
      </c>
      <c r="E81" s="1709">
        <f t="shared" ref="E81:K81" si="10">SUM(E78:E80)</f>
        <v>2931</v>
      </c>
      <c r="F81" s="1709">
        <f t="shared" si="10"/>
        <v>687407</v>
      </c>
      <c r="G81" s="1709">
        <f t="shared" si="10"/>
        <v>283367</v>
      </c>
      <c r="H81" s="1709">
        <f t="shared" si="10"/>
        <v>0</v>
      </c>
      <c r="I81" s="1709">
        <f t="shared" si="10"/>
        <v>1319684</v>
      </c>
      <c r="J81" s="1709">
        <f t="shared" si="10"/>
        <v>106471</v>
      </c>
      <c r="K81" s="1709">
        <f t="shared" si="10"/>
        <v>645975</v>
      </c>
      <c r="L81" s="347"/>
    </row>
    <row r="82" spans="1:12" ht="0.75" customHeight="1" thickTop="1" thickBot="1" x14ac:dyDescent="0.25">
      <c r="A82" s="536" t="s">
        <v>361</v>
      </c>
      <c r="B82" s="537"/>
      <c r="C82" s="538">
        <f>(C81-C79)</f>
        <v>85556</v>
      </c>
      <c r="D82" s="538">
        <f t="shared" ref="D82:K82" si="11">(D81-D79)</f>
        <v>-77210</v>
      </c>
      <c r="E82" s="538">
        <f t="shared" si="11"/>
        <v>397</v>
      </c>
      <c r="F82" s="538">
        <f t="shared" si="11"/>
        <v>146996</v>
      </c>
      <c r="G82" s="538">
        <f t="shared" si="11"/>
        <v>13065</v>
      </c>
      <c r="H82" s="538">
        <f t="shared" si="11"/>
        <v>0</v>
      </c>
      <c r="I82" s="538">
        <f t="shared" si="11"/>
        <v>74372</v>
      </c>
      <c r="J82" s="538">
        <f t="shared" si="11"/>
        <v>-17772</v>
      </c>
      <c r="K82" s="538">
        <f t="shared" si="11"/>
        <v>71145</v>
      </c>
    </row>
    <row r="83" spans="1:12" ht="14.25" hidden="1" thickTop="1" thickBot="1" x14ac:dyDescent="0.25">
      <c r="A83" s="539" t="s">
        <v>362</v>
      </c>
      <c r="B83" s="464"/>
      <c r="C83" s="540">
        <f>C82/C81</f>
        <v>0.40527891465817795</v>
      </c>
      <c r="D83" s="540">
        <f t="shared" ref="D83:K83" si="12">D82/D81</f>
        <v>-0.11347319689899694</v>
      </c>
      <c r="E83" s="540">
        <f t="shared" si="12"/>
        <v>0.13544865233708631</v>
      </c>
      <c r="F83" s="540">
        <f t="shared" si="12"/>
        <v>0.21384129053093728</v>
      </c>
      <c r="G83" s="540">
        <f t="shared" si="12"/>
        <v>4.6106286194228685E-2</v>
      </c>
      <c r="H83" s="540" t="e">
        <f t="shared" si="12"/>
        <v>#DIV/0!</v>
      </c>
      <c r="I83" s="540">
        <f t="shared" si="12"/>
        <v>5.6355915507045627E-2</v>
      </c>
      <c r="J83" s="540">
        <f t="shared" si="12"/>
        <v>-0.16691869147467386</v>
      </c>
      <c r="K83" s="540">
        <f t="shared" si="12"/>
        <v>0.11013584117032393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1903</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3040981</v>
      </c>
      <c r="D5" s="481">
        <v>678791</v>
      </c>
      <c r="E5" s="466">
        <f>928242-1</f>
        <v>928241</v>
      </c>
      <c r="F5" s="548">
        <v>271516</v>
      </c>
      <c r="G5" s="466">
        <v>219731</v>
      </c>
      <c r="H5" s="466"/>
      <c r="I5" s="466">
        <v>67879</v>
      </c>
      <c r="J5" s="467">
        <v>599256</v>
      </c>
      <c r="K5" s="466">
        <v>67879</v>
      </c>
    </row>
    <row r="6" spans="1:12" ht="15" x14ac:dyDescent="0.2">
      <c r="A6" s="463" t="s">
        <v>1761</v>
      </c>
      <c r="B6" s="470">
        <v>1130</v>
      </c>
      <c r="C6" s="466">
        <v>67879</v>
      </c>
      <c r="D6" s="466"/>
      <c r="E6" s="475"/>
      <c r="F6" s="475"/>
      <c r="G6" s="468"/>
      <c r="H6" s="468"/>
      <c r="I6" s="468"/>
      <c r="J6" s="468"/>
      <c r="K6" s="468"/>
    </row>
    <row r="7" spans="1:12" x14ac:dyDescent="0.2">
      <c r="A7" s="463" t="s">
        <v>112</v>
      </c>
      <c r="B7" s="549">
        <v>1140</v>
      </c>
      <c r="C7" s="466">
        <v>54303</v>
      </c>
      <c r="D7" s="466"/>
      <c r="E7" s="468"/>
      <c r="F7" s="467"/>
      <c r="G7" s="467"/>
      <c r="H7" s="467"/>
      <c r="I7" s="468"/>
      <c r="J7" s="468"/>
      <c r="K7" s="468"/>
    </row>
    <row r="8" spans="1:12" x14ac:dyDescent="0.2">
      <c r="A8" s="463" t="s">
        <v>433</v>
      </c>
      <c r="B8" s="470">
        <v>1150</v>
      </c>
      <c r="C8" s="475"/>
      <c r="D8" s="475"/>
      <c r="E8" s="477"/>
      <c r="F8" s="477"/>
      <c r="G8" s="481">
        <v>209739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3163163</v>
      </c>
      <c r="D12" s="1728">
        <f t="shared" si="0"/>
        <v>678791</v>
      </c>
      <c r="E12" s="1728">
        <f t="shared" si="0"/>
        <v>928241</v>
      </c>
      <c r="F12" s="1728">
        <f t="shared" si="0"/>
        <v>271516</v>
      </c>
      <c r="G12" s="1728">
        <f t="shared" si="0"/>
        <v>429470</v>
      </c>
      <c r="H12" s="1728">
        <f t="shared" si="0"/>
        <v>0</v>
      </c>
      <c r="I12" s="1728">
        <f t="shared" si="0"/>
        <v>67879</v>
      </c>
      <c r="J12" s="1728">
        <f t="shared" si="0"/>
        <v>599256</v>
      </c>
      <c r="K12" s="1709">
        <f t="shared" si="0"/>
        <v>67879</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3526</v>
      </c>
      <c r="D14" s="466">
        <v>757</v>
      </c>
      <c r="E14" s="466">
        <f>738-1</f>
        <v>737</v>
      </c>
      <c r="F14" s="466">
        <v>303</v>
      </c>
      <c r="G14" s="466">
        <v>476</v>
      </c>
      <c r="H14" s="466"/>
      <c r="I14" s="466">
        <v>76</v>
      </c>
      <c r="J14" s="467">
        <v>506</v>
      </c>
      <c r="K14" s="466">
        <v>76</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60514</v>
      </c>
      <c r="D16" s="466"/>
      <c r="E16" s="466"/>
      <c r="F16" s="466"/>
      <c r="G16" s="466">
        <v>15000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64040</v>
      </c>
      <c r="D18" s="1731">
        <f t="shared" ref="D18:K18" si="1">SUM(D14:D17)</f>
        <v>757</v>
      </c>
      <c r="E18" s="1731">
        <f t="shared" si="1"/>
        <v>737</v>
      </c>
      <c r="F18" s="1731">
        <f t="shared" si="1"/>
        <v>303</v>
      </c>
      <c r="G18" s="1731">
        <f t="shared" si="1"/>
        <v>15476</v>
      </c>
      <c r="H18" s="1731">
        <f t="shared" si="1"/>
        <v>0</v>
      </c>
      <c r="I18" s="1731">
        <f t="shared" si="1"/>
        <v>76</v>
      </c>
      <c r="J18" s="1731">
        <f t="shared" si="1"/>
        <v>506</v>
      </c>
      <c r="K18" s="1732">
        <f t="shared" si="1"/>
        <v>76</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25338</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25338</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1806</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1806</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f>505+5438</f>
        <v>5943</v>
      </c>
      <c r="D65" s="466">
        <v>2619</v>
      </c>
      <c r="E65" s="466">
        <v>1322</v>
      </c>
      <c r="F65" s="467">
        <v>2620</v>
      </c>
      <c r="G65" s="466">
        <v>1922</v>
      </c>
      <c r="H65" s="466"/>
      <c r="I65" s="466">
        <v>6417</v>
      </c>
      <c r="J65" s="467">
        <v>2704</v>
      </c>
      <c r="K65" s="466">
        <v>3190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5943</v>
      </c>
      <c r="D67" s="1709">
        <f t="shared" ref="D67:K67" si="2">SUM(D65:D66)</f>
        <v>2619</v>
      </c>
      <c r="E67" s="1709">
        <f t="shared" si="2"/>
        <v>1322</v>
      </c>
      <c r="F67" s="1709">
        <f t="shared" si="2"/>
        <v>2620</v>
      </c>
      <c r="G67" s="1709">
        <f t="shared" si="2"/>
        <v>1922</v>
      </c>
      <c r="H67" s="1709">
        <f t="shared" si="2"/>
        <v>0</v>
      </c>
      <c r="I67" s="1709">
        <f t="shared" si="2"/>
        <v>6417</v>
      </c>
      <c r="J67" s="1709">
        <f t="shared" si="2"/>
        <v>2704</v>
      </c>
      <c r="K67" s="1709">
        <f t="shared" si="2"/>
        <v>3190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f>148802+1</f>
        <v>148803</v>
      </c>
      <c r="D69" s="468"/>
      <c r="E69" s="468"/>
      <c r="F69" s="468"/>
      <c r="G69" s="468"/>
      <c r="H69" s="468"/>
      <c r="I69" s="468"/>
      <c r="J69" s="468"/>
      <c r="K69" s="468"/>
    </row>
    <row r="70" spans="1:11" ht="12.75" customHeight="1" x14ac:dyDescent="0.2">
      <c r="A70" s="463" t="s">
        <v>1054</v>
      </c>
      <c r="B70" s="470">
        <v>1612</v>
      </c>
      <c r="C70" s="551">
        <v>24836</v>
      </c>
      <c r="D70" s="468"/>
      <c r="E70" s="468"/>
      <c r="F70" s="468"/>
      <c r="G70" s="468"/>
      <c r="H70" s="468"/>
      <c r="I70" s="468"/>
      <c r="J70" s="468"/>
      <c r="K70" s="468"/>
    </row>
    <row r="71" spans="1:11" ht="12.75" customHeight="1" x14ac:dyDescent="0.2">
      <c r="A71" s="463" t="s">
        <v>291</v>
      </c>
      <c r="B71" s="470">
        <v>1613</v>
      </c>
      <c r="C71" s="551">
        <v>80874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5534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260047</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50663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1110+33340+7090+2756+6880</f>
        <v>51176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141783</v>
      </c>
      <c r="D81" s="466"/>
      <c r="E81" s="468"/>
      <c r="F81" s="468"/>
      <c r="G81" s="468"/>
      <c r="H81" s="468"/>
      <c r="I81" s="468"/>
      <c r="J81" s="468"/>
      <c r="K81" s="468"/>
    </row>
    <row r="82" spans="1:11" ht="12.75" customHeight="1" thickBot="1" x14ac:dyDescent="0.25">
      <c r="A82" s="1729" t="s">
        <v>259</v>
      </c>
      <c r="B82" s="1730"/>
      <c r="C82" s="1728">
        <f>SUM(C77:C81)</f>
        <v>243622</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f>34897+10992+10854+32649</f>
        <v>89392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89392</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3602</v>
      </c>
      <c r="E95" s="521"/>
      <c r="F95" s="521"/>
      <c r="G95" s="521"/>
      <c r="H95" s="521"/>
      <c r="I95" s="521"/>
      <c r="J95" s="521"/>
      <c r="K95" s="521"/>
    </row>
    <row r="96" spans="1:11" ht="12.75" customHeight="1" x14ac:dyDescent="0.2">
      <c r="A96" s="463" t="s">
        <v>409</v>
      </c>
      <c r="B96" s="470">
        <v>1920</v>
      </c>
      <c r="C96" s="551">
        <v>54810</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10532</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10675</v>
      </c>
      <c r="D107" s="466">
        <v>47369</v>
      </c>
      <c r="E107" s="466"/>
      <c r="F107" s="466">
        <v>825</v>
      </c>
      <c r="G107" s="466"/>
      <c r="H107" s="466"/>
      <c r="I107" s="466"/>
      <c r="J107" s="467"/>
      <c r="K107" s="466"/>
    </row>
    <row r="108" spans="1:12" ht="12.75" customHeight="1" thickBot="1" x14ac:dyDescent="0.25">
      <c r="A108" s="1729" t="s">
        <v>508</v>
      </c>
      <c r="B108" s="1733"/>
      <c r="C108" s="1728">
        <f>SUM(C95:C107)</f>
        <v>76017</v>
      </c>
      <c r="D108" s="1728">
        <f t="shared" ref="D108:K108" si="3">SUM(D95:D107)</f>
        <v>50971</v>
      </c>
      <c r="E108" s="1728">
        <f t="shared" si="3"/>
        <v>0</v>
      </c>
      <c r="F108" s="1728">
        <f t="shared" si="3"/>
        <v>825</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3927562</v>
      </c>
      <c r="D109" s="1736">
        <f t="shared" si="4"/>
        <v>733138</v>
      </c>
      <c r="E109" s="1736">
        <f t="shared" si="4"/>
        <v>930300</v>
      </c>
      <c r="F109" s="1736">
        <f t="shared" si="4"/>
        <v>277070</v>
      </c>
      <c r="G109" s="1736">
        <f t="shared" si="4"/>
        <v>446868</v>
      </c>
      <c r="H109" s="1736">
        <f t="shared" si="4"/>
        <v>0</v>
      </c>
      <c r="I109" s="1736">
        <f t="shared" si="4"/>
        <v>74372</v>
      </c>
      <c r="J109" s="1736">
        <f t="shared" si="4"/>
        <v>602466</v>
      </c>
      <c r="K109" s="1723">
        <f t="shared" si="4"/>
        <v>71145</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4193719</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7" t="s">
        <v>1902</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4193719</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922</v>
      </c>
      <c r="D124" s="561"/>
      <c r="E124" s="468"/>
      <c r="F124" s="548"/>
      <c r="G124" s="468"/>
      <c r="H124" s="468"/>
      <c r="I124" s="468"/>
      <c r="J124" s="468"/>
      <c r="K124" s="468"/>
    </row>
    <row r="125" spans="1:11" ht="12.75" customHeight="1" x14ac:dyDescent="0.2">
      <c r="A125" s="463" t="s">
        <v>1521</v>
      </c>
      <c r="B125" s="562">
        <v>3105</v>
      </c>
      <c r="C125" s="466">
        <v>83626</v>
      </c>
      <c r="D125" s="561"/>
      <c r="E125" s="468"/>
      <c r="F125" s="466"/>
      <c r="G125" s="468"/>
      <c r="H125" s="468"/>
      <c r="I125" s="468"/>
      <c r="J125" s="468"/>
      <c r="K125" s="468"/>
    </row>
    <row r="126" spans="1:11" ht="12.75" customHeight="1" x14ac:dyDescent="0.2">
      <c r="A126" s="463" t="s">
        <v>922</v>
      </c>
      <c r="B126" s="562">
        <v>3110</v>
      </c>
      <c r="C126" s="551">
        <v>112206</v>
      </c>
      <c r="D126" s="466"/>
      <c r="E126" s="468"/>
      <c r="F126" s="466"/>
      <c r="G126" s="468"/>
      <c r="H126" s="468"/>
      <c r="I126" s="468"/>
      <c r="J126" s="468"/>
      <c r="K126" s="468"/>
    </row>
    <row r="127" spans="1:11" ht="12.75" customHeight="1" x14ac:dyDescent="0.2">
      <c r="A127" s="463" t="s">
        <v>107</v>
      </c>
      <c r="B127" s="562">
        <v>3120</v>
      </c>
      <c r="C127" s="466">
        <v>1758</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921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199433</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44852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4450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49302</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3913</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18207</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149257</v>
      </c>
      <c r="G151" s="467"/>
      <c r="H151" s="468"/>
      <c r="I151" s="468"/>
      <c r="J151" s="468"/>
      <c r="K151" s="468"/>
    </row>
    <row r="152" spans="1:11" ht="12.75" customHeight="1" x14ac:dyDescent="0.2">
      <c r="A152" s="463" t="s">
        <v>1117</v>
      </c>
      <c r="B152" s="562">
        <v>3510</v>
      </c>
      <c r="C152" s="551"/>
      <c r="D152" s="466"/>
      <c r="E152" s="561"/>
      <c r="F152" s="466">
        <v>141340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290597</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283722</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67" t="s">
        <v>418</v>
      </c>
      <c r="B172" s="2168"/>
      <c r="C172" s="1743">
        <f t="shared" ref="C172:K172" si="6">SUM(C131,C140,C144,C145:C149,C154,C155:C170,C171)</f>
        <v>556077</v>
      </c>
      <c r="D172" s="1743">
        <f t="shared" si="6"/>
        <v>0</v>
      </c>
      <c r="E172" s="1743">
        <f t="shared" si="6"/>
        <v>0</v>
      </c>
      <c r="F172" s="1743">
        <f t="shared" si="6"/>
        <v>290597</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4749796</v>
      </c>
      <c r="D173" s="1736">
        <f>SUM(D121,D172)</f>
        <v>0</v>
      </c>
      <c r="E173" s="1736">
        <f>SUM(E121,E172)</f>
        <v>0</v>
      </c>
      <c r="F173" s="1736">
        <f t="shared" ref="F173:K173" si="7">SUM(F121,F172)</f>
        <v>290597</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v>4417</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1764</v>
      </c>
      <c r="B178" s="2174"/>
      <c r="C178" s="1728">
        <f>SUM(C176:C177)</f>
        <v>4417</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7" t="s">
        <v>1763</v>
      </c>
      <c r="B179" s="217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1" t="s">
        <v>1904</v>
      </c>
      <c r="B185" s="2172"/>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f>222725-1</f>
        <v>222724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63791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286515</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149514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149514</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218090</v>
      </c>
      <c r="D220" s="466"/>
      <c r="E220" s="468"/>
      <c r="F220" s="466"/>
      <c r="G220" s="466"/>
      <c r="H220" s="468"/>
      <c r="I220" s="468"/>
      <c r="J220" s="468"/>
      <c r="K220" s="468"/>
    </row>
    <row r="221" spans="1:11" ht="12.75" customHeight="1" x14ac:dyDescent="0.2">
      <c r="A221" s="463" t="s">
        <v>1114</v>
      </c>
      <c r="B221" s="470">
        <v>4625</v>
      </c>
      <c r="C221" s="551">
        <v>6583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224673</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9685</v>
      </c>
      <c r="D227" s="466"/>
      <c r="E227" s="468"/>
      <c r="F227" s="468"/>
      <c r="G227" s="466"/>
      <c r="H227" s="468"/>
      <c r="I227" s="468"/>
      <c r="J227" s="468"/>
      <c r="K227" s="468"/>
    </row>
    <row r="228" spans="1:11" ht="12.75" customHeight="1" thickBot="1" x14ac:dyDescent="0.25">
      <c r="A228" s="1744" t="s">
        <v>1145</v>
      </c>
      <c r="B228" s="1745"/>
      <c r="C228" s="1728">
        <f>SUM(C226:C227)</f>
        <v>9685</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24379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112168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806934</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811351</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9488709</v>
      </c>
      <c r="D275" s="1736">
        <f t="shared" si="12"/>
        <v>733138</v>
      </c>
      <c r="E275" s="1736">
        <f t="shared" si="12"/>
        <v>930300</v>
      </c>
      <c r="F275" s="1736">
        <f t="shared" si="12"/>
        <v>567667</v>
      </c>
      <c r="G275" s="1736">
        <f t="shared" si="12"/>
        <v>446868</v>
      </c>
      <c r="H275" s="1736">
        <f t="shared" si="12"/>
        <v>0</v>
      </c>
      <c r="I275" s="1736">
        <f t="shared" si="12"/>
        <v>74372</v>
      </c>
      <c r="J275" s="1736">
        <f t="shared" si="12"/>
        <v>602466</v>
      </c>
      <c r="K275" s="1723">
        <f t="shared" si="12"/>
        <v>71145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&amp;L&amp;8See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5" t="s">
        <v>315</v>
      </c>
      <c r="B3" s="2186"/>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4140882</v>
      </c>
      <c r="D5" s="466">
        <f>111333+40</f>
        <v>111373</v>
      </c>
      <c r="E5" s="466">
        <v>32712</v>
      </c>
      <c r="F5" s="466">
        <v>55308</v>
      </c>
      <c r="G5" s="466">
        <v>54810</v>
      </c>
      <c r="H5" s="466"/>
      <c r="I5" s="467"/>
      <c r="J5" s="467"/>
      <c r="K5" s="1692">
        <f>SUM(C5:J5)</f>
        <v>4395085</v>
      </c>
      <c r="L5" s="466">
        <v>4461833</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131530</v>
      </c>
      <c r="D7" s="467">
        <v>10</v>
      </c>
      <c r="E7" s="467">
        <v>3658</v>
      </c>
      <c r="F7" s="467">
        <v>12901</v>
      </c>
      <c r="G7" s="467"/>
      <c r="H7" s="467"/>
      <c r="I7" s="467"/>
      <c r="J7" s="467"/>
      <c r="K7" s="1692">
        <f t="shared" ref="K7:K32" si="0">SUM(C7:J7)</f>
        <v>148099</v>
      </c>
      <c r="L7" s="466">
        <v>147100</v>
      </c>
    </row>
    <row r="8" spans="1:14" x14ac:dyDescent="0.2">
      <c r="A8" s="1525" t="s">
        <v>166</v>
      </c>
      <c r="B8" s="615">
        <v>1200</v>
      </c>
      <c r="C8" s="466">
        <v>1133590</v>
      </c>
      <c r="D8" s="466">
        <v>73</v>
      </c>
      <c r="E8" s="466">
        <v>75948</v>
      </c>
      <c r="F8" s="466">
        <v>4842</v>
      </c>
      <c r="G8" s="466"/>
      <c r="H8" s="466"/>
      <c r="I8" s="467"/>
      <c r="J8" s="467"/>
      <c r="K8" s="1692">
        <f t="shared" si="0"/>
        <v>1214453</v>
      </c>
      <c r="L8" s="466">
        <v>1221087</v>
      </c>
    </row>
    <row r="9" spans="1:14" x14ac:dyDescent="0.2">
      <c r="A9" s="1525" t="s">
        <v>745</v>
      </c>
      <c r="B9" s="615" t="s">
        <v>1025</v>
      </c>
      <c r="C9" s="467">
        <v>49187</v>
      </c>
      <c r="D9" s="467"/>
      <c r="E9" s="467">
        <v>1459</v>
      </c>
      <c r="F9" s="467"/>
      <c r="G9" s="467"/>
      <c r="H9" s="467"/>
      <c r="I9" s="467"/>
      <c r="J9" s="467"/>
      <c r="K9" s="1692">
        <f t="shared" si="0"/>
        <v>50646</v>
      </c>
      <c r="L9" s="466">
        <v>61172</v>
      </c>
    </row>
    <row r="10" spans="1:14" x14ac:dyDescent="0.2">
      <c r="A10" s="1525" t="s">
        <v>746</v>
      </c>
      <c r="B10" s="615">
        <v>1250</v>
      </c>
      <c r="C10" s="466">
        <v>126645</v>
      </c>
      <c r="D10" s="466">
        <v>9309</v>
      </c>
      <c r="E10" s="466">
        <v>602</v>
      </c>
      <c r="F10" s="466">
        <v>3637</v>
      </c>
      <c r="G10" s="466">
        <v>9000</v>
      </c>
      <c r="H10" s="466"/>
      <c r="I10" s="467"/>
      <c r="J10" s="467"/>
      <c r="K10" s="1692">
        <f t="shared" si="0"/>
        <v>149193</v>
      </c>
      <c r="L10" s="466">
        <v>157782</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291303</v>
      </c>
      <c r="D13" s="466"/>
      <c r="E13" s="466">
        <v>4692</v>
      </c>
      <c r="F13" s="466">
        <f>21234+3870</f>
        <v>25104</v>
      </c>
      <c r="G13" s="466">
        <f>1480+3120</f>
        <v>4600</v>
      </c>
      <c r="H13" s="466"/>
      <c r="I13" s="467"/>
      <c r="J13" s="467"/>
      <c r="K13" s="1692">
        <f t="shared" si="0"/>
        <v>325699</v>
      </c>
      <c r="L13" s="466">
        <v>326485</v>
      </c>
    </row>
    <row r="14" spans="1:14" x14ac:dyDescent="0.2">
      <c r="A14" s="1525" t="s">
        <v>1020</v>
      </c>
      <c r="B14" s="615">
        <v>1500</v>
      </c>
      <c r="C14" s="466">
        <f>392255-1</f>
        <v>392254</v>
      </c>
      <c r="D14" s="466">
        <v>247</v>
      </c>
      <c r="E14" s="466">
        <v>58103</v>
      </c>
      <c r="F14" s="466">
        <v>33151</v>
      </c>
      <c r="G14" s="466"/>
      <c r="H14" s="466">
        <v>19691</v>
      </c>
      <c r="I14" s="467"/>
      <c r="J14" s="467"/>
      <c r="K14" s="1692">
        <f t="shared" si="0"/>
        <v>503446</v>
      </c>
      <c r="L14" s="466">
        <v>507050</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52745</v>
      </c>
      <c r="D17" s="467"/>
      <c r="E17" s="467">
        <v>14</v>
      </c>
      <c r="F17" s="467">
        <v>245</v>
      </c>
      <c r="G17" s="467"/>
      <c r="H17" s="467"/>
      <c r="I17" s="467"/>
      <c r="J17" s="467"/>
      <c r="K17" s="1692">
        <f t="shared" si="0"/>
        <v>53004</v>
      </c>
      <c r="L17" s="466">
        <v>54504</v>
      </c>
    </row>
    <row r="18" spans="1:12" x14ac:dyDescent="0.2">
      <c r="A18" s="1525" t="s">
        <v>1148</v>
      </c>
      <c r="B18" s="615">
        <v>1800</v>
      </c>
      <c r="C18" s="466">
        <v>12905</v>
      </c>
      <c r="D18" s="466"/>
      <c r="E18" s="466">
        <v>566</v>
      </c>
      <c r="F18" s="466"/>
      <c r="G18" s="466"/>
      <c r="H18" s="466"/>
      <c r="I18" s="467"/>
      <c r="J18" s="467"/>
      <c r="K18" s="1692">
        <f t="shared" si="0"/>
        <v>13471</v>
      </c>
      <c r="L18" s="466">
        <v>14275</v>
      </c>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v>24646</v>
      </c>
      <c r="I22" s="617"/>
      <c r="J22" s="477"/>
      <c r="K22" s="1692">
        <f t="shared" si="0"/>
        <v>24646</v>
      </c>
      <c r="L22" s="471">
        <v>25000</v>
      </c>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6331041</v>
      </c>
      <c r="D33" s="1691">
        <f t="shared" ref="D33:L33" si="1">SUM(D5:D32)</f>
        <v>121012</v>
      </c>
      <c r="E33" s="1691">
        <f t="shared" si="1"/>
        <v>177754</v>
      </c>
      <c r="F33" s="1691">
        <f t="shared" si="1"/>
        <v>135188</v>
      </c>
      <c r="G33" s="1691">
        <f t="shared" si="1"/>
        <v>68410</v>
      </c>
      <c r="H33" s="1691">
        <f t="shared" si="1"/>
        <v>44337</v>
      </c>
      <c r="I33" s="1691">
        <f t="shared" si="1"/>
        <v>0</v>
      </c>
      <c r="J33" s="1691">
        <f t="shared" si="1"/>
        <v>0</v>
      </c>
      <c r="K33" s="1691">
        <f t="shared" si="1"/>
        <v>6877742</v>
      </c>
      <c r="L33" s="1691">
        <f t="shared" si="1"/>
        <v>6976288</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58415</v>
      </c>
      <c r="D36" s="481"/>
      <c r="E36" s="481">
        <f>185-1</f>
        <v>184</v>
      </c>
      <c r="F36" s="481">
        <v>94</v>
      </c>
      <c r="G36" s="481"/>
      <c r="H36" s="481"/>
      <c r="I36" s="467"/>
      <c r="J36" s="467"/>
      <c r="K36" s="1692">
        <f t="shared" ref="K36:K41" si="2">SUM(C36:J36)</f>
        <v>58693</v>
      </c>
      <c r="L36" s="466">
        <v>59555</v>
      </c>
    </row>
    <row r="37" spans="1:14" x14ac:dyDescent="0.2">
      <c r="A37" s="1525" t="s">
        <v>1151</v>
      </c>
      <c r="B37" s="615">
        <v>2120</v>
      </c>
      <c r="C37" s="466">
        <v>97893</v>
      </c>
      <c r="D37" s="466"/>
      <c r="E37" s="466">
        <v>199</v>
      </c>
      <c r="F37" s="466">
        <v>237</v>
      </c>
      <c r="G37" s="466"/>
      <c r="H37" s="466"/>
      <c r="I37" s="467"/>
      <c r="J37" s="467"/>
      <c r="K37" s="1692">
        <f t="shared" si="2"/>
        <v>98329</v>
      </c>
      <c r="L37" s="466">
        <v>100668</v>
      </c>
    </row>
    <row r="38" spans="1:14" x14ac:dyDescent="0.2">
      <c r="A38" s="1525" t="s">
        <v>207</v>
      </c>
      <c r="B38" s="615">
        <v>2130</v>
      </c>
      <c r="C38" s="466">
        <v>22934</v>
      </c>
      <c r="D38" s="466"/>
      <c r="E38" s="466">
        <v>1113</v>
      </c>
      <c r="F38" s="466"/>
      <c r="G38" s="466"/>
      <c r="H38" s="466"/>
      <c r="I38" s="467"/>
      <c r="J38" s="467"/>
      <c r="K38" s="1692">
        <f t="shared" si="2"/>
        <v>24047</v>
      </c>
      <c r="L38" s="466">
        <v>24210</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126976</v>
      </c>
      <c r="D40" s="466"/>
      <c r="E40" s="466"/>
      <c r="F40" s="466"/>
      <c r="G40" s="466"/>
      <c r="H40" s="466"/>
      <c r="I40" s="467"/>
      <c r="J40" s="467"/>
      <c r="K40" s="1692">
        <f t="shared" si="2"/>
        <v>126976</v>
      </c>
      <c r="L40" s="466">
        <v>127454</v>
      </c>
    </row>
    <row r="41" spans="1:14" x14ac:dyDescent="0.2">
      <c r="A41" s="1525" t="s">
        <v>1768</v>
      </c>
      <c r="B41" s="615">
        <v>2190</v>
      </c>
      <c r="C41" s="466"/>
      <c r="D41" s="466"/>
      <c r="E41" s="466"/>
      <c r="F41" s="466">
        <v>4829</v>
      </c>
      <c r="G41" s="466"/>
      <c r="H41" s="466"/>
      <c r="I41" s="467"/>
      <c r="J41" s="467"/>
      <c r="K41" s="1692">
        <f t="shared" si="2"/>
        <v>4829</v>
      </c>
      <c r="L41" s="466">
        <v>6000</v>
      </c>
    </row>
    <row r="42" spans="1:14" ht="12.75" customHeight="1" thickBot="1" x14ac:dyDescent="0.25">
      <c r="A42" s="1689" t="s">
        <v>581</v>
      </c>
      <c r="B42" s="1690" t="s">
        <v>740</v>
      </c>
      <c r="C42" s="1691">
        <f>SUM(C36:C41)</f>
        <v>306218</v>
      </c>
      <c r="D42" s="1691">
        <f t="shared" ref="D42:L42" si="3">SUM(D36:D41)</f>
        <v>0</v>
      </c>
      <c r="E42" s="1691">
        <f t="shared" si="3"/>
        <v>1496</v>
      </c>
      <c r="F42" s="1691">
        <f t="shared" si="3"/>
        <v>5160</v>
      </c>
      <c r="G42" s="1691">
        <f t="shared" si="3"/>
        <v>0</v>
      </c>
      <c r="H42" s="1691">
        <f t="shared" si="3"/>
        <v>0</v>
      </c>
      <c r="I42" s="1691">
        <f t="shared" si="3"/>
        <v>0</v>
      </c>
      <c r="J42" s="1691">
        <f t="shared" si="3"/>
        <v>0</v>
      </c>
      <c r="K42" s="1691">
        <f t="shared" si="3"/>
        <v>312874</v>
      </c>
      <c r="L42" s="1691">
        <f t="shared" si="3"/>
        <v>317887</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7600</v>
      </c>
      <c r="D44" s="481">
        <v>5400</v>
      </c>
      <c r="E44" s="481">
        <v>6154</v>
      </c>
      <c r="F44" s="481">
        <v>723</v>
      </c>
      <c r="G44" s="481"/>
      <c r="H44" s="481"/>
      <c r="I44" s="467"/>
      <c r="J44" s="467"/>
      <c r="K44" s="1693">
        <f>SUM(C44:J44)</f>
        <v>19877</v>
      </c>
      <c r="L44" s="481">
        <v>21500</v>
      </c>
    </row>
    <row r="45" spans="1:14" x14ac:dyDescent="0.2">
      <c r="A45" s="1525" t="s">
        <v>869</v>
      </c>
      <c r="B45" s="615">
        <v>2220</v>
      </c>
      <c r="C45" s="466">
        <v>73513</v>
      </c>
      <c r="D45" s="466"/>
      <c r="E45" s="466">
        <v>134846</v>
      </c>
      <c r="F45" s="466">
        <v>22011</v>
      </c>
      <c r="G45" s="466">
        <v>7060</v>
      </c>
      <c r="H45" s="466"/>
      <c r="I45" s="467"/>
      <c r="J45" s="467"/>
      <c r="K45" s="1693">
        <f>SUM(C45:J45)</f>
        <v>237430</v>
      </c>
      <c r="L45" s="466">
        <v>239011</v>
      </c>
    </row>
    <row r="46" spans="1:14" x14ac:dyDescent="0.2">
      <c r="A46" s="1525" t="s">
        <v>870</v>
      </c>
      <c r="B46" s="615">
        <v>2230</v>
      </c>
      <c r="C46" s="466"/>
      <c r="D46" s="466"/>
      <c r="E46" s="466"/>
      <c r="F46" s="466">
        <v>6884</v>
      </c>
      <c r="G46" s="466"/>
      <c r="H46" s="466"/>
      <c r="I46" s="467"/>
      <c r="J46" s="467"/>
      <c r="K46" s="1693">
        <f>SUM(C46:J46)</f>
        <v>6884</v>
      </c>
      <c r="L46" s="466">
        <v>8600</v>
      </c>
    </row>
    <row r="47" spans="1:14" ht="12.75" customHeight="1" thickBot="1" x14ac:dyDescent="0.25">
      <c r="A47" s="1689" t="s">
        <v>582</v>
      </c>
      <c r="B47" s="1690" t="s">
        <v>32</v>
      </c>
      <c r="C47" s="1691">
        <f>SUM(C44:C46)</f>
        <v>81113</v>
      </c>
      <c r="D47" s="1691">
        <f t="shared" ref="D47:K47" si="4">SUM(D44:D46)</f>
        <v>5400</v>
      </c>
      <c r="E47" s="1691">
        <f t="shared" si="4"/>
        <v>141000</v>
      </c>
      <c r="F47" s="1691">
        <f t="shared" si="4"/>
        <v>29618</v>
      </c>
      <c r="G47" s="1691">
        <f t="shared" si="4"/>
        <v>7060</v>
      </c>
      <c r="H47" s="1691">
        <f t="shared" si="4"/>
        <v>0</v>
      </c>
      <c r="I47" s="1691">
        <f t="shared" si="4"/>
        <v>0</v>
      </c>
      <c r="J47" s="1691">
        <f t="shared" si="4"/>
        <v>0</v>
      </c>
      <c r="K47" s="1691">
        <f t="shared" si="4"/>
        <v>264191</v>
      </c>
      <c r="L47" s="1691">
        <f>SUM(L44:L46)</f>
        <v>269111</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f>37109-1</f>
        <v>37108</v>
      </c>
      <c r="F49" s="481">
        <v>10847</v>
      </c>
      <c r="G49" s="481"/>
      <c r="H49" s="481">
        <v>7772</v>
      </c>
      <c r="I49" s="467"/>
      <c r="J49" s="467"/>
      <c r="K49" s="1693">
        <f>SUM(C49:J49)</f>
        <v>55727</v>
      </c>
      <c r="L49" s="481">
        <v>62350</v>
      </c>
    </row>
    <row r="50" spans="1:14" x14ac:dyDescent="0.2">
      <c r="A50" s="1525" t="s">
        <v>872</v>
      </c>
      <c r="B50" s="615">
        <v>2320</v>
      </c>
      <c r="C50" s="466">
        <v>171338</v>
      </c>
      <c r="D50" s="466">
        <v>714</v>
      </c>
      <c r="E50" s="466">
        <v>3026</v>
      </c>
      <c r="F50" s="466">
        <v>5915</v>
      </c>
      <c r="G50" s="466"/>
      <c r="H50" s="466">
        <v>1353</v>
      </c>
      <c r="I50" s="467"/>
      <c r="J50" s="467"/>
      <c r="K50" s="1693">
        <f>SUM(C50:J50)</f>
        <v>182346</v>
      </c>
      <c r="L50" s="466">
        <v>178623</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171338</v>
      </c>
      <c r="D53" s="1691">
        <f t="shared" ref="D53:L53" si="5">SUM(D49:D52)</f>
        <v>714</v>
      </c>
      <c r="E53" s="1691">
        <f t="shared" si="5"/>
        <v>40134</v>
      </c>
      <c r="F53" s="1691">
        <f t="shared" si="5"/>
        <v>16762</v>
      </c>
      <c r="G53" s="1691">
        <f t="shared" si="5"/>
        <v>0</v>
      </c>
      <c r="H53" s="1691">
        <f t="shared" si="5"/>
        <v>9125</v>
      </c>
      <c r="I53" s="1691">
        <f t="shared" si="5"/>
        <v>0</v>
      </c>
      <c r="J53" s="1691">
        <f t="shared" si="5"/>
        <v>0</v>
      </c>
      <c r="K53" s="1691">
        <f t="shared" si="5"/>
        <v>238073</v>
      </c>
      <c r="L53" s="1691">
        <f t="shared" si="5"/>
        <v>240973</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533366</v>
      </c>
      <c r="D55" s="481">
        <v>18213</v>
      </c>
      <c r="E55" s="481">
        <v>10737</v>
      </c>
      <c r="F55" s="481">
        <f>16566-1</f>
        <v>16565</v>
      </c>
      <c r="G55" s="481"/>
      <c r="H55" s="481"/>
      <c r="I55" s="467"/>
      <c r="J55" s="467"/>
      <c r="K55" s="1693">
        <f>SUM(C55:J55)</f>
        <v>578881</v>
      </c>
      <c r="L55" s="481">
        <v>589380</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533366</v>
      </c>
      <c r="D57" s="1695">
        <f t="shared" ref="D57:K57" si="6">SUM(D55:D56)</f>
        <v>18213</v>
      </c>
      <c r="E57" s="1695">
        <f t="shared" si="6"/>
        <v>10737</v>
      </c>
      <c r="F57" s="1695">
        <f t="shared" si="6"/>
        <v>16565</v>
      </c>
      <c r="G57" s="1695">
        <f t="shared" si="6"/>
        <v>0</v>
      </c>
      <c r="H57" s="1695">
        <f t="shared" si="6"/>
        <v>0</v>
      </c>
      <c r="I57" s="1695">
        <f t="shared" si="6"/>
        <v>0</v>
      </c>
      <c r="J57" s="1695">
        <f t="shared" si="6"/>
        <v>0</v>
      </c>
      <c r="K57" s="1695">
        <f t="shared" si="6"/>
        <v>578881</v>
      </c>
      <c r="L57" s="1691">
        <f>SUM(L55:L56)</f>
        <v>589380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36936</v>
      </c>
      <c r="D60" s="466">
        <v>12</v>
      </c>
      <c r="E60" s="466">
        <v>14224</v>
      </c>
      <c r="F60" s="466">
        <v>1667</v>
      </c>
      <c r="G60" s="466"/>
      <c r="H60" s="466"/>
      <c r="I60" s="467"/>
      <c r="J60" s="467"/>
      <c r="K60" s="1693">
        <f t="shared" si="7"/>
        <v>52839</v>
      </c>
      <c r="L60" s="466">
        <v>54083</v>
      </c>
      <c r="M60" s="610"/>
      <c r="N60" s="610"/>
    </row>
    <row r="61" spans="1:14" s="343" customFormat="1" x14ac:dyDescent="0.2">
      <c r="A61" s="1525" t="s">
        <v>206</v>
      </c>
      <c r="B61" s="615">
        <v>2540</v>
      </c>
      <c r="C61" s="466">
        <v>65690</v>
      </c>
      <c r="D61" s="466">
        <v>5609</v>
      </c>
      <c r="E61" s="466">
        <v>30060</v>
      </c>
      <c r="F61" s="466">
        <v>29001</v>
      </c>
      <c r="G61" s="466">
        <v>5980</v>
      </c>
      <c r="H61" s="466"/>
      <c r="I61" s="467"/>
      <c r="J61" s="467"/>
      <c r="K61" s="1693">
        <f t="shared" si="7"/>
        <v>136340</v>
      </c>
      <c r="L61" s="466">
        <v>154313</v>
      </c>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c r="D63" s="466"/>
      <c r="E63" s="466">
        <v>495476</v>
      </c>
      <c r="F63" s="466">
        <v>177</v>
      </c>
      <c r="G63" s="466">
        <v>7293</v>
      </c>
      <c r="H63" s="466"/>
      <c r="I63" s="467"/>
      <c r="J63" s="467"/>
      <c r="K63" s="1693">
        <f t="shared" si="7"/>
        <v>502946</v>
      </c>
      <c r="L63" s="466">
        <v>511000</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102626</v>
      </c>
      <c r="D65" s="1691">
        <f t="shared" ref="D65:L65" si="8">SUM(D59:D64)</f>
        <v>5621</v>
      </c>
      <c r="E65" s="1691">
        <f t="shared" si="8"/>
        <v>539760</v>
      </c>
      <c r="F65" s="1691">
        <f t="shared" si="8"/>
        <v>30845</v>
      </c>
      <c r="G65" s="1691">
        <f t="shared" si="8"/>
        <v>13273</v>
      </c>
      <c r="H65" s="1691">
        <f t="shared" si="8"/>
        <v>0</v>
      </c>
      <c r="I65" s="1691">
        <f t="shared" si="8"/>
        <v>0</v>
      </c>
      <c r="J65" s="1691">
        <f t="shared" si="8"/>
        <v>0</v>
      </c>
      <c r="K65" s="1691">
        <f t="shared" si="8"/>
        <v>692125</v>
      </c>
      <c r="L65" s="1691">
        <f t="shared" si="8"/>
        <v>719396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1194661</v>
      </c>
      <c r="D74" s="1698">
        <f t="shared" ref="D74:K74" si="10">SUM(D42,D47,D53,D57,D65,D72,D73)</f>
        <v>29948</v>
      </c>
      <c r="E74" s="1698">
        <f t="shared" si="10"/>
        <v>733127</v>
      </c>
      <c r="F74" s="1698">
        <f t="shared" si="10"/>
        <v>98950</v>
      </c>
      <c r="G74" s="1698">
        <f t="shared" si="10"/>
        <v>20333</v>
      </c>
      <c r="H74" s="1698">
        <f t="shared" si="10"/>
        <v>9125</v>
      </c>
      <c r="I74" s="1698">
        <f t="shared" si="10"/>
        <v>0</v>
      </c>
      <c r="J74" s="1698">
        <f t="shared" si="10"/>
        <v>0</v>
      </c>
      <c r="K74" s="1698">
        <f t="shared" si="10"/>
        <v>2086144</v>
      </c>
      <c r="L74" s="1698">
        <f>SUM(L42,L47,L53,L57,L65,L72,L73)</f>
        <v>2136747</v>
      </c>
    </row>
    <row r="75" spans="1:14" s="259" customFormat="1" ht="15.75" customHeight="1" thickTop="1" thickBot="1" x14ac:dyDescent="0.25">
      <c r="A75" s="1631" t="s">
        <v>49</v>
      </c>
      <c r="B75" s="1632" t="s">
        <v>596</v>
      </c>
      <c r="C75" s="573">
        <f>29090+58371</f>
        <v>87461</v>
      </c>
      <c r="D75" s="573">
        <v>208</v>
      </c>
      <c r="E75" s="573">
        <v>3648</v>
      </c>
      <c r="F75" s="573">
        <f>443+5570</f>
        <v>6013</v>
      </c>
      <c r="G75" s="573"/>
      <c r="H75" s="573"/>
      <c r="I75" s="531"/>
      <c r="J75" s="531"/>
      <c r="K75" s="1691">
        <f>SUM(C75:J75)</f>
        <v>97330</v>
      </c>
      <c r="L75" s="576">
        <v>95400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341937</v>
      </c>
      <c r="F79" s="617"/>
      <c r="G79" s="617"/>
      <c r="H79" s="466"/>
      <c r="I79" s="477"/>
      <c r="J79" s="477"/>
      <c r="K79" s="1692">
        <f t="shared" si="11"/>
        <v>341937</v>
      </c>
      <c r="L79" s="466">
        <v>342000</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341937</v>
      </c>
      <c r="F84" s="617"/>
      <c r="G84" s="617"/>
      <c r="H84" s="1691">
        <f>SUM(H78:H83)</f>
        <v>0</v>
      </c>
      <c r="I84" s="477"/>
      <c r="J84" s="477"/>
      <c r="K84" s="1691">
        <f>SUM(K78:K83)</f>
        <v>341937</v>
      </c>
      <c r="L84" s="1691">
        <f>SUM(L78:L83)</f>
        <v>342000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341937</v>
      </c>
      <c r="F102" s="617"/>
      <c r="G102" s="617"/>
      <c r="H102" s="1698">
        <f>SUM(H84,H92,H100,H101)</f>
        <v>0</v>
      </c>
      <c r="I102" s="477"/>
      <c r="J102" s="477"/>
      <c r="K102" s="1698">
        <f>SUM(K84,K92,K100,K101)</f>
        <v>341937</v>
      </c>
      <c r="L102" s="1698">
        <f>SUM(L84,L92,L100,L101)</f>
        <v>342000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7613163</v>
      </c>
      <c r="D114" s="1691">
        <f t="shared" ref="D114:K114" si="13">SUM(D33,D74,D75,D102,D112,D113)</f>
        <v>151168</v>
      </c>
      <c r="E114" s="1691">
        <f t="shared" si="13"/>
        <v>1256466</v>
      </c>
      <c r="F114" s="1691">
        <f t="shared" si="13"/>
        <v>240151</v>
      </c>
      <c r="G114" s="1691">
        <f t="shared" si="13"/>
        <v>88743</v>
      </c>
      <c r="H114" s="1691">
        <f>SUM(H33,H74,H75,H102,H112,H113)</f>
        <v>53462</v>
      </c>
      <c r="I114" s="1691">
        <f t="shared" si="13"/>
        <v>0</v>
      </c>
      <c r="J114" s="1691">
        <f t="shared" si="13"/>
        <v>0</v>
      </c>
      <c r="K114" s="1691">
        <f t="shared" si="13"/>
        <v>9403153</v>
      </c>
      <c r="L114" s="1691">
        <f>SUM(L33,L74,L75,L102,L112,L113)</f>
        <v>9550435</v>
      </c>
    </row>
    <row r="115" spans="1:14" ht="13.5" thickTop="1" x14ac:dyDescent="0.2">
      <c r="A115" s="2204" t="s">
        <v>1053</v>
      </c>
      <c r="B115" s="2205"/>
      <c r="C115" s="619"/>
      <c r="D115" s="619"/>
      <c r="E115" s="619"/>
      <c r="F115" s="619"/>
      <c r="G115" s="619"/>
      <c r="H115" s="619"/>
      <c r="I115" s="619"/>
      <c r="J115" s="619"/>
      <c r="K115" s="1705">
        <f>'Revenues 9-14'!C275-'Expenditures 15-22'!K114</f>
        <v>85556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314</v>
      </c>
      <c r="B117" s="2183"/>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v>25000</v>
      </c>
    </row>
    <row r="124" spans="1:14" ht="14.25" thickTop="1" thickBot="1" x14ac:dyDescent="0.25">
      <c r="A124" s="1525" t="s">
        <v>206</v>
      </c>
      <c r="B124" s="615">
        <v>2540</v>
      </c>
      <c r="C124" s="466">
        <v>254133</v>
      </c>
      <c r="D124" s="466">
        <f>25231-1</f>
        <v>25230</v>
      </c>
      <c r="E124" s="466">
        <v>157566</v>
      </c>
      <c r="F124" s="466">
        <v>359724</v>
      </c>
      <c r="G124" s="466">
        <v>13695</v>
      </c>
      <c r="H124" s="466"/>
      <c r="I124" s="467"/>
      <c r="J124" s="467"/>
      <c r="K124" s="1691">
        <f>SUM(C124:J124)</f>
        <v>810348</v>
      </c>
      <c r="L124" s="466">
        <v>813000</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254133</v>
      </c>
      <c r="D127" s="1691">
        <f t="shared" ref="D127:L127" si="14">SUM(D122:D126)</f>
        <v>25230</v>
      </c>
      <c r="E127" s="1691">
        <f t="shared" si="14"/>
        <v>157566</v>
      </c>
      <c r="F127" s="1691">
        <f t="shared" si="14"/>
        <v>359724</v>
      </c>
      <c r="G127" s="1691">
        <f t="shared" si="14"/>
        <v>13695</v>
      </c>
      <c r="H127" s="1691">
        <f t="shared" si="14"/>
        <v>0</v>
      </c>
      <c r="I127" s="1691">
        <f t="shared" si="14"/>
        <v>0</v>
      </c>
      <c r="J127" s="1691">
        <f t="shared" si="14"/>
        <v>0</v>
      </c>
      <c r="K127" s="1691">
        <f t="shared" si="14"/>
        <v>810348</v>
      </c>
      <c r="L127" s="1691">
        <f t="shared" si="14"/>
        <v>838000</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254133</v>
      </c>
      <c r="D129" s="1698">
        <f t="shared" ref="D129:L129" si="15">SUM(D120,D127,D128)</f>
        <v>25230</v>
      </c>
      <c r="E129" s="1698">
        <f t="shared" si="15"/>
        <v>157566</v>
      </c>
      <c r="F129" s="1698">
        <f t="shared" si="15"/>
        <v>359724</v>
      </c>
      <c r="G129" s="1698">
        <f t="shared" si="15"/>
        <v>13695</v>
      </c>
      <c r="H129" s="1698">
        <f t="shared" si="15"/>
        <v>0</v>
      </c>
      <c r="I129" s="1698">
        <f t="shared" si="15"/>
        <v>0</v>
      </c>
      <c r="J129" s="1698">
        <f t="shared" si="15"/>
        <v>0</v>
      </c>
      <c r="K129" s="1698">
        <f t="shared" si="15"/>
        <v>810348</v>
      </c>
      <c r="L129" s="1698">
        <f t="shared" si="15"/>
        <v>838000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1955</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4" t="s">
        <v>641</v>
      </c>
      <c r="B151" s="2176"/>
      <c r="C151" s="1691">
        <f>SUM(C129,C130,C139,C149,C150)</f>
        <v>254133</v>
      </c>
      <c r="D151" s="1691">
        <f t="shared" ref="D151:K151" si="16">SUM(D129,D130,D139,D149,D150)</f>
        <v>25230</v>
      </c>
      <c r="E151" s="1691">
        <f t="shared" si="16"/>
        <v>157566</v>
      </c>
      <c r="F151" s="1691">
        <f t="shared" si="16"/>
        <v>359724</v>
      </c>
      <c r="G151" s="1691">
        <f t="shared" si="16"/>
        <v>13695</v>
      </c>
      <c r="H151" s="1691">
        <f t="shared" si="16"/>
        <v>0</v>
      </c>
      <c r="I151" s="1691">
        <f t="shared" si="16"/>
        <v>0</v>
      </c>
      <c r="J151" s="1691">
        <f t="shared" si="16"/>
        <v>0</v>
      </c>
      <c r="K151" s="1691">
        <f t="shared" si="16"/>
        <v>810348</v>
      </c>
      <c r="L151" s="1691">
        <f>SUM(L129,L130,L139,L149,L150)</f>
        <v>838000</v>
      </c>
    </row>
    <row r="152" spans="1:14" ht="12.75" customHeight="1" thickTop="1" x14ac:dyDescent="0.2">
      <c r="A152" s="2197" t="s">
        <v>1240</v>
      </c>
      <c r="B152" s="2198"/>
      <c r="C152" s="619"/>
      <c r="D152" s="619"/>
      <c r="E152" s="619"/>
      <c r="F152" s="619"/>
      <c r="G152" s="619"/>
      <c r="H152" s="619"/>
      <c r="I152" s="619"/>
      <c r="J152" s="617"/>
      <c r="K152" s="1705">
        <f>'Revenues 9-14'!D275-'Expenditures 15-22'!K151</f>
        <v>-77210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642</v>
      </c>
      <c r="B154" s="2184"/>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1956</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1955</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1957</v>
      </c>
      <c r="C158" s="617"/>
      <c r="D158" s="617"/>
      <c r="E158" s="617"/>
      <c r="F158" s="617"/>
      <c r="G158" s="617"/>
      <c r="H158" s="467"/>
      <c r="I158" s="617"/>
      <c r="J158" s="617"/>
      <c r="K158" s="1692">
        <f>H158</f>
        <v>0</v>
      </c>
      <c r="L158" s="467"/>
      <c r="M158" s="620"/>
      <c r="N158" s="620"/>
    </row>
    <row r="159" spans="1:14" s="621" customFormat="1" ht="12" x14ac:dyDescent="0.2">
      <c r="A159" s="1848" t="s">
        <v>1958</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1959</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v>328273</v>
      </c>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328273</v>
      </c>
    </row>
    <row r="169" spans="1:14" ht="15.75" customHeight="1" thickTop="1" x14ac:dyDescent="0.2">
      <c r="A169" s="670" t="s">
        <v>85</v>
      </c>
      <c r="B169" s="671" t="s">
        <v>38</v>
      </c>
      <c r="C169" s="617"/>
      <c r="D169" s="617"/>
      <c r="E169" s="617"/>
      <c r="F169" s="617"/>
      <c r="G169" s="617"/>
      <c r="H169" s="657">
        <f>334404-1</f>
        <v>334403</v>
      </c>
      <c r="I169" s="617"/>
      <c r="J169" s="617"/>
      <c r="K169" s="1692">
        <f>SUM(C169:H169)</f>
        <v>334403</v>
      </c>
      <c r="L169" s="657">
        <v>601130</v>
      </c>
    </row>
    <row r="170" spans="1:14" ht="33.75" customHeight="1" x14ac:dyDescent="0.2">
      <c r="A170" s="670" t="s">
        <v>1769</v>
      </c>
      <c r="B170" s="672" t="s">
        <v>31</v>
      </c>
      <c r="C170" s="617"/>
      <c r="D170" s="617"/>
      <c r="E170" s="617"/>
      <c r="F170" s="617"/>
      <c r="G170" s="617"/>
      <c r="H170" s="569">
        <v>595000</v>
      </c>
      <c r="I170" s="617"/>
      <c r="J170" s="617"/>
      <c r="K170" s="1692">
        <f>SUM(C170:J170)</f>
        <v>595000</v>
      </c>
      <c r="L170" s="569"/>
    </row>
    <row r="171" spans="1:14" ht="15.75" customHeight="1" x14ac:dyDescent="0.2">
      <c r="A171" s="622" t="s">
        <v>790</v>
      </c>
      <c r="B171" s="673" t="s">
        <v>86</v>
      </c>
      <c r="C171" s="617"/>
      <c r="D171" s="617"/>
      <c r="E171" s="466"/>
      <c r="F171" s="617"/>
      <c r="G171" s="617"/>
      <c r="H171" s="569">
        <v>500</v>
      </c>
      <c r="I171" s="477"/>
      <c r="J171" s="617"/>
      <c r="K171" s="1692">
        <f>SUM(C171:J171)</f>
        <v>500</v>
      </c>
      <c r="L171" s="569">
        <v>500</v>
      </c>
    </row>
    <row r="172" spans="1:14" ht="12.75" customHeight="1" thickBot="1" x14ac:dyDescent="0.25">
      <c r="A172" s="1689" t="s">
        <v>659</v>
      </c>
      <c r="B172" s="1690" t="s">
        <v>513</v>
      </c>
      <c r="C172" s="617"/>
      <c r="D172" s="617"/>
      <c r="E172" s="1698">
        <f>SUM(E168,E169,E170,E171)</f>
        <v>0</v>
      </c>
      <c r="F172" s="617"/>
      <c r="G172" s="617"/>
      <c r="H172" s="1698">
        <f>SUM(H168,H169,H170,H171)</f>
        <v>929903</v>
      </c>
      <c r="I172" s="639"/>
      <c r="J172" s="617"/>
      <c r="K172" s="1698">
        <f>SUM(K168,K169,K170,K171)</f>
        <v>929903</v>
      </c>
      <c r="L172" s="1698">
        <f>SUM(L168,L169,L170,L171)</f>
        <v>929903</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929903</v>
      </c>
      <c r="I174" s="639"/>
      <c r="J174" s="617"/>
      <c r="K174" s="1698">
        <f>SUM(K160,K172,K173)</f>
        <v>929903</v>
      </c>
      <c r="L174" s="1698">
        <f>SUM(L160,L172,L173)</f>
        <v>929903</v>
      </c>
    </row>
    <row r="175" spans="1:14" ht="13.5" thickTop="1" x14ac:dyDescent="0.2">
      <c r="A175" s="2204" t="s">
        <v>1053</v>
      </c>
      <c r="B175" s="2205"/>
      <c r="C175" s="617"/>
      <c r="D175" s="617"/>
      <c r="E175" s="617"/>
      <c r="F175" s="617"/>
      <c r="G175" s="617"/>
      <c r="H175" s="619"/>
      <c r="I175" s="617"/>
      <c r="J175" s="617"/>
      <c r="K175" s="1705">
        <f>'Revenues 9-14'!E275-'Expenditures 15-22'!K174</f>
        <v>397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243057</v>
      </c>
      <c r="D182" s="466">
        <v>23109</v>
      </c>
      <c r="E182" s="466">
        <v>69775</v>
      </c>
      <c r="F182" s="466">
        <v>84538</v>
      </c>
      <c r="G182" s="466"/>
      <c r="H182" s="466">
        <v>192</v>
      </c>
      <c r="I182" s="467"/>
      <c r="J182" s="467"/>
      <c r="K182" s="1692">
        <f>SUM(C182:J182)</f>
        <v>420671</v>
      </c>
      <c r="L182" s="466">
        <v>423599</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243057</v>
      </c>
      <c r="D184" s="1698">
        <f t="shared" ref="D184:J184" si="17">SUM(D180,D182,D183)</f>
        <v>23109</v>
      </c>
      <c r="E184" s="1698">
        <f t="shared" si="17"/>
        <v>69775</v>
      </c>
      <c r="F184" s="1698">
        <f t="shared" si="17"/>
        <v>84538</v>
      </c>
      <c r="G184" s="1698">
        <f t="shared" si="17"/>
        <v>0</v>
      </c>
      <c r="H184" s="1698">
        <f t="shared" si="17"/>
        <v>192</v>
      </c>
      <c r="I184" s="1698">
        <f t="shared" si="17"/>
        <v>0</v>
      </c>
      <c r="J184" s="1698">
        <f t="shared" si="17"/>
        <v>0</v>
      </c>
      <c r="K184" s="1698">
        <f>SUM(K180,K182,K183)</f>
        <v>420671</v>
      </c>
      <c r="L184" s="1698">
        <f>SUM(L180, L182:L183)</f>
        <v>423599</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243057</v>
      </c>
      <c r="D210" s="1691">
        <f>SUM(D184,D185)</f>
        <v>23109</v>
      </c>
      <c r="E210" s="1691">
        <f>SUM(E184,E185,E196)</f>
        <v>69775</v>
      </c>
      <c r="F210" s="1691">
        <f>SUM(F184,F185)</f>
        <v>84538</v>
      </c>
      <c r="G210" s="1691">
        <f>SUM(G184,G185)</f>
        <v>0</v>
      </c>
      <c r="H210" s="1691">
        <f>SUM(H184,H185,H196,H208,H209)</f>
        <v>192</v>
      </c>
      <c r="I210" s="1691">
        <f>SUM(I184,I185)</f>
        <v>0</v>
      </c>
      <c r="J210" s="1691">
        <f>SUM(J184,J185)</f>
        <v>0</v>
      </c>
      <c r="K210" s="1692">
        <f>SUM(K184,K185,K196,K208,K209)</f>
        <v>420671</v>
      </c>
      <c r="L210" s="1691">
        <f>SUM(L184,L185,L196,L208,L209)</f>
        <v>423599</v>
      </c>
    </row>
    <row r="211" spans="1:14" ht="13.5" thickTop="1" x14ac:dyDescent="0.2">
      <c r="A211" s="2204" t="s">
        <v>1053</v>
      </c>
      <c r="B211" s="2205"/>
      <c r="C211" s="619"/>
      <c r="D211" s="619"/>
      <c r="E211" s="619"/>
      <c r="F211" s="619"/>
      <c r="G211" s="619"/>
      <c r="H211" s="619"/>
      <c r="I211" s="617"/>
      <c r="J211" s="617"/>
      <c r="K211" s="1705">
        <f>'Revenues 9-14'!F275-'Expenditures 15-22'!K210</f>
        <v>146996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1022</v>
      </c>
      <c r="B213" s="2200"/>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f>88057+1</f>
        <v>88058</v>
      </c>
      <c r="E215" s="617"/>
      <c r="F215" s="617"/>
      <c r="G215" s="617"/>
      <c r="H215" s="617"/>
      <c r="I215" s="617"/>
      <c r="J215" s="617"/>
      <c r="K215" s="1692">
        <f>D215</f>
        <v>88058</v>
      </c>
      <c r="L215" s="466">
        <v>98544</v>
      </c>
    </row>
    <row r="216" spans="1:14" x14ac:dyDescent="0.2">
      <c r="A216" s="1525" t="s">
        <v>165</v>
      </c>
      <c r="B216" s="615" t="s">
        <v>1024</v>
      </c>
      <c r="C216" s="617"/>
      <c r="D216" s="467">
        <f>8118+1</f>
        <v>8119</v>
      </c>
      <c r="E216" s="617"/>
      <c r="F216" s="617"/>
      <c r="G216" s="617"/>
      <c r="H216" s="617"/>
      <c r="I216" s="617"/>
      <c r="J216" s="617"/>
      <c r="K216" s="1692">
        <f t="shared" ref="K216:K228" si="19">D216</f>
        <v>8119</v>
      </c>
      <c r="L216" s="466">
        <v>6470</v>
      </c>
    </row>
    <row r="217" spans="1:14" x14ac:dyDescent="0.2">
      <c r="A217" s="1525" t="s">
        <v>166</v>
      </c>
      <c r="B217" s="615">
        <v>1200</v>
      </c>
      <c r="C217" s="617"/>
      <c r="D217" s="466">
        <v>86934</v>
      </c>
      <c r="E217" s="617"/>
      <c r="F217" s="617"/>
      <c r="G217" s="617"/>
      <c r="H217" s="617"/>
      <c r="I217" s="617"/>
      <c r="J217" s="617"/>
      <c r="K217" s="1692">
        <f t="shared" si="19"/>
        <v>86934</v>
      </c>
      <c r="L217" s="466">
        <v>89008</v>
      </c>
    </row>
    <row r="218" spans="1:14" x14ac:dyDescent="0.2">
      <c r="A218" s="1525" t="s">
        <v>296</v>
      </c>
      <c r="B218" s="615" t="s">
        <v>1025</v>
      </c>
      <c r="C218" s="617"/>
      <c r="D218" s="467">
        <v>713</v>
      </c>
      <c r="E218" s="617"/>
      <c r="F218" s="617"/>
      <c r="G218" s="617"/>
      <c r="H218" s="617"/>
      <c r="I218" s="617"/>
      <c r="J218" s="617"/>
      <c r="K218" s="1692">
        <f t="shared" si="19"/>
        <v>713</v>
      </c>
      <c r="L218" s="466">
        <v>3720</v>
      </c>
    </row>
    <row r="219" spans="1:14" x14ac:dyDescent="0.2">
      <c r="A219" s="1525" t="s">
        <v>297</v>
      </c>
      <c r="B219" s="615">
        <v>1250</v>
      </c>
      <c r="C219" s="617"/>
      <c r="D219" s="466">
        <v>9234</v>
      </c>
      <c r="E219" s="617"/>
      <c r="F219" s="617"/>
      <c r="G219" s="617"/>
      <c r="H219" s="617"/>
      <c r="I219" s="617"/>
      <c r="J219" s="617"/>
      <c r="K219" s="1692">
        <f t="shared" si="19"/>
        <v>9234</v>
      </c>
      <c r="L219" s="466">
        <v>9730</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3871</v>
      </c>
      <c r="E222" s="617"/>
      <c r="F222" s="617"/>
      <c r="G222" s="617"/>
      <c r="H222" s="617"/>
      <c r="I222" s="617"/>
      <c r="J222" s="617"/>
      <c r="K222" s="1692">
        <f t="shared" si="19"/>
        <v>3871</v>
      </c>
      <c r="L222" s="466">
        <v>3895</v>
      </c>
    </row>
    <row r="223" spans="1:14" x14ac:dyDescent="0.2">
      <c r="A223" s="1525" t="s">
        <v>1020</v>
      </c>
      <c r="B223" s="615">
        <v>1500</v>
      </c>
      <c r="C223" s="617"/>
      <c r="D223" s="466">
        <v>11035</v>
      </c>
      <c r="E223" s="617"/>
      <c r="F223" s="617"/>
      <c r="G223" s="617"/>
      <c r="H223" s="617"/>
      <c r="I223" s="617"/>
      <c r="J223" s="617"/>
      <c r="K223" s="1692">
        <f t="shared" si="19"/>
        <v>11035</v>
      </c>
      <c r="L223" s="466">
        <v>11594</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942</v>
      </c>
      <c r="E226" s="617"/>
      <c r="F226" s="617"/>
      <c r="G226" s="617"/>
      <c r="H226" s="617"/>
      <c r="I226" s="617"/>
      <c r="J226" s="617"/>
      <c r="K226" s="1692">
        <f t="shared" si="19"/>
        <v>942</v>
      </c>
      <c r="L226" s="466">
        <v>932</v>
      </c>
    </row>
    <row r="227" spans="1:12" x14ac:dyDescent="0.2">
      <c r="A227" s="1525" t="s">
        <v>1148</v>
      </c>
      <c r="B227" s="615">
        <v>1800</v>
      </c>
      <c r="C227" s="617"/>
      <c r="D227" s="466">
        <v>2724</v>
      </c>
      <c r="E227" s="617"/>
      <c r="F227" s="617"/>
      <c r="G227" s="617"/>
      <c r="H227" s="617"/>
      <c r="I227" s="617"/>
      <c r="J227" s="617"/>
      <c r="K227" s="1692">
        <f t="shared" si="19"/>
        <v>2724</v>
      </c>
      <c r="L227" s="466">
        <v>3584</v>
      </c>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211630</v>
      </c>
      <c r="E229" s="617"/>
      <c r="F229" s="617"/>
      <c r="G229" s="617"/>
      <c r="H229" s="617"/>
      <c r="I229" s="617"/>
      <c r="J229" s="617"/>
      <c r="K229" s="1691">
        <f>SUM(K215:K228)</f>
        <v>211630</v>
      </c>
      <c r="L229" s="1691">
        <f>SUM(L215:L228)</f>
        <v>227477</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867</v>
      </c>
      <c r="E232" s="617"/>
      <c r="F232" s="617"/>
      <c r="G232" s="617"/>
      <c r="H232" s="617"/>
      <c r="I232" s="617"/>
      <c r="J232" s="617"/>
      <c r="K232" s="1692">
        <f t="shared" ref="K232:K237" si="20">D232</f>
        <v>867</v>
      </c>
      <c r="L232" s="466">
        <v>870</v>
      </c>
    </row>
    <row r="233" spans="1:12" x14ac:dyDescent="0.2">
      <c r="A233" s="1525" t="s">
        <v>1151</v>
      </c>
      <c r="B233" s="615">
        <v>2120</v>
      </c>
      <c r="C233" s="617"/>
      <c r="D233" s="466">
        <v>1398</v>
      </c>
      <c r="E233" s="617"/>
      <c r="F233" s="617"/>
      <c r="G233" s="617"/>
      <c r="H233" s="617"/>
      <c r="I233" s="617"/>
      <c r="J233" s="617"/>
      <c r="K233" s="1692">
        <f t="shared" si="20"/>
        <v>1398</v>
      </c>
      <c r="L233" s="466">
        <v>1374</v>
      </c>
    </row>
    <row r="234" spans="1:12" x14ac:dyDescent="0.2">
      <c r="A234" s="1525" t="s">
        <v>207</v>
      </c>
      <c r="B234" s="615">
        <v>2130</v>
      </c>
      <c r="C234" s="617"/>
      <c r="D234" s="466">
        <v>819</v>
      </c>
      <c r="E234" s="617"/>
      <c r="F234" s="617"/>
      <c r="G234" s="617"/>
      <c r="H234" s="617"/>
      <c r="I234" s="617"/>
      <c r="J234" s="617"/>
      <c r="K234" s="1692">
        <f t="shared" si="20"/>
        <v>819</v>
      </c>
      <c r="L234" s="466">
        <v>820</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1785</v>
      </c>
      <c r="E236" s="617"/>
      <c r="F236" s="617"/>
      <c r="G236" s="617"/>
      <c r="H236" s="617"/>
      <c r="I236" s="617"/>
      <c r="J236" s="617"/>
      <c r="K236" s="1692">
        <f t="shared" si="20"/>
        <v>1785</v>
      </c>
      <c r="L236" s="466">
        <v>1754</v>
      </c>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4869</v>
      </c>
      <c r="E238" s="617"/>
      <c r="F238" s="617"/>
      <c r="G238" s="617"/>
      <c r="H238" s="617"/>
      <c r="I238" s="617"/>
      <c r="J238" s="617"/>
      <c r="K238" s="1691">
        <f>SUM(K232:K237)</f>
        <v>4869</v>
      </c>
      <c r="L238" s="1691">
        <f>SUM(L232:L237)</f>
        <v>4818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106</v>
      </c>
      <c r="E240" s="617"/>
      <c r="F240" s="617"/>
      <c r="G240" s="617"/>
      <c r="H240" s="617"/>
      <c r="I240" s="617"/>
      <c r="J240" s="617"/>
      <c r="K240" s="1693">
        <f>D240</f>
        <v>106</v>
      </c>
      <c r="L240" s="481">
        <v>255</v>
      </c>
    </row>
    <row r="241" spans="1:12" x14ac:dyDescent="0.2">
      <c r="A241" s="1525" t="s">
        <v>869</v>
      </c>
      <c r="B241" s="615">
        <v>2220</v>
      </c>
      <c r="C241" s="617"/>
      <c r="D241" s="466">
        <v>1039</v>
      </c>
      <c r="E241" s="617"/>
      <c r="F241" s="617"/>
      <c r="G241" s="617"/>
      <c r="H241" s="617"/>
      <c r="I241" s="617"/>
      <c r="J241" s="617"/>
      <c r="K241" s="1693">
        <f>D241</f>
        <v>1039</v>
      </c>
      <c r="L241" s="466">
        <v>1036</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1145</v>
      </c>
      <c r="E243" s="617"/>
      <c r="F243" s="617"/>
      <c r="G243" s="617"/>
      <c r="H243" s="617"/>
      <c r="I243" s="617"/>
      <c r="J243" s="617"/>
      <c r="K243" s="1691">
        <f>SUM(K240:K242)</f>
        <v>1145</v>
      </c>
      <c r="L243" s="1691">
        <f>SUM(L240:L242)</f>
        <v>1291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v>10703</v>
      </c>
      <c r="E246" s="617"/>
      <c r="F246" s="617"/>
      <c r="G246" s="617"/>
      <c r="H246" s="617"/>
      <c r="I246" s="617"/>
      <c r="J246" s="617"/>
      <c r="K246" s="1693">
        <f t="shared" ref="K246:K256" si="21">D246</f>
        <v>10703</v>
      </c>
      <c r="L246" s="466">
        <v>11216</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1906</v>
      </c>
      <c r="B249" s="684" t="s">
        <v>300</v>
      </c>
      <c r="C249" s="617"/>
      <c r="D249" s="474"/>
      <c r="E249" s="617"/>
      <c r="F249" s="617"/>
      <c r="G249" s="617"/>
      <c r="H249" s="617"/>
      <c r="I249" s="617"/>
      <c r="J249" s="617"/>
      <c r="K249" s="1693">
        <f t="shared" si="21"/>
        <v>0</v>
      </c>
      <c r="L249" s="466"/>
    </row>
    <row r="250" spans="1:12" x14ac:dyDescent="0.2">
      <c r="A250" s="1526" t="s">
        <v>1907</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10703</v>
      </c>
      <c r="E257" s="617"/>
      <c r="F257" s="617"/>
      <c r="G257" s="617"/>
      <c r="H257" s="617"/>
      <c r="I257" s="617"/>
      <c r="J257" s="617"/>
      <c r="K257" s="1691">
        <f>SUM(K245:K256)</f>
        <v>10703</v>
      </c>
      <c r="L257" s="1691">
        <f>SUM(L245:L256)</f>
        <v>11216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42396</v>
      </c>
      <c r="E259" s="617"/>
      <c r="F259" s="617"/>
      <c r="G259" s="617"/>
      <c r="H259" s="617"/>
      <c r="I259" s="617"/>
      <c r="J259" s="617"/>
      <c r="K259" s="1693">
        <f>D259</f>
        <v>42396</v>
      </c>
      <c r="L259" s="481">
        <v>44978</v>
      </c>
    </row>
    <row r="260" spans="1:14" s="598" customFormat="1" x14ac:dyDescent="0.2">
      <c r="A260" s="1543" t="s">
        <v>1905</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42396</v>
      </c>
      <c r="E261" s="617"/>
      <c r="F261" s="617"/>
      <c r="G261" s="617"/>
      <c r="H261" s="617"/>
      <c r="I261" s="617"/>
      <c r="J261" s="617"/>
      <c r="K261" s="1691">
        <f>SUM(K259:K260)</f>
        <v>42396</v>
      </c>
      <c r="L261" s="1691">
        <f>SUM(L259:L260)</f>
        <v>44978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9668</v>
      </c>
      <c r="E264" s="617"/>
      <c r="F264" s="617"/>
      <c r="G264" s="617"/>
      <c r="H264" s="617"/>
      <c r="I264" s="617"/>
      <c r="J264" s="617"/>
      <c r="K264" s="1693">
        <f t="shared" ref="K264:K269" si="22">D264</f>
        <v>9668</v>
      </c>
      <c r="L264" s="466">
        <v>10580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82371</v>
      </c>
      <c r="E266" s="617"/>
      <c r="F266" s="617"/>
      <c r="G266" s="617"/>
      <c r="H266" s="617"/>
      <c r="I266" s="617"/>
      <c r="J266" s="617"/>
      <c r="K266" s="1693">
        <f t="shared" si="22"/>
        <v>82371</v>
      </c>
      <c r="L266" s="466">
        <v>87206</v>
      </c>
    </row>
    <row r="267" spans="1:14" x14ac:dyDescent="0.2">
      <c r="A267" s="1525" t="s">
        <v>1010</v>
      </c>
      <c r="B267" s="615">
        <v>2550</v>
      </c>
      <c r="C267" s="617"/>
      <c r="D267" s="466">
        <v>58028</v>
      </c>
      <c r="E267" s="617"/>
      <c r="F267" s="617"/>
      <c r="G267" s="617"/>
      <c r="H267" s="617"/>
      <c r="I267" s="617"/>
      <c r="J267" s="617"/>
      <c r="K267" s="1693">
        <f t="shared" si="22"/>
        <v>58028</v>
      </c>
      <c r="L267" s="466">
        <v>65000</v>
      </c>
    </row>
    <row r="268" spans="1:14" x14ac:dyDescent="0.2">
      <c r="A268" s="1525" t="s">
        <v>102</v>
      </c>
      <c r="B268" s="615">
        <v>2560</v>
      </c>
      <c r="C268" s="617"/>
      <c r="D268" s="466"/>
      <c r="E268" s="617"/>
      <c r="F268" s="617"/>
      <c r="G268" s="617"/>
      <c r="H268" s="617"/>
      <c r="I268" s="617"/>
      <c r="J268" s="617"/>
      <c r="K268" s="1693">
        <f t="shared" si="22"/>
        <v>0</v>
      </c>
      <c r="L268" s="466"/>
    </row>
    <row r="269" spans="1:14" x14ac:dyDescent="0.2">
      <c r="A269" s="1525" t="s">
        <v>103</v>
      </c>
      <c r="B269" s="615">
        <v>2570</v>
      </c>
      <c r="C269" s="617"/>
      <c r="D269" s="466"/>
      <c r="E269" s="617"/>
      <c r="F269" s="617"/>
      <c r="G269" s="617"/>
      <c r="H269" s="617"/>
      <c r="I269" s="617"/>
      <c r="J269" s="617"/>
      <c r="K269" s="1693">
        <f t="shared" si="22"/>
        <v>0</v>
      </c>
      <c r="L269" s="466">
        <v>1240</v>
      </c>
    </row>
    <row r="270" spans="1:14" ht="12.75" customHeight="1" thickBot="1" x14ac:dyDescent="0.25">
      <c r="A270" s="1689" t="s">
        <v>743</v>
      </c>
      <c r="B270" s="1696" t="s">
        <v>35</v>
      </c>
      <c r="C270" s="617"/>
      <c r="D270" s="1691">
        <f>SUM(D263:D269)</f>
        <v>150067</v>
      </c>
      <c r="E270" s="617"/>
      <c r="F270" s="617"/>
      <c r="G270" s="617"/>
      <c r="H270" s="617"/>
      <c r="I270" s="617"/>
      <c r="J270" s="617"/>
      <c r="K270" s="1691">
        <f>SUM(K263:K269)</f>
        <v>150067</v>
      </c>
      <c r="L270" s="1691">
        <f>SUM(L263:L269)</f>
        <v>164026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209180</v>
      </c>
      <c r="E279" s="617"/>
      <c r="F279" s="617"/>
      <c r="G279" s="617"/>
      <c r="H279" s="617"/>
      <c r="I279" s="617"/>
      <c r="J279" s="617"/>
      <c r="K279" s="1698">
        <f>SUM(K238,K243,K257,K261,K270,K277,K278)</f>
        <v>209180</v>
      </c>
      <c r="L279" s="1698">
        <f>SUM(L238,L243,L257,L261,L270,L277,L278)</f>
        <v>226329</v>
      </c>
    </row>
    <row r="280" spans="1:12" ht="15.75" customHeight="1" thickTop="1" thickBot="1" x14ac:dyDescent="0.25">
      <c r="A280" s="1645" t="s">
        <v>930</v>
      </c>
      <c r="B280" s="1634">
        <v>3000</v>
      </c>
      <c r="C280" s="617"/>
      <c r="D280" s="576">
        <v>12993</v>
      </c>
      <c r="E280" s="617"/>
      <c r="F280" s="617"/>
      <c r="G280" s="617"/>
      <c r="H280" s="617"/>
      <c r="I280" s="617"/>
      <c r="J280" s="617"/>
      <c r="K280" s="1700">
        <f>D280</f>
        <v>12993</v>
      </c>
      <c r="L280" s="576">
        <v>12699</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1955</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5" t="s">
        <v>526</v>
      </c>
      <c r="B295" s="2196"/>
      <c r="C295" s="617"/>
      <c r="D295" s="1691">
        <f>SUM(D229,D279,D280,D285)</f>
        <v>433803</v>
      </c>
      <c r="E295" s="617"/>
      <c r="F295" s="617"/>
      <c r="G295" s="617"/>
      <c r="H295" s="1691">
        <f>H293</f>
        <v>0</v>
      </c>
      <c r="I295" s="617"/>
      <c r="J295" s="617"/>
      <c r="K295" s="1691">
        <f>SUM(K229,K279,K280,K285,K293,K294)</f>
        <v>433803</v>
      </c>
      <c r="L295" s="1691">
        <f>SUM(L229,L279,L280,L285,L293,L294)</f>
        <v>466505</v>
      </c>
    </row>
    <row r="296" spans="1:14" ht="13.5" thickTop="1" x14ac:dyDescent="0.2">
      <c r="A296" s="2204" t="s">
        <v>1053</v>
      </c>
      <c r="B296" s="2205"/>
      <c r="C296" s="617"/>
      <c r="D296" s="619"/>
      <c r="E296" s="617"/>
      <c r="F296" s="617"/>
      <c r="G296" s="617"/>
      <c r="H296" s="688"/>
      <c r="I296" s="617"/>
      <c r="J296" s="617"/>
      <c r="K296" s="1705">
        <f>'Revenues 9-14'!G275-'Expenditures 15-22'!K295</f>
        <v>13065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1960</v>
      </c>
      <c r="B306" s="691" t="s">
        <v>1955</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2" t="s">
        <v>295</v>
      </c>
      <c r="B312" s="2193"/>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8" t="s">
        <v>1053</v>
      </c>
      <c r="B313" s="2189"/>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954</v>
      </c>
      <c r="B317" s="2202"/>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1906</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0" t="s">
        <v>318</v>
      </c>
      <c r="B321" s="698" t="s">
        <v>301</v>
      </c>
      <c r="C321" s="467"/>
      <c r="D321" s="467"/>
      <c r="E321" s="467">
        <v>13538</v>
      </c>
      <c r="F321" s="467"/>
      <c r="G321" s="467"/>
      <c r="H321" s="467"/>
      <c r="I321" s="467"/>
      <c r="J321" s="467"/>
      <c r="K321" s="1692">
        <f t="shared" si="24"/>
        <v>13538</v>
      </c>
      <c r="L321" s="467">
        <v>14000</v>
      </c>
      <c r="M321" s="666"/>
      <c r="N321" s="666"/>
    </row>
    <row r="322" spans="1:14" s="675" customFormat="1" x14ac:dyDescent="0.2">
      <c r="A322" s="1540" t="s">
        <v>256</v>
      </c>
      <c r="B322" s="698" t="s">
        <v>302</v>
      </c>
      <c r="C322" s="467"/>
      <c r="D322" s="467"/>
      <c r="E322" s="467">
        <v>176980</v>
      </c>
      <c r="F322" s="467"/>
      <c r="G322" s="467"/>
      <c r="H322" s="467"/>
      <c r="I322" s="467"/>
      <c r="J322" s="467"/>
      <c r="K322" s="1692">
        <f t="shared" si="24"/>
        <v>176980</v>
      </c>
      <c r="L322" s="467">
        <v>180000</v>
      </c>
      <c r="M322" s="666"/>
      <c r="N322" s="666"/>
    </row>
    <row r="323" spans="1:14" s="675" customFormat="1" x14ac:dyDescent="0.2">
      <c r="A323" s="1540" t="s">
        <v>726</v>
      </c>
      <c r="B323" s="698" t="s">
        <v>303</v>
      </c>
      <c r="C323" s="467"/>
      <c r="D323" s="467"/>
      <c r="E323" s="467">
        <v>3235</v>
      </c>
      <c r="F323" s="467"/>
      <c r="G323" s="467"/>
      <c r="H323" s="467"/>
      <c r="I323" s="467"/>
      <c r="J323" s="467"/>
      <c r="K323" s="1692">
        <f t="shared" si="24"/>
        <v>3235</v>
      </c>
      <c r="L323" s="467">
        <v>6000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407007</v>
      </c>
      <c r="D325" s="467"/>
      <c r="E325" s="467"/>
      <c r="F325" s="467">
        <v>13787</v>
      </c>
      <c r="G325" s="467"/>
      <c r="H325" s="467"/>
      <c r="I325" s="467"/>
      <c r="J325" s="467"/>
      <c r="K325" s="1692">
        <f t="shared" si="24"/>
        <v>420794</v>
      </c>
      <c r="L325" s="467">
        <v>440000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5691</v>
      </c>
      <c r="F327" s="467"/>
      <c r="G327" s="467"/>
      <c r="H327" s="467"/>
      <c r="I327" s="467"/>
      <c r="J327" s="467"/>
      <c r="K327" s="1692">
        <f t="shared" si="24"/>
        <v>5691</v>
      </c>
      <c r="L327" s="467">
        <v>25000</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407007</v>
      </c>
      <c r="D330" s="1691">
        <f t="shared" ref="D330:J330" si="25">SUM(D319:D329)</f>
        <v>0</v>
      </c>
      <c r="E330" s="1691">
        <f t="shared" si="25"/>
        <v>199444</v>
      </c>
      <c r="F330" s="1691">
        <f t="shared" si="25"/>
        <v>13787</v>
      </c>
      <c r="G330" s="1691">
        <f t="shared" si="25"/>
        <v>0</v>
      </c>
      <c r="H330" s="1691">
        <f t="shared" si="25"/>
        <v>0</v>
      </c>
      <c r="I330" s="1691">
        <f t="shared" si="25"/>
        <v>0</v>
      </c>
      <c r="J330" s="1691">
        <f t="shared" si="25"/>
        <v>0</v>
      </c>
      <c r="K330" s="1691">
        <f>SUM(K319:K329)</f>
        <v>620238</v>
      </c>
      <c r="L330" s="1691">
        <f>SUM(L319:L329)</f>
        <v>665000</v>
      </c>
      <c r="M330" s="666"/>
      <c r="N330" s="666"/>
    </row>
    <row r="331" spans="1:14" s="675" customFormat="1" ht="12.75" customHeight="1" thickTop="1" x14ac:dyDescent="0.2">
      <c r="A331" s="1853" t="s">
        <v>1961</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1955</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1957</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1962</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407007</v>
      </c>
      <c r="D342" s="1691">
        <f>SUM(D330)</f>
        <v>0</v>
      </c>
      <c r="E342" s="1691">
        <f>SUM(E330)</f>
        <v>199444</v>
      </c>
      <c r="F342" s="1691">
        <f>SUM(F330)</f>
        <v>13787</v>
      </c>
      <c r="G342" s="1691">
        <f>SUM(G330)</f>
        <v>0</v>
      </c>
      <c r="H342" s="1691">
        <f>SUM(H330,H334,H340)</f>
        <v>0</v>
      </c>
      <c r="I342" s="1691">
        <f>SUM(I330)</f>
        <v>0</v>
      </c>
      <c r="J342" s="1691">
        <f>SUM(J330)</f>
        <v>0</v>
      </c>
      <c r="K342" s="1691">
        <f>SUM(K330,K334,K340)</f>
        <v>620238</v>
      </c>
      <c r="L342" s="1698">
        <f>SUM(L330,L340,L341)</f>
        <v>665000</v>
      </c>
    </row>
    <row r="343" spans="1:14" ht="12.75" customHeight="1" thickTop="1" x14ac:dyDescent="0.2">
      <c r="A343" s="2190" t="s">
        <v>1053</v>
      </c>
      <c r="B343" s="2191"/>
      <c r="C343" s="617"/>
      <c r="D343" s="617"/>
      <c r="E343" s="617"/>
      <c r="F343" s="617"/>
      <c r="G343" s="617"/>
      <c r="H343" s="617"/>
      <c r="I343" s="617"/>
      <c r="J343" s="617"/>
      <c r="K343" s="1705">
        <f>'Revenues 9-14'!J275-'Expenditures 15-22'!K342</f>
        <v>-17772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1023</v>
      </c>
      <c r="B345" s="2181"/>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v>200000</v>
      </c>
    </row>
    <row r="349" spans="1:14" x14ac:dyDescent="0.2">
      <c r="A349" s="1525" t="s">
        <v>206</v>
      </c>
      <c r="B349" s="615">
        <v>2540</v>
      </c>
      <c r="C349" s="466"/>
      <c r="D349" s="466"/>
      <c r="E349" s="466"/>
      <c r="F349" s="466"/>
      <c r="G349" s="466"/>
      <c r="H349" s="466"/>
      <c r="I349" s="467"/>
      <c r="J349" s="467"/>
      <c r="K349" s="1692">
        <f>SUM(C349:J349)</f>
        <v>0</v>
      </c>
      <c r="L349" s="466">
        <v>15000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215000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215000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1963</v>
      </c>
      <c r="B354" s="684" t="s">
        <v>1955</v>
      </c>
      <c r="C354" s="617"/>
      <c r="D354" s="617"/>
      <c r="E354" s="617"/>
      <c r="F354" s="617"/>
      <c r="G354" s="617"/>
      <c r="H354" s="474"/>
      <c r="I354" s="702"/>
      <c r="J354" s="617"/>
      <c r="K354" s="1720">
        <f>H354</f>
        <v>0</v>
      </c>
      <c r="L354" s="471"/>
    </row>
    <row r="355" spans="1:14" ht="12.75" customHeight="1" x14ac:dyDescent="0.2">
      <c r="A355" s="1534" t="s">
        <v>1964</v>
      </c>
      <c r="B355" s="691" t="s">
        <v>1957</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215000</v>
      </c>
    </row>
    <row r="368" spans="1:14" ht="13.5" thickTop="1" x14ac:dyDescent="0.2">
      <c r="A368" s="2204" t="s">
        <v>1053</v>
      </c>
      <c r="B368" s="2205"/>
      <c r="C368" s="655"/>
      <c r="D368" s="655"/>
      <c r="E368" s="627"/>
      <c r="F368" s="627"/>
      <c r="G368" s="627"/>
      <c r="H368" s="627"/>
      <c r="I368" s="627"/>
      <c r="J368" s="624"/>
      <c r="K368" s="1692">
        <f>'Revenues 9-14'!K275-'Expenditures 15-22'!K367</f>
        <v>71145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&amp;L&amp;8See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d21dc803-237d-4c68-8692-8d731fd29118"/>
    <ds:schemaRef ds:uri="http://purl.org/dc/terms/"/>
    <ds:schemaRef ds:uri="http://purl.org/dc/dcmitype/"/>
    <ds:schemaRef ds:uri="http://purl.org/dc/elements/1.1/"/>
    <ds:schemaRef ds:uri="6ce3111e-7420-4802-b50a-75d4e9a0b980"/>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2018-10-15T16:09:18Z</cp:lastPrinted>
  <dcterms:created xsi:type="dcterms:W3CDTF">2003-10-29T19:06:34Z</dcterms:created>
  <dcterms:modified xsi:type="dcterms:W3CDTF">2018-11-28T16:09:45Z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WESCLIN CUSD #3</vt:lpwstr>
  </property>
  <property fmtid="{D5CDD505-2E9C-101B-9397-08002B2CF9AE}" pid="6" name="PPC_Template_Engagement_Date">
    <vt:lpwstr>6/30/2018</vt:lpwstr>
  </property>
</Properties>
</file>