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125"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SEFA'!$B$1:$M$49</definedName>
    <definedName name="_xlnm.Print_Area" localSheetId="28">' SEFA (2)'!$B$1:$M$48</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K19" i="183" l="1"/>
  <c r="J19" i="183"/>
  <c r="I19" i="183"/>
  <c r="H19" i="183"/>
  <c r="G19" i="183"/>
  <c r="F19" i="183"/>
  <c r="E19" i="183"/>
  <c r="L22" i="179" l="1"/>
  <c r="L21" i="179"/>
  <c r="L24" i="183" l="1"/>
  <c r="K25" i="179"/>
  <c r="J25" i="179"/>
  <c r="I25" i="179"/>
  <c r="H25" i="179"/>
  <c r="G25" i="179"/>
  <c r="F25" i="179"/>
  <c r="E25" i="179"/>
  <c r="L24" i="179"/>
  <c r="I14" i="11" l="1"/>
  <c r="I13" i="11"/>
  <c r="I12" i="11"/>
  <c r="D14" i="11"/>
  <c r="L19" i="179" l="1"/>
  <c r="K20" i="183" l="1"/>
  <c r="J20" i="183"/>
  <c r="I20" i="183"/>
  <c r="H20" i="183"/>
  <c r="G20" i="183"/>
  <c r="F20" i="183"/>
  <c r="E20" i="183"/>
  <c r="L18" i="183"/>
  <c r="L17" i="183"/>
  <c r="L16" i="183"/>
  <c r="L15" i="183"/>
  <c r="L14" i="183"/>
  <c r="B4" i="183"/>
  <c r="K30" i="179"/>
  <c r="J30" i="179"/>
  <c r="I30" i="179"/>
  <c r="H30" i="179"/>
  <c r="G30" i="179"/>
  <c r="F30" i="179"/>
  <c r="E30" i="179"/>
  <c r="F29" i="183" l="1"/>
  <c r="L19" i="183"/>
  <c r="L20" i="183" s="1"/>
  <c r="E29" i="183"/>
  <c r="G29" i="183"/>
  <c r="I29" i="183"/>
  <c r="L29" i="183" l="1"/>
  <c r="N21"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2" i="181"/>
  <c r="G22" i="181" s="1"/>
  <c r="E22" i="181"/>
  <c r="F21" i="181"/>
  <c r="G21" i="181" s="1"/>
  <c r="E21" i="181"/>
  <c r="F20" i="181"/>
  <c r="G20" i="181" s="1"/>
  <c r="E20" i="181"/>
  <c r="E19" i="181"/>
  <c r="F19" i="181" s="1"/>
  <c r="G19" i="181" s="1"/>
  <c r="F18" i="181"/>
  <c r="G18" i="181" s="1"/>
  <c r="E18" i="181"/>
  <c r="D23" i="181" l="1"/>
  <c r="D80" i="36" l="1"/>
  <c r="B7797" i="106"/>
  <c r="E23" i="181"/>
  <c r="E17" i="181"/>
  <c r="E16" i="181"/>
  <c r="F16" i="181" s="1"/>
  <c r="G16" i="181" s="1"/>
  <c r="F17" i="181" l="1"/>
  <c r="G17" i="181" s="1"/>
  <c r="G23" i="181" s="1"/>
  <c r="G40" i="108" l="1"/>
  <c r="B7799" i="106"/>
  <c r="F23" i="181"/>
  <c r="B7798" i="106" s="1"/>
  <c r="E40" i="108"/>
  <c r="B4" i="179" l="1"/>
  <c r="D17" i="171" l="1"/>
  <c r="L30" i="179" l="1"/>
  <c r="L29" i="179"/>
  <c r="L18" i="179"/>
  <c r="L17" i="179"/>
  <c r="L16" i="179"/>
  <c r="L15" i="179"/>
  <c r="L14" i="179"/>
  <c r="L13" i="179"/>
  <c r="L25" i="179" l="1"/>
  <c r="D14" i="17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D7761" i="106" s="1"/>
  <c r="L127" i="29"/>
  <c r="L129" i="29" s="1"/>
  <c r="L139" i="29"/>
  <c r="L149" i="29"/>
  <c r="I7" i="145"/>
  <c r="I6" i="145"/>
  <c r="D78" i="36"/>
  <c r="K75" i="29"/>
  <c r="K130" i="29"/>
  <c r="B2805" i="106" s="1"/>
  <c r="D2805" i="106" s="1"/>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K94" i="29"/>
  <c r="B6999" i="106" s="1"/>
  <c r="D6999" i="106" s="1"/>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J36" i="8" s="1"/>
  <c r="I37" i="8"/>
  <c r="J37" i="8" s="1"/>
  <c r="I38" i="8"/>
  <c r="J38" i="8" s="1"/>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5" i="127"/>
  <c r="B66" i="127"/>
  <c r="D26" i="108"/>
  <c r="E26" i="108"/>
  <c r="F26" i="108"/>
  <c r="G26"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F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F14" i="4"/>
  <c r="B2597" i="106" s="1"/>
  <c r="D2597" i="106" s="1"/>
  <c r="B2633" i="106"/>
  <c r="D2633" i="106" s="1"/>
  <c r="D7" i="118"/>
  <c r="D8" i="118"/>
  <c r="D9" i="118"/>
  <c r="H14" i="118"/>
  <c r="H19" i="118"/>
  <c r="H24" i="118"/>
  <c r="L22" i="37"/>
  <c r="J22" i="37" l="1"/>
  <c r="F50" i="34"/>
  <c r="G39" i="108"/>
  <c r="B6995" i="106"/>
  <c r="D6995" i="106" s="1"/>
  <c r="D14" i="4"/>
  <c r="B2570" i="106" s="1"/>
  <c r="D2570" i="106" s="1"/>
  <c r="F49" i="34"/>
  <c r="F44" i="34"/>
  <c r="F67" i="34"/>
  <c r="F56" i="34"/>
  <c r="F64" i="34"/>
  <c r="F36" i="34"/>
  <c r="F42" i="34"/>
  <c r="G14" i="4"/>
  <c r="B2609" i="106" s="1"/>
  <c r="D2609" i="106" s="1"/>
  <c r="F72" i="34"/>
  <c r="F71" i="34"/>
  <c r="H33" i="118"/>
  <c r="D22" i="37"/>
  <c r="F46" i="34"/>
  <c r="B1223" i="106"/>
  <c r="D1223" i="106" s="1"/>
  <c r="F35" i="34"/>
  <c r="B1746" i="106"/>
  <c r="D1746" i="106" s="1"/>
  <c r="B1126" i="106"/>
  <c r="D1126" i="106" s="1"/>
  <c r="F70" i="34"/>
  <c r="F38" i="34"/>
  <c r="F41" i="34"/>
  <c r="K24" i="12"/>
  <c r="D7" i="7"/>
  <c r="B1763" i="106" s="1"/>
  <c r="D1763" i="106" s="1"/>
  <c r="D24" i="37"/>
  <c r="B4270" i="106" s="1"/>
  <c r="D4270" i="106" s="1"/>
  <c r="D11" i="7"/>
  <c r="B1768" i="106" s="1"/>
  <c r="D1768" i="106" s="1"/>
  <c r="I24" i="12"/>
  <c r="H28" i="118"/>
  <c r="D68" i="36"/>
  <c r="J49" i="8"/>
  <c r="B4172" i="106" s="1"/>
  <c r="D4172" i="106" s="1"/>
  <c r="D6103" i="106"/>
  <c r="G15" i="145"/>
  <c r="F21" i="8"/>
  <c r="B2029" i="106"/>
  <c r="D2029" i="106" s="1"/>
  <c r="M19" i="3"/>
  <c r="B276" i="106" s="1"/>
  <c r="D276" i="106" s="1"/>
  <c r="B2028" i="106"/>
  <c r="D2028" i="106" s="1"/>
  <c r="M18" i="3"/>
  <c r="B275" i="106" s="1"/>
  <c r="D275" i="106" s="1"/>
  <c r="B2027" i="106"/>
  <c r="D2027" i="106" s="1"/>
  <c r="B274" i="106"/>
  <c r="D274" i="106" s="1"/>
  <c r="B2026" i="106"/>
  <c r="D2026" i="106" s="1"/>
  <c r="M16" i="3"/>
  <c r="D17" i="7"/>
  <c r="B4104" i="106" s="1"/>
  <c r="D4104" i="106" s="1"/>
  <c r="H76" i="4"/>
  <c r="B3298" i="106" s="1"/>
  <c r="D3298" i="106" s="1"/>
  <c r="D31" i="36"/>
  <c r="D11" i="37"/>
  <c r="H29" i="118"/>
  <c r="F19" i="7"/>
  <c r="B1807" i="106" s="1"/>
  <c r="D1807" i="106" s="1"/>
  <c r="D13" i="7"/>
  <c r="B3726" i="106" s="1"/>
  <c r="D3726" i="106" s="1"/>
  <c r="L13" i="11"/>
  <c r="B2060" i="106" s="1"/>
  <c r="D2060" i="106" s="1"/>
  <c r="H342" i="29"/>
  <c r="B7221" i="106" s="1"/>
  <c r="D7221" i="106" s="1"/>
  <c r="L15" i="11"/>
  <c r="B3459" i="106" s="1"/>
  <c r="D3459" i="106" s="1"/>
  <c r="D9" i="7"/>
  <c r="B1767" i="106" s="1"/>
  <c r="D1767" i="106" s="1"/>
  <c r="C342" i="29"/>
  <c r="B7216" i="106" s="1"/>
  <c r="D7216" i="106" s="1"/>
  <c r="G5" i="4"/>
  <c r="B3409" i="106" s="1"/>
  <c r="D3409" i="106" s="1"/>
  <c r="D4" i="7"/>
  <c r="B1760" i="106" s="1"/>
  <c r="D1760" i="106" s="1"/>
  <c r="F111" i="34"/>
  <c r="D12" i="7"/>
  <c r="B1769" i="106" s="1"/>
  <c r="D1769" i="106" s="1"/>
  <c r="B6289" i="106"/>
  <c r="D6289" i="106" s="1"/>
  <c r="G29" i="108"/>
  <c r="E29" i="108"/>
  <c r="L342" i="29"/>
  <c r="H109" i="5"/>
  <c r="B6025" i="106" s="1"/>
  <c r="D6025" i="106" s="1"/>
  <c r="F131" i="34"/>
  <c r="J77" i="4"/>
  <c r="B6262" i="106" s="1"/>
  <c r="D6262" i="106" s="1"/>
  <c r="B6261" i="106"/>
  <c r="D6261" i="106" s="1"/>
  <c r="J274" i="5"/>
  <c r="B7054" i="106" s="1"/>
  <c r="D7054" i="106" s="1"/>
  <c r="B4373" i="106"/>
  <c r="D4373" i="106" s="1"/>
  <c r="B4414" i="106"/>
  <c r="D4414" i="106" s="1"/>
  <c r="F106" i="34"/>
  <c r="F28" i="108"/>
  <c r="F41" i="108" s="1"/>
  <c r="G43" i="108" s="1"/>
  <c r="E28" i="108"/>
  <c r="H112" i="29"/>
  <c r="B7018" i="106" s="1"/>
  <c r="D7018" i="106" s="1"/>
  <c r="G352" i="29"/>
  <c r="G367" i="29" s="1"/>
  <c r="B3650" i="106" s="1"/>
  <c r="D3650" i="106" s="1"/>
  <c r="L367" i="29"/>
  <c r="K184" i="29"/>
  <c r="F13" i="4" s="1"/>
  <c r="B2596" i="106" s="1"/>
  <c r="D2596" i="106" s="1"/>
  <c r="G172" i="5"/>
  <c r="G173" i="5" s="1"/>
  <c r="D5" i="4"/>
  <c r="B3406" i="106" s="1"/>
  <c r="D3406" i="106" s="1"/>
  <c r="E109" i="5"/>
  <c r="E4" i="4" s="1"/>
  <c r="B2630" i="106" s="1"/>
  <c r="D2630" i="106" s="1"/>
  <c r="F128" i="34"/>
  <c r="F136" i="34"/>
  <c r="J367" i="29"/>
  <c r="B7245" i="106" s="1"/>
  <c r="D7245" i="106" s="1"/>
  <c r="B7235" i="106"/>
  <c r="D7235" i="106" s="1"/>
  <c r="H365" i="29"/>
  <c r="B7242" i="106" s="1"/>
  <c r="D7242" i="106" s="1"/>
  <c r="L312" i="29"/>
  <c r="B7231" i="106"/>
  <c r="D7231" i="106" s="1"/>
  <c r="G38" i="108"/>
  <c r="E38" i="108"/>
  <c r="B1329" i="106"/>
  <c r="D1329" i="106" s="1"/>
  <c r="F61" i="34"/>
  <c r="I342" i="29"/>
  <c r="B7222" i="106" s="1"/>
  <c r="D7222" i="106" s="1"/>
  <c r="J210" i="29"/>
  <c r="B7072" i="106" s="1"/>
  <c r="D7072" i="106" s="1"/>
  <c r="B3619" i="106"/>
  <c r="D3619" i="106" s="1"/>
  <c r="K285" i="29"/>
  <c r="B3724" i="106" s="1"/>
  <c r="D3724" i="106" s="1"/>
  <c r="F127" i="34"/>
  <c r="F172" i="5"/>
  <c r="B5644" i="106" s="1"/>
  <c r="D5644" i="106" s="1"/>
  <c r="B7041" i="106"/>
  <c r="D7041" i="106" s="1"/>
  <c r="J41" i="3"/>
  <c r="B6216" i="106" s="1"/>
  <c r="D6216" i="106" s="1"/>
  <c r="K41" i="3"/>
  <c r="F77" i="4"/>
  <c r="B3255" i="106" s="1"/>
  <c r="D3255" i="106" s="1"/>
  <c r="K76" i="4"/>
  <c r="B3586" i="106" s="1"/>
  <c r="D3586" i="106" s="1"/>
  <c r="D27" i="108"/>
  <c r="D41" i="108" s="1"/>
  <c r="E43" i="108" s="1"/>
  <c r="F34" i="34"/>
  <c r="B3621" i="106"/>
  <c r="D3621" i="106" s="1"/>
  <c r="C367" i="29"/>
  <c r="B3622" i="106" s="1"/>
  <c r="D3622" i="106" s="1"/>
  <c r="J129" i="29"/>
  <c r="B7038" i="106" s="1"/>
  <c r="D7038" i="106" s="1"/>
  <c r="I129" i="29"/>
  <c r="B7037" i="106" s="1"/>
  <c r="D7037" i="106" s="1"/>
  <c r="B1410" i="106"/>
  <c r="D1410" i="106" s="1"/>
  <c r="K350" i="29"/>
  <c r="I210" i="29"/>
  <c r="G210" i="29"/>
  <c r="E174" i="29"/>
  <c r="B1309" i="106" s="1"/>
  <c r="D1309" i="106" s="1"/>
  <c r="C172" i="5"/>
  <c r="B5214" i="106" s="1"/>
  <c r="D5214" i="106" s="1"/>
  <c r="B5096" i="106"/>
  <c r="D5096" i="106" s="1"/>
  <c r="C109" i="5"/>
  <c r="B5121" i="106" s="1"/>
  <c r="D5121" i="106" s="1"/>
  <c r="I173" i="5"/>
  <c r="B4216" i="106" s="1"/>
  <c r="D4216" i="106" s="1"/>
  <c r="D15" i="7"/>
  <c r="B1772" i="106" s="1"/>
  <c r="D1772" i="106" s="1"/>
  <c r="D109" i="5"/>
  <c r="F130" i="34"/>
  <c r="G109" i="5"/>
  <c r="H173" i="5"/>
  <c r="D5" i="7"/>
  <c r="B1761" i="106" s="1"/>
  <c r="D1761" i="106" s="1"/>
  <c r="K274" i="5"/>
  <c r="K7" i="4" s="1"/>
  <c r="B3718" i="106" s="1"/>
  <c r="D3718" i="106" s="1"/>
  <c r="B5232" i="106"/>
  <c r="D5232" i="106" s="1"/>
  <c r="K173" i="5"/>
  <c r="K6" i="4" s="1"/>
  <c r="B3570" i="106" s="1"/>
  <c r="D357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J16" i="4" l="1"/>
  <c r="B6226" i="106" s="1"/>
  <c r="D6226" i="106" s="1"/>
  <c r="K28" i="118"/>
  <c r="O27" i="118" s="1"/>
  <c r="O29" i="118" s="1"/>
  <c r="D7252" i="106"/>
  <c r="D7251" i="106"/>
  <c r="D7253" i="106"/>
  <c r="B1328" i="106"/>
  <c r="D1328" i="106" s="1"/>
  <c r="D7250" i="106"/>
  <c r="D7254" i="106"/>
  <c r="D7256" i="106"/>
  <c r="B7733" i="106"/>
  <c r="D7733" i="106" s="1"/>
  <c r="K26" i="12"/>
  <c r="B7743" i="106" s="1"/>
  <c r="D7743" i="106" s="1"/>
  <c r="B3649" i="106"/>
  <c r="D3649" i="106" s="1"/>
  <c r="B3628" i="106"/>
  <c r="D3628" i="106" s="1"/>
  <c r="I6" i="4"/>
  <c r="B5011" i="106" s="1"/>
  <c r="D5011" i="106" s="1"/>
  <c r="H77" i="4"/>
  <c r="B3299" i="106" s="1"/>
  <c r="D3299" i="106" s="1"/>
  <c r="D7255" i="106"/>
  <c r="B1996" i="106"/>
  <c r="D1996" i="106" s="1"/>
  <c r="I26" i="12"/>
  <c r="B7741" i="106" s="1"/>
  <c r="D7741" i="106" s="1"/>
  <c r="N22" i="3"/>
  <c r="B1879" i="106"/>
  <c r="D1879" i="106" s="1"/>
  <c r="H22" i="37"/>
  <c r="M23" i="3"/>
  <c r="B273" i="106"/>
  <c r="D273" i="106" s="1"/>
  <c r="L16" i="11"/>
  <c r="B2061" i="106" s="1"/>
  <c r="D2061" i="106" s="1"/>
  <c r="B1266" i="106"/>
  <c r="D1266" i="106" s="1"/>
  <c r="B6022" i="106"/>
  <c r="D6022" i="106" s="1"/>
  <c r="H4" i="4"/>
  <c r="B2655" i="106" s="1"/>
  <c r="D2655" i="106" s="1"/>
  <c r="J7" i="4"/>
  <c r="B6222" i="106" s="1"/>
  <c r="D6222" i="106" s="1"/>
  <c r="K77" i="4"/>
  <c r="B3587" i="106" s="1"/>
  <c r="D3587" i="106" s="1"/>
  <c r="D51" i="36"/>
  <c r="B1317" i="106"/>
  <c r="D1317" i="106" s="1"/>
  <c r="F173" i="5"/>
  <c r="B5653" i="106" s="1"/>
  <c r="D5653" i="106" s="1"/>
  <c r="B5527" i="106"/>
  <c r="D5527" i="106" s="1"/>
  <c r="H275" i="5"/>
  <c r="B5915" i="106" s="1"/>
  <c r="D5915" i="106" s="1"/>
  <c r="I151" i="29"/>
  <c r="F59" i="34" s="1"/>
  <c r="J151" i="29"/>
  <c r="B7052" i="106" s="1"/>
  <c r="D7052" i="106" s="1"/>
  <c r="B5778" i="106"/>
  <c r="D5778" i="106" s="1"/>
  <c r="G6" i="4"/>
  <c r="B2604" i="106" s="1"/>
  <c r="D2604" i="106" s="1"/>
  <c r="B5770" i="106"/>
  <c r="D5770" i="106" s="1"/>
  <c r="C4" i="4"/>
  <c r="B2551" i="106" s="1"/>
  <c r="D2551" i="106" s="1"/>
  <c r="B1365" i="106"/>
  <c r="D1365" i="106" s="1"/>
  <c r="F65" i="34"/>
  <c r="B7071" i="106"/>
  <c r="D7071" i="106" s="1"/>
  <c r="F66" i="34"/>
  <c r="K365" i="29"/>
  <c r="K16" i="4" s="1"/>
  <c r="L114" i="29"/>
  <c r="K342" i="29"/>
  <c r="F13" i="34" s="1"/>
  <c r="F73" i="34"/>
  <c r="G15" i="4"/>
  <c r="B6032" i="106" s="1"/>
  <c r="D6032" i="106" s="1"/>
  <c r="F274" i="5"/>
  <c r="B6014" i="106"/>
  <c r="D6014" i="106" s="1"/>
  <c r="B5914" i="106"/>
  <c r="D5914" i="106" s="1"/>
  <c r="B3568" i="106"/>
  <c r="D3568" i="106" s="1"/>
  <c r="D52" i="36"/>
  <c r="D44" i="36"/>
  <c r="C114" i="29"/>
  <c r="B757" i="106" s="1"/>
  <c r="D757" i="106" s="1"/>
  <c r="B3670" i="106"/>
  <c r="D3670" i="106" s="1"/>
  <c r="K352" i="29"/>
  <c r="H367" i="29"/>
  <c r="B3660" i="106" s="1"/>
  <c r="D3660" i="106" s="1"/>
  <c r="C173" i="5"/>
  <c r="B5906" i="106"/>
  <c r="D5906" i="106" s="1"/>
  <c r="H6" i="4"/>
  <c r="B6024" i="106"/>
  <c r="D6024" i="106" s="1"/>
  <c r="G4" i="4"/>
  <c r="B2603" i="106" s="1"/>
  <c r="D2603" i="106" s="1"/>
  <c r="B5356" i="106"/>
  <c r="D5356" i="106" s="1"/>
  <c r="D4" i="4"/>
  <c r="B2564" i="106" s="1"/>
  <c r="D2564" i="106" s="1"/>
  <c r="D19" i="7"/>
  <c r="B1775" i="106" s="1"/>
  <c r="D1775" i="106" s="1"/>
  <c r="D274"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F24" i="37"/>
  <c r="B283" i="106"/>
  <c r="D283" i="106" s="1"/>
  <c r="N23" i="3"/>
  <c r="B284" i="106" s="1"/>
  <c r="D284" i="106" s="1"/>
  <c r="K367" i="29"/>
  <c r="K368" i="29" s="1"/>
  <c r="B3681" i="106" s="1"/>
  <c r="D3681" i="106" s="1"/>
  <c r="B279" i="106"/>
  <c r="D279" i="106" s="1"/>
  <c r="D54" i="36"/>
  <c r="B7243" i="106"/>
  <c r="D7243" i="106" s="1"/>
  <c r="B7051" i="106"/>
  <c r="D7051" i="106" s="1"/>
  <c r="B7224" i="106"/>
  <c r="D7224" i="106" s="1"/>
  <c r="F6" i="4"/>
  <c r="B2593" i="106" s="1"/>
  <c r="D2593" i="106" s="1"/>
  <c r="F275" i="5"/>
  <c r="B5720" i="106" s="1"/>
  <c r="D5720" i="106" s="1"/>
  <c r="D275" i="5"/>
  <c r="B5508" i="106" s="1"/>
  <c r="D5508" i="106" s="1"/>
  <c r="B5719" i="106"/>
  <c r="D5719" i="106" s="1"/>
  <c r="F7" i="4"/>
  <c r="B2594" i="106" s="1"/>
  <c r="D2594" i="106" s="1"/>
  <c r="K13" i="4"/>
  <c r="B3572" i="106" s="1"/>
  <c r="D3572" i="106" s="1"/>
  <c r="B3672" i="106"/>
  <c r="D3672" i="106" s="1"/>
  <c r="J17" i="4"/>
  <c r="J19" i="4" s="1"/>
  <c r="B6229" i="106" s="1"/>
  <c r="D6229" i="106" s="1"/>
  <c r="J8" i="4"/>
  <c r="G41" i="108"/>
  <c r="G44" i="108" s="1"/>
  <c r="G45" i="108" s="1"/>
  <c r="E41" i="108"/>
  <c r="E44" i="108" s="1"/>
  <c r="E45" i="108" s="1"/>
  <c r="B5223" i="106"/>
  <c r="D5223" i="106" s="1"/>
  <c r="C6" i="4"/>
  <c r="B2553" i="106" s="1"/>
  <c r="D2553" i="106" s="1"/>
  <c r="B5507" i="106"/>
  <c r="D5507" i="106" s="1"/>
  <c r="D7" i="4"/>
  <c r="B2567" i="106" s="1"/>
  <c r="D2567" i="106" s="1"/>
  <c r="B2656" i="106"/>
  <c r="D2656"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3678" i="106" l="1"/>
  <c r="D3678" i="106" s="1"/>
  <c r="F8" i="4"/>
  <c r="B2595" i="106" s="1"/>
  <c r="D2595" i="106" s="1"/>
  <c r="K17" i="4"/>
  <c r="K19" i="4" s="1"/>
  <c r="B4144" i="106" s="1"/>
  <c r="D4144" i="106" s="1"/>
  <c r="J20" i="4"/>
  <c r="J78" i="4" s="1"/>
  <c r="B6227" i="106"/>
  <c r="D6227" i="106" s="1"/>
  <c r="B6223" i="106"/>
  <c r="D6223" i="106" s="1"/>
  <c r="J10" i="4"/>
  <c r="B6225" i="106" s="1"/>
  <c r="D6225" i="106" s="1"/>
  <c r="D8" i="4"/>
  <c r="D10" i="4" s="1"/>
  <c r="B4123" i="106" s="1"/>
  <c r="D4123" i="106" s="1"/>
  <c r="F76" i="34"/>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D8" i="146"/>
  <c r="F10" i="4"/>
  <c r="B4125" i="106" s="1"/>
  <c r="D4125" i="106" s="1"/>
  <c r="B6230" i="106"/>
  <c r="D6230" i="106" s="1"/>
  <c r="C8" i="146"/>
  <c r="D20" i="4"/>
  <c r="D78" i="4" s="1"/>
  <c r="H13" i="118"/>
  <c r="B2568" i="106"/>
  <c r="D2568"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J81" i="4"/>
  <c r="B6263" i="106"/>
  <c r="D6263" i="106" s="1"/>
  <c r="B3576" i="106" l="1"/>
  <c r="D3576" i="106" s="1"/>
  <c r="B2574" i="106"/>
  <c r="D2574" i="106" s="1"/>
  <c r="F179" i="34"/>
  <c r="F79" i="34"/>
  <c r="F8" i="146"/>
  <c r="C10" i="146"/>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<sst xmlns="http://schemas.openxmlformats.org/spreadsheetml/2006/main" count="5243" uniqueCount="2204">
  <si>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</si>
  <si>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</si>
  <si>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</si>
  <si>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</si>
  <si>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</si>
  <si>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</si>
  <si>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</si>
  <si>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</si>
  <si>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</si>
  <si>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</si>
  <si>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</si>
  <si>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</si>
  <si>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</si>
  <si>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</si>
  <si>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</si>
  <si>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</si>
  <si>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</si>
  <si>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</si>
  <si>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</si>
  <si>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</si>
  <si>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</si>
  <si>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</si>
  <si>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</si>
  <si>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</si>
  <si>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</si>
  <si>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</si>
  <si>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</si>
  <si>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</si>
  <si>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</si>
  <si>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</si>
  <si>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</si>
  <si>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</si>
  <si>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</si>
  <si>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</si>
  <si>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</si>
  <si>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</si>
  <si>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</si>
  <si>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</si>
  <si>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</si>
  <si>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</si>
  <si>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</si>
  <si>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</si>
  <si>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</si>
  <si>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</si>
  <si>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</si>
  <si>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</si>
  <si>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</si>
  <si>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</si>
  <si>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</si>
  <si>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</si>
  <si>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</si>
  <si>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</si>
  <si>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</si>
  <si>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</si>
  <si>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</si>
  <si>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</si>
  <si>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</si>
  <si>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</si>
  <si>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</si>
  <si>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</si>
  <si>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</si>
  <si>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</si>
  <si>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</si>
  <si>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</si>
  <si>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</si>
  <si>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</si>
  <si>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</si>
  <si>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</si>
  <si>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</si>
  <si>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</si>
  <si>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</si>
  <si>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</si>
  <si>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</si>
  <si>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</si>
  <si>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</si>
  <si>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</si>
  <si>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</si>
  <si>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</si>
  <si>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</si>
  <si>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</si>
  <si>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</si>
  <si>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</si>
  <si>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</si>
  <si>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</si>
  <si>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</si>
  <si>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</si>
  <si>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</si>
  <si>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</si>
  <si>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</si>
  <si>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</si>
  <si>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</si>
  <si>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</si>
  <si>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</si>
  <si>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</si>
  <si>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</si>
  <si>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</si>
  <si>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</si>
  <si>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</si>
  <si>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</si>
  <si>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</si>
  <si>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</si>
  <si>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</si>
  <si>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</si>
  <si>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</si>
  <si>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</si>
  <si>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</si>
  <si>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</si>
  <si>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</si>
  <si>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</si>
  <si>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</si>
  <si>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</si>
  <si>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</si>
  <si>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</si>
  <si>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</si>
  <si>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</si>
  <si>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</si>
  <si>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</si>
  <si>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</si>
  <si>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</si>
  <si>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</si>
  <si>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</si>
  <si>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</si>
  <si>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</si>
  <si>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</si>
  <si>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</si>
  <si>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</si>
  <si>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</si>
  <si>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</si>
  <si>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</si>
  <si>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</si>
  <si>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</si>
  <si>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</si>
  <si>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</si>
  <si>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</si>
  <si>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</si>
  <si>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</si>
  <si>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</si>
  <si>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</si>
  <si>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</si>
  <si>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</si>
  <si>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</si>
  <si>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</si>
  <si>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</si>
  <si>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</si>
  <si>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</si>
  <si>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</si>
  <si>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</si>
  <si>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</si>
  <si>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</si>
  <si>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</si>
  <si>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</si>
  <si>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</si>
  <si>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</si>
  <si>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</si>
  <si>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</si>
  <si>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</si>
  <si>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</si>
  <si>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</si>
  <si>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</si>
  <si>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</si>
  <si>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</si>
  <si>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</si>
  <si>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</si>
  <si>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</si>
  <si>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</si>
  <si>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</si>
  <si>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</si>
  <si>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</si>
  <si>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</si>
  <si>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</si>
  <si>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</si>
  <si>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</si>
  <si>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</si>
  <si>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</si>
  <si>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</si>
  <si>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</si>
  <si>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</si>
  <si>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</si>
  <si>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</si>
  <si>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</si>
  <si>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</si>
  <si>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</si>
  <si>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</si>
  <si>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</si>
  <si>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</si>
  <si>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</si>
  <si>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</si>
  <si>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</si>
  <si>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</si>
  <si>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</si>
  <si>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</si>
  <si>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</si>
  <si>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</si>
  <si>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</si>
  <si>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</si>
  <si>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</si>
  <si>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</si>
  <si>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</si>
  <si>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</si>
  <si>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</si>
  <si>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</si>
  <si>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</si>
  <si>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</si>
  <si>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</si>
  <si>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</si>
  <si>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</si>
  <si>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</si>
  <si>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</si>
  <si>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</si>
  <si>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</si>
  <si>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</si>
  <si>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</si>
  <si>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</si>
  <si>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</si>
  <si>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</si>
  <si>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</si>
  <si>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</si>
  <si>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</si>
  <si>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</si>
  <si>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</si>
  <si>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</si>
  <si>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</si>
  <si>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</si>
  <si>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</si>
  <si>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</si>
  <si>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</si>
  <si>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</si>
  <si>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</si>
  <si>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</si>
  <si>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</si>
  <si>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</si>
  <si>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</si>
  <si>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</si>
  <si>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</si>
  <si>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</si>
  <si>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</si>
  <si>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</si>
  <si>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</si>
  <si>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</si>
  <si>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</si>
  <si>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</si>
  <si>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</si>
  <si>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</si>
  <si>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</si>
  <si>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</si>
  <si>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</si>
  <si>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</si>
  <si>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</si>
  <si>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</si>
  <si>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</si>
  <si>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</si>
  <si>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</si>
  <si>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</si>
  <si>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</si>
  <si>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</si>
  <si>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</si>
  <si>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</si>
  <si>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</si>
  <si>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</si>
  <si>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</si>
  <si>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</si>
  <si>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</si>
  <si>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</si>
  <si>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</si>
  <si>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</si>
  <si>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</si>
  <si>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</si>
  <si>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</si>
  <si>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</si>
  <si>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</si>
  <si>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</si>
  <si>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</si>
  <si>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</si>
  <si>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</si>
  <si>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</si>
  <si>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</si>
  <si>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</si>
  <si>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</si>
  <si>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</si>
  <si>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</si>
  <si>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</si>
  <si>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</si>
  <si>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</si>
  <si>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</si>
  <si>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</si>
  <si>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</si>
  <si>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</si>
  <si>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</si>
  <si>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</si>
  <si>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</si>
  <si>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</si>
  <si>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</si>
  <si>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</si>
  <si>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</si>
  <si>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</si>
  <si>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</si>
  <si>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</si>
  <si>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</si>
  <si>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</si>
  <si>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</si>
  <si>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</si>
  <si>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</si>
  <si>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</si>
  <si>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</si>
  <si>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</si>
  <si>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</si>
  <si>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</si>
  <si>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</si>
  <si>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</si>
  <si>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</si>
  <si>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</si>
  <si>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</si>
  <si>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</si>
  <si>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</si>
  <si>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</si>
  <si>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</si>
  <si>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</si>
  <si>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</si>
  <si>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</si>
  <si>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</si>
  <si>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</si>
  <si>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</si>
  <si>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</si>
  <si>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</si>
  <si>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</si>
  <si>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</si>
  <si>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</si>
  <si>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</si>
  <si>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</si>
  <si>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</si>
  <si>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</si>
  <si>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</si>
  <si>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</si>
  <si>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</si>
  <si>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</si>
  <si>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</si>
  <si>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</si>
  <si>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</si>
  <si>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</si>
  <si>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</si>
  <si>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</si>
  <si>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</si>
  <si>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</si>
  <si>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</si>
  <si>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</si>
  <si>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</si>
  <si>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</si>
  <si>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</si>
  <si>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</si>
  <si>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</si>
  <si>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</si>
  <si>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</si>
  <si>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</si>
  <si>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</si>
  <si>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</si>
  <si>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</si>
  <si>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</si>
  <si>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</si>
  <si>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</si>
  <si>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</si>
  <si>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</si>
  <si>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</si>
  <si>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</si>
  <si>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</si>
  <si>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</si>
  <si>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</si>
  <si>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</si>
  <si>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</si>
  <si>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</si>
  <si>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</si>
  <si>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</si>
  <si>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</si>
  <si>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</si>
  <si>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</si>
  <si>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</si>
  <si>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</si>
  <si>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</si>
  <si>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</si>
  <si>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</si>
  <si>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</si>
  <si>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</si>
  <si>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</si>
  <si>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</si>
  <si>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</si>
  <si>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</si>
  <si>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</si>
  <si>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</si>
  <si>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</si>
  <si>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</si>
  <si>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</si>
  <si>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</si>
  <si>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</si>
  <si>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</si>
  <si>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</si>
  <si>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</si>
  <si>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</si>
  <si>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</si>
  <si>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</si>
  <si>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</si>
  <si>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</si>
  <si>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</si>
  <si>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</si>
  <si>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</si>
  <si>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</si>
  <si>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</si>
  <si>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</si>
  <si>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</si>
  <si>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</si>
  <si>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</si>
  <si>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</si>
  <si>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</si>
  <si>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</si>
  <si>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</si>
  <si>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</si>
  <si>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</si>
  <si>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</si>
  <si>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</si>
  <si>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</si>
  <si>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</si>
  <si>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</si>
  <si>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</si>
  <si>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</si>
  <si>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</si>
  <si>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</si>
  <si>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</si>
  <si>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</si>
  <si>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</si>
  <si>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</si>
  <si>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</si>
  <si>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</si>
  <si>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</si>
  <si>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</si>
  <si>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</si>
  <si>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</si>
  <si>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</si>
  <si>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</si>
  <si>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</si>
  <si>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</si>
  <si>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</si>
  <si>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</si>
  <si>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</si>
  <si>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</si>
  <si>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</si>
  <si>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</si>
  <si>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</si>
  <si>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</si>
  <si>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</si>
  <si>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</si>
  <si>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</si>
  <si>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</si>
  <si>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</si>
  <si>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</si>
  <si>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</si>
  <si>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</si>
  <si>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</si>
  <si>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</si>
  <si>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</si>
  <si>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</si>
  <si>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</si>
  <si>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</si>
  <si>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</si>
  <si>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</si>
  <si>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</si>
  <si>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</si>
  <si>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</si>
  <si>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</si>
  <si>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</si>
  <si>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</si>
  <si>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</si>
  <si>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</si>
  <si>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</si>
  <si>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</si>
  <si>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</si>
  <si>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</si>
  <si>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</si>
  <si>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</si>
  <si>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</si>
  <si>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</si>
  <si>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</si>
  <si>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</si>
  <si>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</si>
  <si>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</si>
  <si>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</si>
  <si>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</si>
  <si>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</si>
  <si>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</si>
  <si>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</si>
  <si>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</si>
  <si>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</si>
  <si>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</si>
  <si>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</si>
  <si>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</si>
  <si>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</si>
  <si>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</si>
  <si>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</si>
  <si>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</si>
  <si>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</si>
  <si>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</si>
  <si>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</si>
  <si>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</si>
  <si>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</si>
  <si>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</si>
  <si>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</si>
  <si>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</si>
  <si>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</si>
  <si>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</si>
  <si>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</si>
  <si>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</si>
  <si>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</si>
  <si>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</si>
  <si>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</si>
  <si>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</si>
  <si>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</si>
  <si>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</si>
  <si>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</si>
  <si>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</si>
  <si>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</si>
  <si>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</si>
  <si>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</si>
  <si>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</si>
  <si>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</si>
  <si>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</si>
  <si>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</si>
  <si>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</si>
  <si>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</si>
  <si>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</si>
  <si>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</si>
  <si>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</si>
  <si>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</si>
  <si>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</si>
  <si>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</si>
  <si>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</si>
  <si>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</si>
  <si>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</si>
  <si>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</si>
  <si>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</si>
  <si>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</si>
  <si>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</si>
  <si>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</si>
  <si>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</si>
  <si>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</si>
  <si>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</si>
  <si>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</si>
  <si>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</si>
  <si>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</si>
  <si>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</si>
  <si>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</si>
  <si>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</si>
  <si>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</si>
  <si>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</si>
  <si>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</si>
  <si>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</si>
  <si>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</si>
  <si>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</si>
  <si>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</si>
  <si>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</si>
  <si>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</si>
  <si>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</si>
  <si>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</si>
  <si>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</si>
  <si>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</si>
  <si>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</si>
  <si>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</si>
  <si>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</si>
  <si>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</si>
  <si>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</si>
  <si>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</si>
  <si>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</si>
  <si>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</si>
  <si>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</si>
  <si>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</si>
  <si>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</si>
  <si>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</si>
  <si>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</si>
  <si>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</si>
  <si>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</si>
  <si>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</si>
  <si>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</si>
  <si>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</si>
  <si>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</si>
  <si>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</si>
  <si>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</si>
  <si>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</si>
  <si>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</si>
  <si>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</si>
  <si>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</si>
  <si>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</si>
  <si>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</si>
  <si>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</si>
  <si>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</si>
  <si>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</si>
  <si>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</si>
  <si>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</si>
  <si>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</si>
  <si>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</si>
  <si>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</si>
  <si>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</si>
  <si>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</si>
  <si>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</si>
  <si>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</si>
  <si>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</si>
  <si>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</si>
  <si>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</si>
  <si>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</si>
  <si>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</si>
  <si>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</si>
  <si>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</si>
  <si>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</si>
  <si>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</si>
  <si>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</si>
  <si>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</si>
  <si>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</si>
  <si>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</si>
  <si>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</si>
  <si>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</si>
  <si>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</si>
  <si>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</si>
  <si>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</si>
  <si>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</si>
  <si>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</si>
  <si>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</si>
  <si>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</si>
  <si>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</si>
  <si>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</si>
  <si>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</si>
  <si>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</si>
  <si>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</si>
  <si>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</si>
  <si>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</si>
  <si>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</si>
  <si>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</si>
  <si>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</si>
  <si>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</si>
  <si>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</si>
  <si>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</si>
  <si>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</si>
  <si>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</si>
  <si>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</si>
  <si>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</si>
  <si>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</si>
  <si>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</si>
  <si>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</si>
  <si>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</si>
  <si>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</si>
  <si>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</si>
  <si>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</si>
  <si>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</si>
  <si>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</si>
  <si>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</si>
  <si>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</si>
  <si>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</si>
  <si>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</si>
  <si>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</si>
  <si>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</si>
  <si>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</si>
  <si>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</si>
  <si>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</si>
  <si>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</si>
  <si>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</si>
  <si>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</si>
  <si>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</si>
  <si>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</si>
  <si>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</si>
  <si>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</si>
  <si>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</si>
  <si>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</si>
  <si>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</si>
  <si>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</si>
  <si>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</si>
  <si>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</si>
  <si>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</si>
  <si>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</si>
  <si>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</si>
  <si>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</si>
  <si>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</si>
  <si>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</si>
  <si>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</si>
  <si>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</si>
  <si>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</si>
  <si>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</si>
  <si>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</si>
  <si>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</si>
  <si>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</si>
  <si>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</si>
  <si>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</si>
  <si>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</si>
  <si>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</si>
  <si>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</si>
  <si>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</si>
  <si>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</si>
  <si>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</si>
  <si>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</si>
  <si>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</si>
  <si>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</si>
  <si>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</si>
  <si>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</si>
  <si>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</si>
  <si>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</si>
  <si>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</si>
  <si>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</si>
  <si>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</si>
  <si>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</si>
  <si>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</si>
  <si>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</si>
  <si>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</si>
  <si>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</si>
  <si>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</si>
  <si>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</si>
  <si>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</si>
  <si>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</si>
  <si>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</si>
  <si>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</si>
  <si>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</si>
  <si>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</si>
  <si>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</si>
  <si>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</si>
  <si>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</si>
  <si>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</si>
  <si>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</si>
  <si>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</si>
  <si>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</si>
  <si>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</si>
  <si>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</si>
  <si>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</si>
  <si>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</si>
  <si>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</si>
  <si>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</si>
  <si>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</si>
  <si>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</si>
  <si>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</si>
  <si>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</si>
  <si>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</si>
  <si>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</si>
  <si>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</si>
  <si>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</si>
  <si>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</si>
  <si>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</si>
  <si>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</si>
  <si>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</si>
  <si>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</si>
  <si>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</si>
  <si>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</si>
  <si>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</si>
  <si>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</si>
  <si>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</si>
  <si>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</si>
  <si>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</si>
  <si>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</si>
  <si>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</si>
  <si>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</si>
  <si>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</si>
  <si>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</si>
  <si>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</si>
  <si>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</si>
  <si>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</si>
  <si>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</si>
  <si>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</si>
  <si>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</si>
  <si>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</si>
  <si>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</si>
  <si>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</si>
  <si>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</si>
  <si>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</si>
  <si>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</si>
  <si>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</si>
  <si>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</si>
  <si>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</si>
  <si>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</si>
  <si>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</si>
  <si>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</si>
  <si>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</si>
  <si>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</si>
  <si>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</si>
  <si>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</si>
  <si>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</si>
  <si>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</si>
  <si>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</si>
  <si>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</si>
  <si>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</si>
  <si>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</si>
  <si>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</si>
  <si>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</si>
  <si>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</si>
  <si>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</si>
  <si>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</si>
  <si>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</si>
  <si>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</si>
  <si>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</si>
  <si>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</si>
  <si>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</si>
  <si>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</si>
  <si>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</si>
  <si>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</si>
  <si>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</si>
  <si>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</si>
  <si>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</si>
  <si>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</si>
  <si>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</si>
  <si>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</si>
  <si>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</si>
  <si>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</si>
  <si>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</si>
  <si>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</si>
  <si>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</si>
  <si>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</si>
  <si>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</si>
  <si>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</si>
  <si>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</si>
  <si>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</si>
  <si>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</si>
  <si>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</si>
  <si>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</si>
  <si>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</si>
  <si>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</si>
  <si>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</si>
  <si>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</si>
  <si>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</si>
  <si>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</si>
  <si>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</si>
  <si>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</si>
  <si>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</si>
  <si>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</si>
  <si>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</si>
  <si>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</si>
  <si>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</si>
  <si>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</si>
  <si>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</si>
  <si>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</si>
  <si>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</si>
  <si>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</si>
  <si>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</si>
  <si>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</si>
  <si>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</si>
  <si>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</si>
  <si>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</si>
  <si>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</si>
  <si>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</si>
  <si>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</si>
  <si>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</si>
  <si>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</si>
  <si>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</si>
  <si>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</si>
  <si>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</si>
  <si>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</si>
  <si>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</si>
  <si>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</si>
  <si>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</si>
  <si>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</si>
  <si>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</si>
  <si>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</si>
  <si>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</si>
  <si>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</si>
  <si>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</si>
  <si>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</si>
  <si>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</si>
  <si>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</si>
  <si>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</si>
  <si>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</si>
  <si>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</si>
  <si>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</si>
  <si>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</si>
  <si>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</si>
  <si>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</si>
  <si>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</si>
  <si>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</si>
  <si>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</si>
  <si>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</si>
  <si>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</si>
  <si>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</si>
  <si>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</si>
  <si>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</si>
  <si>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</si>
  <si>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</si>
  <si>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</si>
  <si>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</si>
  <si>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</si>
  <si>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</si>
  <si>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</si>
  <si>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</si>
  <si>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</si>
  <si>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</si>
  <si>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</si>
  <si>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</si>
  <si>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</si>
  <si>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</si>
  <si>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</si>
  <si>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</si>
  <si>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</si>
  <si>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</si>
  <si>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</si>
  <si>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</si>
  <si>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</si>
  <si>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</si>
  <si>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</si>
  <si>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</si>
  <si>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</si>
  <si>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</si>
  <si>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</si>
  <si>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</si>
  <si>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</si>
  <si>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</si>
  <si>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</si>
  <si>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</si>
  <si>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</si>
  <si>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</si>
  <si>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</si>
  <si>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</si>
  <si>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</si>
  <si>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</si>
  <si>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</si>
  <si>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</si>
  <si>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</si>
  <si>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</si>
  <si>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</si>
  <si>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</si>
  <si>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</si>
  <si>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</si>
  <si>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</si>
  <si>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</si>
  <si>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</si>
  <si>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</si>
  <si>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</si>
  <si>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</si>
  <si>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</si>
  <si>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</si>
  <si>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</si>
  <si>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</si>
  <si>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</si>
  <si>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</si>
  <si>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</si>
  <si>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</si>
  <si>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</si>
  <si>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</si>
  <si>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</si>
  <si>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</si>
  <si>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</si>
  <si>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</si>
  <si>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</si>
  <si>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</si>
  <si>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</si>
  <si>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</si>
  <si>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</si>
  <si>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</si>
  <si>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</si>
  <si>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</si>
  <si>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</si>
  <si>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</si>
  <si>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</si>
  <si>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</si>
  <si>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</si>
  <si>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</si>
  <si>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</si>
  <si>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</si>
  <si>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</si>
  <si>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</si>
  <si>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</si>
  <si>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</si>
  <si>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</si>
  <si>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</si>
  <si>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</si>
  <si>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</si>
  <si>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</si>
  <si>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</si>
  <si>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</si>
  <si>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</si>
  <si>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</si>
  <si>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</si>
  <si>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</si>
  <si>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</si>
  <si>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</si>
  <si>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</si>
  <si>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</si>
  <si>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</si>
  <si>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</si>
  <si>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</si>
  <si>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</si>
  <si>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</si>
  <si>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</si>
  <si>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</si>
  <si>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</si>
  <si>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</si>
  <si>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</si>
  <si>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</si>
  <si>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</si>
  <si>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</si>
  <si>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</si>
  <si>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</si>
  <si>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</si>
  <si>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</si>
  <si>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</si>
  <si>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</si>
  <si>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</si>
  <si>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</si>
  <si>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</si>
  <si>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</si>
  <si>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</si>
  <si>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</si>
  <si>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</si>
  <si>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</si>
  <si>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</si>
  <si>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</si>
  <si>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</si>
  <si>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</si>
  <si>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</si>
  <si>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</si>
  <si>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</si>
  <si>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</si>
  <si>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</si>
  <si>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</si>
  <si>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</si>
  <si>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</si>
  <si>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</si>
  <si>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</si>
  <si>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</si>
  <si>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</si>
  <si>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</si>
  <si>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</si>
  <si>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</si>
  <si>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</si>
  <si>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</si>
  <si>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</si>
  <si>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</si>
  <si>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</si>
  <si>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</si>
  <si>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</si>
  <si>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</si>
  <si>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</si>
  <si>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</si>
  <si>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</si>
  <si>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</si>
  <si>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</si>
  <si>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</si>
  <si>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</si>
  <si>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</si>
  <si>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</si>
  <si>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</si>
  <si>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</si>
  <si>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</si>
  <si>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</si>
  <si>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</si>
  <si>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</si>
  <si>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</si>
  <si>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</si>
  <si>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</si>
  <si>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</si>
  <si>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</si>
  <si>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</si>
  <si>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</si>
  <si>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</si>
  <si>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</si>
  <si>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</si>
  <si>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</si>
  <si>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</si>
  <si>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</si>
  <si>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</si>
  <si>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</si>
  <si>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</si>
  <si>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</si>
  <si>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</si>
  <si>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</si>
  <si>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</si>
  <si>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</si>
  <si>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</si>
  <si>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</si>
  <si>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</si>
  <si>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</si>
  <si>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</si>
  <si>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</si>
  <si>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</si>
  <si>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</si>
  <si>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</si>
  <si>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</si>
  <si>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</si>
  <si>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</si>
  <si>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</si>
  <si>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</si>
  <si>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</si>
  <si>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</si>
  <si>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</si>
  <si>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</si>
  <si>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</si>
  <si>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</si>
  <si>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</si>
  <si>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</si>
  <si>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</si>
  <si>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</si>
  <si>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</si>
  <si>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</si>
  <si>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</si>
  <si>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</si>
  <si>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</si>
  <si>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</si>
  <si>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</si>
  <si>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</si>
  <si>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</si>
  <si>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</si>
  <si>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</si>
  <si>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</si>
  <si>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</si>
  <si>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</si>
  <si>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</si>
  <si>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</si>
  <si>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</si>
  <si>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</si>
  <si>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</si>
  <si>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</si>
  <si>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</si>
  <si>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</si>
  <si>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</si>
  <si>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</si>
  <si>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</si>
  <si>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</si>
  <si>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</si>
  <si>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</si>
  <si>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</si>
  <si>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</si>
  <si>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</si>
  <si>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</si>
  <si>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</si>
  <si>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</si>
  <si>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</si>
  <si>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</si>
  <si>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</si>
  <si>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</si>
  <si>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</si>
  <si>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</si>
  <si>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</si>
  <si>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</si>
  <si>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</si>
  <si>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</si>
  <si>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</si>
  <si>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</si>
  <si>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</si>
  <si>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</si>
  <si>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</si>
  <si>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</si>
  <si>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</si>
  <si>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</si>
  <si>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</si>
  <si>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</si>
  <si>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</si>
  <si>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</si>
  <si>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</si>
  <si>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</si>
  <si>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</si>
  <si>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</si>
  <si>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</si>
  <si>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</si>
  <si>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</si>
  <si>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</si>
  <si>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</si>
  <si>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</si>
  <si>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</si>
  <si>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</si>
  <si>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</si>
  <si>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</si>
  <si>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</si>
  <si>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</si>
  <si>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</si>
  <si>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</si>
  <si>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</si>
  <si>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</si>
  <si>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</si>
  <si>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</si>
  <si>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</si>
  <si>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</si>
  <si>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</si>
  <si>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</si>
  <si>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</si>
  <si>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</si>
  <si>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</si>
  <si>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</si>
  <si>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</si>
  <si>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</si>
  <si>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</si>
  <si>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</si>
  <si>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</si>
  <si>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</si>
  <si>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</si>
  <si>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</si>
  <si>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</si>
  <si>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</si>
  <si>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</si>
  <si>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</si>
  <si>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</si>
  <si>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</si>
  <si>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</si>
  <si>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</si>
  <si>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</si>
  <si>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</si>
  <si>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</si>
  <si>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</si>
  <si>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</si>
  <si>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</si>
  <si>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</si>
  <si>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</si>
  <si>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</si>
  <si>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</si>
  <si>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</si>
  <si>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</si>
  <si>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</si>
  <si>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</si>
  <si>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</si>
  <si>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</si>
  <si>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</si>
  <si>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</si>
  <si>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</si>
  <si>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</si>
  <si>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</si>
  <si>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</si>
  <si>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</si>
  <si>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</si>
  <si>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</si>
  <si>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</si>
  <si>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</si>
  <si>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</si>
  <si>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</si>
  <si>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</si>
  <si>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</si>
  <si>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</si>
  <si>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</si>
  <si>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</si>
  <si>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</si>
  <si>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</si>
  <si>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</si>
  <si>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</si>
  <si>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</si>
  <si>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</si>
  <si>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</si>
  <si>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</si>
  <si>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</si>
  <si>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</si>
  <si>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</si>
  <si>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</si>
  <si>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</si>
  <si>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</si>
  <si>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</si>
  <si>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</si>
  <si>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</si>
  <si>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</si>
  <si>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</si>
  <si>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</si>
  <si>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</si>
  <si>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</si>
  <si>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</si>
  <si>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</si>
  <si>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</si>
  <si>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</si>
  <si>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</si>
  <si>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</si>
  <si>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</si>
  <si>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</si>
  <si>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</si>
  <si>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</si>
  <si>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</si>
  <si>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</si>
  <si>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</si>
  <si>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</si>
  <si>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</si>
  <si>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</si>
  <si>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</si>
  <si>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</si>
  <si>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</si>
  <si>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</si>
  <si>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</si>
  <si>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</si>
  <si>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</si>
  <si>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</si>
  <si>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</si>
  <si>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</si>
  <si>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</si>
  <si>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</si>
  <si>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</si>
  <si>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</si>
  <si>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</si>
  <si>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</si>
  <si>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</si>
  <si>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</si>
  <si>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</si>
  <si>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</si>
  <si>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</si>
  <si>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</si>
  <si>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</si>
  <si>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</si>
  <si>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</si>
  <si>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</si>
  <si>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</si>
  <si>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</si>
  <si>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</si>
  <si>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</si>
  <si>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</si>
  <si>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</si>
  <si>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</si>
  <si>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</si>
  <si>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</si>
  <si>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</si>
  <si>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</si>
  <si>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</si>
  <si>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</si>
  <si>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</si>
  <si>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</si>
  <si>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</si>
  <si>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</si>
  <si>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</si>
  <si>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</si>
  <si>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</si>
  <si>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</si>
  <si>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</si>
  <si>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</si>
  <si>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</si>
  <si>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</si>
  <si>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</si>
  <si>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</si>
  <si>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</si>
  <si>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</si>
  <si>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</si>
  <si>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</si>
  <si>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</si>
  <si>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</si>
  <si>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</si>
  <si>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</si>
  <si>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</si>
  <si>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</si>
  <si>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</si>
  <si>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</si>
  <si>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</si>
  <si>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</si>
  <si>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</si>
  <si>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</si>
  <si>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</si>
  <si>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</si>
  <si>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</si>
  <si>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</si>
  <si>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</si>
  <si>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</si>
  <si>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</si>
  <si>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</si>
  <si>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</si>
  <si>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</si>
  <si>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</si>
  <si>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</si>
  <si>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</si>
  <si>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</si>
  <si>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</si>
  <si>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</si>
  <si>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</si>
  <si>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</si>
  <si>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</si>
  <si>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</si>
  <si>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</si>
  <si>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</si>
  <si>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</si>
  <si>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</si>
  <si>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</si>
  <si>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</si>
  <si>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</si>
  <si>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</si>
  <si>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</si>
  <si>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</si>
  <si>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</si>
  <si>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</si>
  <si>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</si>
  <si>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</si>
  <si>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</si>
  <si>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</si>
  <si>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</si>
  <si>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</si>
  <si>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</si>
  <si>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</si>
  <si>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</si>
  <si>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</si>
  <si>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</si>
  <si>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</si>
  <si>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</si>
  <si>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</si>
  <si>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</si>
  <si>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</si>
  <si>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</si>
  <si>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</si>
  <si>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</si>
  <si>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</si>
  <si>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</si>
  <si>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</si>
  <si>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</si>
  <si>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</si>
  <si>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</si>
  <si>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</si>
  <si>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</si>
  <si>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</si>
  <si>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</si>
  <si>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</si>
  <si>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</si>
  <si>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</si>
  <si>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</si>
  <si>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</si>
  <si>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</si>
  <si>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</si>
  <si>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</si>
  <si>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</si>
  <si>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</si>
  <si>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</si>
  <si>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</si>
  <si>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</si>
  <si>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</si>
  <si>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</si>
  <si>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</si>
  <si>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</si>
  <si>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</si>
  <si>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</si>
  <si>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</si>
  <si>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</si>
  <si>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</si>
  <si>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</si>
  <si>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</si>
  <si>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</si>
  <si>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</si>
  <si>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</si>
  <si>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</si>
  <si>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</si>
  <si>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</si>
  <si>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</si>
  <si>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</si>
  <si>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</si>
  <si>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</si>
  <si>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</si>
  <si>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</si>
  <si>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</si>
  <si>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</si>
  <si>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</si>
  <si>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</si>
  <si>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</si>
  <si>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</si>
  <si>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</si>
  <si>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</si>
  <si>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</si>
  <si>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</si>
  <si>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</si>
  <si>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</si>
  <si>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</si>
  <si>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</si>
  <si>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</si>
  <si>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</si>
  <si>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</si>
  <si>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</si>
  <si>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</si>
  <si>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</si>
  <si>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</si>
  <si>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</si>
  <si>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</si>
  <si>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</si>
  <si>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</si>
  <si>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</si>
  <si>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</si>
  <si>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</si>
  <si>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</si>
  <si>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</si>
  <si>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</si>
  <si>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</si>
  <si>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</si>
  <si>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</si>
  <si>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</si>
  <si>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</si>
  <si>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</si>
  <si>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</si>
  <si>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</si>
  <si>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</si>
  <si>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</si>
  <si>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</si>
  <si>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</si>
  <si>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</si>
  <si>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</si>
  <si>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</si>
  <si>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</si>
  <si>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</si>
  <si>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</si>
  <si>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</si>
  <si>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</si>
  <si>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</si>
  <si>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</si>
  <si>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</si>
  <si>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</si>
  <si>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</si>
  <si>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</si>
  <si>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</si>
  <si>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</si>
  <si>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</si>
  <si>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</si>
  <si>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</si>
  <si>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</si>
  <si>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</si>
  <si>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</si>
  <si>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</si>
  <si>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</si>
  <si>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</si>
  <si>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</si>
  <si>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</si>
  <si>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</si>
  <si>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</si>
  <si>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</si>
  <si>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</si>
  <si>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</si>
  <si>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</si>
  <si>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</si>
  <si>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</si>
  <si>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</si>
  <si>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</si>
  <si>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</si>
  <si>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</si>
  <si>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</si>
  <si>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</si>
  <si>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</si>
  <si>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</si>
  <si>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</si>
  <si>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</si>
  <si>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</si>
  <si>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</si>
  <si>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</si>
  <si>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</si>
  <si>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</si>
  <si>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</si>
  <si>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</si>
  <si>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</si>
  <si>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</si>
  <si>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</si>
  <si>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</si>
  <si>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</si>
  <si>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</si>
  <si>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</si>
  <si>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</si>
  <si>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</si>
  <si>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</si>
  <si>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</si>
  <si>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</si>
  <si>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</si>
  <si>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</si>
  <si>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</si>
  <si>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</si>
  <si>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</si>
  <si>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</si>
  <si>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</si>
  <si>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</si>
  <si>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</si>
  <si>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</si>
  <si>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</si>
  <si>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</si>
  <si>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</si>
  <si>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</si>
  <si>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</si>
  <si>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</si>
  <si>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</si>
  <si>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</si>
  <si>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</si>
  <si>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</si>
  <si>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</si>
  <si>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</si>
  <si>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</si>
  <si>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</si>
  <si>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</si>
  <si>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</si>
  <si>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</si>
  <si>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</si>
  <si>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</si>
  <si>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</si>
  <si>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</si>
  <si>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</si>
  <si>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</si>
  <si>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</si>
  <si>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</si>
  <si>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</si>
  <si>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</si>
  <si>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</si>
  <si>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</si>
  <si>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</si>
  <si>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</si>
  <si>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</si>
  <si>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</si>
  <si>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</si>
  <si>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</si>
  <si>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</si>
  <si>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</si>
  <si>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</si>
  <si>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</si>
  <si>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</si>
  <si>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</si>
  <si>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</si>
  <si>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</si>
  <si>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</si>
  <si>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</si>
  <si>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</si>
  <si>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</si>
  <si>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</si>
  <si>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</si>
  <si>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</si>
  <si>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</si>
  <si>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</si>
  <si>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</si>
  <si>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</si>
  <si>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</si>
  <si>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</si>
  <si>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</si>
  <si>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</si>
  <si>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</si>
  <si>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</si>
  <si>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</si>
  <si>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</si>
  <si>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</si>
  <si>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</si>
  <si>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</si>
  <si>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</si>
  <si>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</si>
  <si>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</si>
  <si>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</si>
  <si>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</si>
  <si>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</si>
  <si>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</si>
  <si>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</si>
  <si>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</si>
  <si>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</si>
  <si>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</si>
  <si>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</si>
  <si>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</si>
  <si>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</si>
  <si>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</si>
  <si>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</si>
  <si>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</si>
  <si>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</si>
  <si>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</si>
  <si>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</si>
  <si>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</si>
  <si>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</si>
  <si>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</si>
  <si>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</si>
  <si>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</si>
  <si>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</si>
  <si>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</si>
  <si>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</si>
  <si>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</si>
  <si>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</si>
  <si>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</si>
  <si>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</si>
  <si>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</si>
  <si>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</si>
  <si>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</si>
  <si>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</si>
  <si>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</si>
  <si>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</si>
  <si>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</si>
  <si>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</si>
  <si>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</si>
  <si>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</si>
  <si>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</si>
  <si>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</si>
  <si>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</si>
  <si>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</si>
  <si>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</si>
  <si>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</si>
  <si>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</si>
  <si>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</si>
  <si>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</si>
  <si>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</si>
  <si>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</si>
  <si>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</si>
  <si>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</si>
  <si>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</si>
  <si>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</si>
  <si>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</si>
  <si>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</si>
  <si>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</si>
  <si>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</si>
  <si>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</si>
  <si>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</si>
  <si>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</si>
  <si>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</si>
  <si>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</si>
  <si>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</si>
  <si>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</si>
  <si>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</si>
  <si>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</si>
  <si>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</si>
  <si>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</si>
  <si>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</si>
  <si>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</si>
  <si>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</si>
  <si>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</si>
  <si>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</si>
  <si>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</si>
  <si>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</si>
  <si>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</si>
  <si>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</si>
  <si>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</si>
  <si>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</si>
  <si>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</si>
  <si>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</si>
  <si>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</si>
  <si>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</si>
  <si>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</si>
  <si>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</si>
  <si>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</si>
  <si>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</si>
  <si>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</si>
  <si>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</si>
  <si>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</si>
  <si>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</si>
  <si>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</si>
  <si>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</si>
  <si>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</si>
  <si>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</si>
  <si>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</si>
  <si>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</si>
  <si>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</si>
  <si>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</si>
  <si>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</si>
  <si>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</si>
  <si>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</si>
  <si>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</si>
  <si>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</si>
  <si>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</si>
  <si>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</si>
  <si>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</si>
  <si>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</si>
  <si>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</si>
  <si>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</si>
  <si>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</si>
  <si>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</si>
  <si>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</si>
  <si>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</si>
  <si>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</si>
  <si>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</si>
  <si>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</si>
  <si>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</si>
  <si>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</si>
  <si>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</si>
  <si>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</si>
  <si>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</si>
  <si>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</si>
  <si>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</si>
  <si>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</si>
  <si>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</si>
  <si>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</si>
  <si>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</si>
  <si>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</si>
  <si>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</si>
  <si>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</si>
  <si>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</si>
  <si>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</si>
  <si>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</si>
  <si>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</si>
  <si>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</si>
  <si>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</si>
  <si>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</si>
  <si>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</si>
  <si>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</si>
  <si>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</si>
  <si>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</si>
  <si>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</si>
  <si>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</si>
  <si>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</si>
  <si>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</si>
  <si>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</si>
  <si>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</si>
  <si>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</si>
  <si>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</si>
  <si>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</si>
  <si>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</si>
  <si>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</si>
  <si>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</si>
  <si>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</si>
  <si>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</si>
  <si>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</si>
  <si>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</si>
  <si>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</si>
  <si>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</si>
  <si>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</si>
  <si>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</si>
  <si>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</si>
  <si>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</si>
  <si>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</si>
  <si>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</si>
  <si>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</si>
  <si>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</si>
  <si>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</si>
  <si>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</si>
  <si>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</si>
  <si>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</si>
  <si>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</si>
  <si>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</si>
  <si>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</si>
  <si>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</si>
  <si>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</si>
  <si>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</si>
  <si>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</si>
  <si>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</si>
  <si>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</si>
  <si>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</si>
  <si>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</si>
  <si>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</si>
  <si>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</si>
  <si>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</si>
  <si>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</si>
  <si>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</si>
  <si>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</si>
  <si>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</si>
  <si>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</si>
  <si>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</si>
  <si>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</si>
  <si>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</si>
  <si>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</si>
  <si>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</si>
  <si>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</si>
  <si>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</si>
  <si>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</si>
  <si>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</si>
  <si>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</si>
  <si>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</si>
  <si>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</si>
  <si>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</si>
  <si>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</si>
  <si>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</si>
  <si>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</si>
  <si>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</si>
  <si>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</si>
  <si>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</si>
  <si>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</si>
  <si>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</si>
  <si>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</si>
  <si>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</si>
  <si>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</si>
  <si>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</si>
  <si>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</si>
  <si>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</si>
  <si>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</si>
  <si>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</si>
  <si>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</si>
  <si>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</si>
  <si>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</si>
  <si>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</si>
  <si>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</si>
  <si>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</si>
  <si>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</si>
  <si>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</si>
  <si>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</si>
  <si>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</si>
  <si>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</si>
  <si>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</si>
  <si>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</si>
  <si>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</si>
  <si>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</si>
  <si>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</si>
  <si>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</si>
  <si>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</si>
  <si>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</si>
  <si>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</si>
  <si>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</si>
  <si>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</si>
  <si>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</si>
  <si>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</si>
  <si>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</si>
  <si>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</si>
  <si>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</si>
  <si>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</si>
  <si>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</si>
  <si>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</si>
  <si>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</si>
  <si>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</si>
  <si>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</si>
  <si>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</si>
  <si>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</si>
  <si>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</si>
  <si>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</si>
  <si>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</si>
  <si>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</si>
  <si>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</si>
  <si>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</si>
  <si>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</si>
  <si>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</si>
  <si>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</si>
  <si>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</si>
  <si>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</si>
  <si>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</si>
  <si>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</si>
  <si>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</si>
  <si>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</si>
  <si>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</si>
  <si>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</si>
  <si>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</si>
  <si>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</si>
  <si>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</si>
  <si>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</si>
  <si>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</si>
  <si>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</si>
  <si>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</si>
  <si>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</si>
  <si>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</si>
  <si>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</si>
  <si>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</si>
  <si>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</si>
  <si>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</si>
  <si>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</si>
  <si>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</si>
  <si>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</si>
  <si>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</si>
  <si>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</si>
  <si>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</si>
  <si>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</si>
  <si>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</si>
  <si>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</si>
  <si>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</si>
  <si>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</si>
  <si>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</si>
  <si>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</si>
  <si>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</si>
  <si>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</si>
  <si>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</si>
  <si>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</si>
  <si>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</si>
  <si>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</si>
  <si>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</si>
  <si>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</si>
  <si>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</si>
  <si>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</si>
  <si>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</si>
  <si>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</si>
  <si>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</si>
  <si>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</si>
  <si>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</si>
  <si>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</si>
  <si>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</si>
  <si>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</si>
  <si>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</si>
  <si>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</si>
  <si>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</si>
  <si>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</si>
  <si>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</si>
  <si>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</si>
  <si>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</si>
  <si>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</si>
  <si>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</si>
  <si>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</si>
  <si>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</si>
  <si>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</si>
  <si>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</si>
  <si>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</si>
  <si>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</si>
  <si>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</si>
  <si>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</si>
  <si>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</si>
  <si>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</si>
  <si>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</si>
  <si>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</si>
  <si>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</si>
  <si>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</si>
  <si>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</si>
  <si>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</si>
  <si>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</si>
  <si>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</si>
  <si>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</si>
  <si>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</si>
  <si>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</si>
  <si>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</si>
  <si>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</si>
  <si>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</si>
  <si>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</si>
  <si>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</si>
  <si>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</si>
  <si>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</si>
  <si>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</si>
  <si>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</si>
  <si>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</si>
  <si>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</si>
  <si>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</si>
  <si>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</si>
  <si>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</si>
  <si>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</si>
  <si>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</si>
  <si>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</si>
  <si>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</si>
  <si>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</si>
  <si>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</si>
  <si>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</si>
  <si>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</si>
  <si>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</si>
  <si>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</si>
  <si>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</si>
  <si>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</si>
  <si>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</si>
  <si>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</si>
  <si>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</si>
  <si>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</si>
  <si>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</si>
  <si>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</si>
  <si>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</si>
  <si>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</si>
  <si>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</si>
  <si>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</si>
  <si>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</si>
  <si>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</si>
  <si>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</si>
  <si>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</si>
  <si>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</si>
  <si>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</si>
  <si>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</si>
  <si>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</si>
  <si>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</si>
  <si>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</si>
  <si>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</si>
  <si>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</si>
  <si>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</si>
  <si>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</si>
  <si>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</si>
  <si>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</si>
  <si>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</si>
  <si>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</si>
  <si>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</si>
  <si>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</si>
  <si>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</si>
  <si>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</si>
  <si>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</si>
  <si>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</si>
  <si>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</si>
  <si>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</si>
  <si>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</si>
  <si>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</si>
  <si>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</si>
  <si>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</si>
  <si>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</si>
  <si>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</si>
  <si>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</si>
  <si>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</si>
  <si>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</si>
  <si>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</si>
  <si>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</si>
  <si>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</si>
  <si>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</si>
  <si>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</si>
  <si>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</si>
  <si>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</si>
  <si>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</si>
  <si>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</si>
  <si>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</si>
  <si>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</si>
  <si>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</si>
  <si>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</si>
  <si>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</si>
  <si>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</si>
  <si>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</si>
  <si>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</si>
  <si>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</si>
  <si>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</si>
  <si>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</si>
  <si>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</si>
  <si>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</si>
  <si>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</si>
  <si>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</si>
  <si>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</si>
  <si>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</si>
  <si>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</si>
  <si>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</si>
  <si>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</si>
  <si>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</si>
  <si>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</si>
  <si>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</si>
  <si>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</si>
  <si>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</si>
  <si>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</si>
  <si>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</si>
  <si>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</si>
  <si>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</si>
  <si>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</si>
  <si>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</si>
  <si>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</si>
  <si>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</si>
  <si>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</si>
  <si>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</si>
  <si>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</si>
  <si>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Kemper CPA Group LLP</t>
  </si>
  <si>
    <t>Jasper, Cumberland, Effingham, Richland and Clay</t>
  </si>
  <si>
    <t>Krista McLaren</t>
  </si>
  <si>
    <t>609 South Lafayette Street</t>
  </si>
  <si>
    <t>Olney</t>
  </si>
  <si>
    <t>IL</t>
  </si>
  <si>
    <t>Newton</t>
  </si>
  <si>
    <t>618-395-2105</t>
  </si>
  <si>
    <t>618-395-7079</t>
  </si>
  <si>
    <t>ajohnson@jccu1.org</t>
  </si>
  <si>
    <t>703 W Main Street PO Box 447</t>
  </si>
  <si>
    <t>065-032563</t>
  </si>
  <si>
    <t>kmclaren@kempercpa.com</t>
  </si>
  <si>
    <t>Andrew Johnson</t>
  </si>
  <si>
    <t>618-783-8459</t>
  </si>
  <si>
    <t>618-783-3679</t>
  </si>
  <si>
    <t>Page 5, Line 12; Other Current Assets - Drivers Education Leased Cars Deposit $21,200</t>
  </si>
  <si>
    <t>Page 10, Line 78; Admissions - Other - Musical Admissions $7,090</t>
  </si>
  <si>
    <t>Page 11, Line 107; Other Revenue - Other Revenue $25,973; E-Rate Revenue $26,772</t>
  </si>
  <si>
    <t>Page 15, Line 41; Other Support Services - Pupil - Life Insurance for Lunch Supervision $19</t>
  </si>
  <si>
    <t>Page 16, Line 83; Other Payments to In-State Govt Units - Property Tax Settlement $199,600</t>
  </si>
  <si>
    <t>Page 17, Line 136; Other Payments to In-State Govt Units - Property Tax Settlement $64,989</t>
  </si>
  <si>
    <t>Page 11, Line 107; Other Revenue - Other Revenue $3,562 &amp; Sale of Surplus Equipment $21,507</t>
  </si>
  <si>
    <t>Page 18, Line 193; Other Payments to In-State Govt Units - Property Tax Settlement $38,766</t>
  </si>
  <si>
    <t>Page 19, Line 237; Other Support Services - Pupils - Employee Benefits for Lunch Supervision $4,774</t>
  </si>
  <si>
    <t>Part C, Number 23:  The Auditor's Report contains a qualified opinion because the financial statements do not include disclosures regarding postemployment health insurance benefits required by the financial reporting provisions of the ISBE.</t>
  </si>
  <si>
    <t>GO Bonds, Series 2006</t>
  </si>
  <si>
    <t>Working Cash/Life Safety Bonds, Series 2011</t>
  </si>
  <si>
    <t>GO Bonds, Series 2014</t>
  </si>
  <si>
    <t>Computer Lease 2015-2018</t>
  </si>
  <si>
    <t>Computer Lease 2016-2019</t>
  </si>
  <si>
    <t>Computer Lease 2017-2020</t>
  </si>
  <si>
    <t>Property Tax Settlement</t>
  </si>
  <si>
    <t>Capital Lease</t>
  </si>
  <si>
    <t>Contractual Settlement</t>
  </si>
  <si>
    <t>Schedule of Long Term Debt</t>
  </si>
  <si>
    <t xml:space="preserve">Page 24, Cell G34: Activity related to a capital lease recorded in the Educational Fund with funds from Lease Levy property taxes. </t>
  </si>
  <si>
    <t>See Note 7 to the financial statements for more detail.</t>
  </si>
  <si>
    <t xml:space="preserve">Page 24, Cell G35: Activity related to a capital lease recorded in the Educational Fund with funds from Lease Levy property taxes. </t>
  </si>
  <si>
    <t xml:space="preserve">Page 24, Cell G36: Activity related to a capital lease recorded in the Educational Fund with funds from Lease Levy property taxes. </t>
  </si>
  <si>
    <t>Page 24, Cell G37: Activity related to the repayment from a property tax settlement between the District &amp; local power plant. See</t>
  </si>
  <si>
    <t>Note 7 to the financial statements for more detail.</t>
  </si>
  <si>
    <t>Long-Term Note</t>
  </si>
  <si>
    <t>Page 24, Cell G38: Bus Loan proceeds $645,658. See Note 7 to the financial statements for more detail.</t>
  </si>
  <si>
    <t>Education - Board of Education - Audit/Finance</t>
  </si>
  <si>
    <t>10-2300-300</t>
  </si>
  <si>
    <t>South Eastern Special Education</t>
  </si>
  <si>
    <t>Jasper-Richland-Clay-N.Wayne Regional Delivery System</t>
  </si>
  <si>
    <t>South East Purchasing Cooperative Intergov't Agreement</t>
  </si>
  <si>
    <t>N/A</t>
  </si>
  <si>
    <t>U.S. Department of Education</t>
  </si>
  <si>
    <t>Pass Through from Illinois State Board of Education</t>
  </si>
  <si>
    <t>Career and Technical Education - Perkins IV</t>
  </si>
  <si>
    <t>84.010A</t>
  </si>
  <si>
    <t>IDEA Part B - Preschool Flow - Through (M)</t>
  </si>
  <si>
    <t>IDEA Part B - Room &amp; Board (M)</t>
  </si>
  <si>
    <t>IDEA Part B - IDEA Flow - Through (M)</t>
  </si>
  <si>
    <t>2018-4300</t>
  </si>
  <si>
    <t>2017-4300</t>
  </si>
  <si>
    <t>2018-4932</t>
  </si>
  <si>
    <t>2017-4932</t>
  </si>
  <si>
    <t>2018-4745</t>
  </si>
  <si>
    <t>2018-4600</t>
  </si>
  <si>
    <t>2018-4620</t>
  </si>
  <si>
    <t>2018-4625</t>
  </si>
  <si>
    <t>2017-4625</t>
  </si>
  <si>
    <t>Total U.S. Department of Education</t>
  </si>
  <si>
    <t>U.S. Department of Health &amp; Human Services</t>
  </si>
  <si>
    <t>Pass Through from Illinois Healthcare &amp; Family Services</t>
  </si>
  <si>
    <t>Medicaid Matching</t>
  </si>
  <si>
    <t>2018-4900</t>
  </si>
  <si>
    <t>Total U.S. Department of Health &amp; Human Services</t>
  </si>
  <si>
    <t>U.S. Department of Agriculture</t>
  </si>
  <si>
    <t>Total U.S. Department of Agriculture</t>
  </si>
  <si>
    <t>GRAND TOTAL</t>
  </si>
  <si>
    <t>2018-4210</t>
  </si>
  <si>
    <t>2017-4210</t>
  </si>
  <si>
    <t>2018-4220</t>
  </si>
  <si>
    <t>2017-4220</t>
  </si>
  <si>
    <t>2018-4400</t>
  </si>
  <si>
    <t>Title IV A - Student Support &amp; Academic Enrichment</t>
  </si>
  <si>
    <t>None</t>
  </si>
  <si>
    <t>Child Nutrition Cluster</t>
  </si>
  <si>
    <t>District personnel do not possess the necessary accounting expertise to prevent, detect, or correct potential omissions in the footnotes to the financial statements prepared in accordance with the financial reporting provisions of the Illinois State Board of Education.</t>
  </si>
  <si>
    <t>The District does not currently employ an individual with the necessary knowledge and expertise to draft the footnotes to the financial statements in accordance with the financial reporting provisions of the Illinois State Board of Education.</t>
  </si>
  <si>
    <t>In the absence of necessary knowledge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</si>
  <si>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</si>
  <si>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or expertise.</t>
  </si>
  <si>
    <t>The District should provide necessary training to personnel or contract with an independent contractor with the knowledge to properly prepare the notes to the financial statements.</t>
  </si>
  <si>
    <t>The District does not intend to correct the finding in the next fiscal year.</t>
  </si>
  <si>
    <t>2017-001</t>
  </si>
  <si>
    <t xml:space="preserve">The District does not currently employ an </t>
  </si>
  <si>
    <t>individual with the necessary knowledge and</t>
  </si>
  <si>
    <t>expertise to draft the footnotes to the financial</t>
  </si>
  <si>
    <t>statements.</t>
  </si>
  <si>
    <t>Repeated as 2018-001</t>
  </si>
  <si>
    <t>Buses Promissory Note</t>
  </si>
  <si>
    <t>Page 11, Line 107; Other Revenue - TIF Reimbursements - $24,750; Other Revenue $762</t>
  </si>
  <si>
    <r>
      <t xml:space="preserve">The following amounts were expended in the form of non-cash assistance by Jasper County Community Unit School District No. 1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</si>
  <si>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Jasper County Community Unit School District No. 1 provided federal awards to subrecipients as follows:</t>
  </si>
  <si>
    <t>The accompanying Schedule of Expenditures of Federal Awards includes the federal grant activity of Jasper County Community Unit School District No. 1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</si>
  <si>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10.551, 10.553, 10.555</t>
  </si>
  <si>
    <t>Page 12, Line 171; Other Restricted Revenue from State Sources - State Library Grant $1,681</t>
  </si>
  <si>
    <t>Page 14, Line 272; Other Restricted Revenue from Federal Sources - Federal Library Grant $4,950</t>
  </si>
  <si>
    <t>Pass Through from Clay-Jasper-Richland-North Wayne Regional Vocational System</t>
  </si>
  <si>
    <t>National Endowment for the Humanities</t>
  </si>
  <si>
    <t>Grants to States</t>
  </si>
  <si>
    <t>Total National Endowment for the Humanities</t>
  </si>
  <si>
    <t>Pass Through from South Eastern Special Education</t>
  </si>
  <si>
    <t>84.027, 84.173</t>
  </si>
  <si>
    <t>IDEA Part B, IDEA Preschool</t>
  </si>
  <si>
    <t>10.553, 10.555</t>
  </si>
  <si>
    <t>Illiois State Board of Education</t>
  </si>
  <si>
    <t>None noted.</t>
  </si>
  <si>
    <t>By November 15 of each school year, the District must verify the current free and reduced price eligibility of households selected from a sample of applications that it has approved for free and reduced price meals.  The District did not perform this testing.</t>
  </si>
  <si>
    <t>Management will work to implement controls over the identification and review of error-prone applications and will implement a process to verify a sample of applications from the error-prone population.</t>
  </si>
  <si>
    <t>Total Child Nutrition Cluster</t>
  </si>
  <si>
    <t>National School Lunch Program (M)</t>
  </si>
  <si>
    <t>School Breakfast Program (M)</t>
  </si>
  <si>
    <t>Commodity Supplemental Food Program (M)</t>
  </si>
  <si>
    <t>Pass Through from the Illinois Secretary of State</t>
  </si>
  <si>
    <t>National School Lunch, National School Breakfast</t>
  </si>
  <si>
    <t>2018-4220, 2018-4210, 2017-4220, 2017-4210</t>
  </si>
  <si>
    <t>During testing of the District's error-prone verification and eligibility of applications, we noted the District did not identify error-prone applicants, nor perform the required testing of error-prone applicants for application verification testing.</t>
  </si>
  <si>
    <t>The standard sampling size should be selected from error-prone applications identified by the District. When applications are not properly identified as error-prone, the sampling for verification of free and reduced price lunches performed by the District will result in incorrect sampling and testing.</t>
  </si>
  <si>
    <t>The District did not determine a list of error-prone applicants and therefore did not perform the application verification testing.</t>
  </si>
  <si>
    <t>The District did not determine a list of error-prone applicants.</t>
  </si>
  <si>
    <t>The District should have someone in an administrative role determine which applicants are error-prone, review the list of error-prone applicants, and then select a sample of participants from those applicants in order to perform the application verification testing.</t>
  </si>
  <si>
    <t>12-040-0010-26</t>
  </si>
  <si>
    <t>Jasper County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</si>
</sst>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
      <left style="thin">
        <color indexed="55"/>
      </left>
      <right style="thin">
        <color indexed="55"/>
      </right>
      <top style="thin">
        <color indexed="55"/>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3" fillId="0" borderId="78" xfId="0" applyFont="1" applyBorder="1" applyAlignment="1">
      <alignment horizontal="center"/>
    </xf>
    <xf numFmtId="3" fontId="62"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22" xfId="1" applyNumberFormat="1" applyFont="1" applyBorder="1" applyAlignment="1" applyProtection="1">
      <alignment horizontal="center"/>
      <protection locked="0"/>
    </xf>
    <xf numFmtId="181" fontId="60" fillId="0" borderId="8" xfId="1" applyNumberFormat="1" applyFont="1" applyBorder="1" applyAlignment="1" applyProtection="1">
      <alignment horizontal="center"/>
      <protection locked="0"/>
    </xf>
    <xf numFmtId="181" fontId="60" fillId="0" borderId="45" xfId="1" applyNumberFormat="1" applyFont="1" applyBorder="1" applyAlignment="1" applyProtection="1">
      <alignment horizontal="center"/>
      <protection locked="0"/>
    </xf>
    <xf numFmtId="181" fontId="60" fillId="0" borderId="44" xfId="1" applyNumberFormat="1" applyFont="1" applyBorder="1" applyAlignment="1" applyProtection="1">
      <alignment horizontal="center"/>
      <protection locked="0"/>
    </xf>
    <xf numFmtId="181" fontId="60" fillId="0" borderId="166" xfId="1" applyNumberFormat="1" applyFont="1" applyBorder="1" applyAlignment="1" applyProtection="1">
      <alignment horizontal="center"/>
      <protection locked="0"/>
    </xf>
    <xf numFmtId="181" fontId="60" fillId="0" borderId="167" xfId="1" applyNumberFormat="1" applyFont="1" applyBorder="1" applyAlignment="1" applyProtection="1">
      <alignment horizontal="center"/>
      <protection locked="0"/>
    </xf>
    <xf numFmtId="1" fontId="60" fillId="0" borderId="45" xfId="3" applyNumberFormat="1" applyFont="1" applyBorder="1" applyAlignment="1" applyProtection="1">
      <alignment horizontal="center"/>
      <protection locked="0"/>
    </xf>
    <xf numFmtId="181" fontId="60" fillId="0" borderId="168" xfId="1"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wrapText="1"/>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0</xdr:row>
          <xdr:rowOff>0</xdr:rowOff>
        </xdr:from>
        <xdr:to>
          <xdr:col>1</xdr:col>
          <xdr:colOff>1819275</xdr:colOff>
          <xdr:row>4</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1933575</xdr:colOff>
          <xdr:row>0</xdr:row>
          <xdr:rowOff>0</xdr:rowOff>
        </xdr:from>
        <xdr:to>
          <xdr:col>1</xdr:col>
          <xdr:colOff>2847975</xdr:colOff>
          <xdr:row>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133350</xdr:rowOff>
        </xdr:from>
        <xdr:to>
          <xdr:col>1</xdr:col>
          <xdr:colOff>790575</xdr:colOff>
          <xdr:row>9</xdr:row>
          <xdr:rowOff>9525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904875</xdr:colOff>
          <xdr:row>4</xdr:row>
          <xdr:rowOff>123825</xdr:rowOff>
        </xdr:from>
        <xdr:to>
          <xdr:col>1</xdr:col>
          <xdr:colOff>1819275</xdr:colOff>
          <xdr:row>9</xdr:row>
          <xdr:rowOff>0</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85724</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package" Target="../embeddings/Microsoft_Excel_Worksheet.xlsx"/><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1" t="s">
        <v>424</v>
      </c>
      <c r="J1" s="2042"/>
      <c r="K1" s="2042"/>
      <c r="L1" s="2042"/>
      <c r="M1" s="2042"/>
      <c r="N1" s="2042"/>
      <c r="O1" s="2042"/>
      <c r="P1" s="2042"/>
      <c r="Q1" s="2042"/>
      <c r="R1" s="2042"/>
      <c r="S1" s="2042"/>
    </row>
    <row r="2" spans="1:28" ht="12" customHeight="1" x14ac:dyDescent="0.2">
      <c r="A2" s="47" t="s">
        <v>1683</v>
      </c>
      <c r="D2" s="48"/>
      <c r="I2" s="2043" t="s">
        <v>1035</v>
      </c>
      <c r="J2" s="2042"/>
      <c r="K2" s="2042"/>
      <c r="L2" s="2042"/>
      <c r="M2" s="2042"/>
      <c r="N2" s="2042"/>
      <c r="O2" s="2042"/>
      <c r="P2" s="2042"/>
      <c r="Q2" s="2042"/>
      <c r="R2" s="2042"/>
      <c r="S2" s="2042"/>
    </row>
    <row r="3" spans="1:28" ht="12" customHeight="1" x14ac:dyDescent="0.2">
      <c r="A3" s="155" t="s">
        <v>1684</v>
      </c>
      <c r="B3" s="156"/>
      <c r="C3" s="156"/>
      <c r="D3" s="157"/>
      <c r="I3" s="2043" t="s">
        <v>54</v>
      </c>
      <c r="J3" s="2042"/>
      <c r="K3" s="2042"/>
      <c r="L3" s="2042"/>
      <c r="M3" s="2042"/>
      <c r="N3" s="2042"/>
      <c r="O3" s="2042"/>
      <c r="P3" s="2042"/>
      <c r="Q3" s="2042"/>
      <c r="R3" s="2042"/>
      <c r="S3" s="2042"/>
    </row>
    <row r="4" spans="1:28" ht="12" customHeight="1" x14ac:dyDescent="0.2">
      <c r="A4" s="37"/>
      <c r="I4" s="2043" t="s">
        <v>544</v>
      </c>
      <c r="J4" s="2042"/>
      <c r="K4" s="2042"/>
      <c r="L4" s="2042"/>
      <c r="M4" s="2042"/>
      <c r="N4" s="2042"/>
      <c r="O4" s="2042"/>
      <c r="P4" s="2042"/>
      <c r="Q4" s="2042"/>
      <c r="R4" s="2042"/>
      <c r="S4" s="2042"/>
    </row>
    <row r="5" spans="1:28" ht="14.1" customHeight="1" x14ac:dyDescent="0.2">
      <c r="B5" s="104" t="s">
        <v>2073</v>
      </c>
      <c r="C5" s="26" t="s">
        <v>965</v>
      </c>
      <c r="D5" s="84"/>
      <c r="E5" s="84"/>
      <c r="H5" s="38"/>
      <c r="I5" s="2050" t="s">
        <v>700</v>
      </c>
      <c r="J5" s="1995"/>
      <c r="K5" s="1995"/>
      <c r="L5" s="1995"/>
      <c r="M5" s="1995"/>
      <c r="N5" s="1995"/>
      <c r="O5" s="1995"/>
      <c r="P5" s="1995"/>
      <c r="Q5" s="1995"/>
      <c r="R5" s="1995"/>
      <c r="S5" s="1995"/>
    </row>
    <row r="6" spans="1:28" ht="14.1" customHeight="1" x14ac:dyDescent="0.2">
      <c r="B6" s="104"/>
      <c r="C6" s="26" t="s">
        <v>966</v>
      </c>
      <c r="D6" s="84"/>
      <c r="E6" s="84"/>
      <c r="I6" s="2049" t="s">
        <v>937</v>
      </c>
      <c r="J6" s="1995"/>
      <c r="K6" s="1995"/>
      <c r="L6" s="1995"/>
      <c r="M6" s="1995"/>
      <c r="N6" s="1995"/>
      <c r="O6" s="1995"/>
      <c r="P6" s="1995"/>
      <c r="Q6" s="1995"/>
      <c r="R6" s="1995"/>
      <c r="S6" s="1995"/>
    </row>
    <row r="7" spans="1:28" ht="12.2" customHeight="1" x14ac:dyDescent="0.2">
      <c r="I7" s="2044">
        <v>43281</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694</v>
      </c>
      <c r="J9" s="2047"/>
      <c r="K9" s="2047"/>
      <c r="L9" s="2047"/>
      <c r="M9" s="2047"/>
      <c r="N9" s="2047"/>
      <c r="O9" s="2047"/>
      <c r="P9" s="2047"/>
      <c r="Q9" s="2047"/>
      <c r="R9" s="2047"/>
      <c r="S9" s="2048"/>
      <c r="T9" s="1991" t="s">
        <v>553</v>
      </c>
      <c r="U9" s="1992"/>
      <c r="V9" s="1992"/>
      <c r="W9" s="1992"/>
      <c r="X9" s="1992"/>
      <c r="Y9" s="1992"/>
      <c r="Z9" s="1992"/>
      <c r="AA9" s="1993"/>
    </row>
    <row r="10" spans="1:28" ht="13.5" customHeight="1" x14ac:dyDescent="0.2">
      <c r="A10" s="2000" t="s">
        <v>695</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1011</v>
      </c>
      <c r="B11" s="2004"/>
      <c r="C11" s="2004"/>
      <c r="D11" s="2004"/>
      <c r="E11" s="2004"/>
      <c r="F11" s="2004"/>
      <c r="G11" s="2004"/>
      <c r="H11" s="2005"/>
      <c r="I11" s="27"/>
      <c r="J11" s="74"/>
      <c r="K11" s="27"/>
      <c r="O11" s="148" t="s">
        <v>2073</v>
      </c>
      <c r="P11" s="100" t="s">
        <v>210</v>
      </c>
      <c r="Q11" s="30"/>
      <c r="R11" s="28"/>
      <c r="S11" s="27"/>
      <c r="T11" s="1997"/>
      <c r="U11" s="1998"/>
      <c r="V11" s="1998"/>
      <c r="W11" s="1998"/>
      <c r="X11" s="1998"/>
      <c r="Y11" s="1998"/>
      <c r="Z11" s="1998"/>
      <c r="AA11" s="1999"/>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1" t="s">
        <v>2202</v>
      </c>
      <c r="B13" s="2012"/>
      <c r="C13" s="2012"/>
      <c r="D13" s="2012"/>
      <c r="E13" s="2012"/>
      <c r="F13" s="2012"/>
      <c r="G13" s="2012"/>
      <c r="H13" s="2013"/>
      <c r="I13" s="31"/>
      <c r="J13" s="30"/>
      <c r="K13" s="28"/>
      <c r="L13" s="30"/>
      <c r="M13" s="30"/>
      <c r="N13" s="30"/>
      <c r="O13" s="30"/>
      <c r="P13" s="30"/>
      <c r="Q13" s="30"/>
      <c r="R13" s="30"/>
      <c r="S13" s="30"/>
      <c r="T13" s="2016" t="s">
        <v>2074</v>
      </c>
      <c r="U13" s="2017"/>
      <c r="V13" s="2017"/>
      <c r="W13" s="2017"/>
      <c r="X13" s="2017"/>
      <c r="Y13" s="2018"/>
      <c r="Z13" s="2018"/>
      <c r="AA13" s="201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9" t="s">
        <v>2075</v>
      </c>
      <c r="B15" s="2014"/>
      <c r="C15" s="2014"/>
      <c r="D15" s="2014"/>
      <c r="E15" s="2014"/>
      <c r="F15" s="2014"/>
      <c r="G15" s="2014"/>
      <c r="H15" s="2015"/>
      <c r="T15" s="1977" t="s">
        <v>2076</v>
      </c>
      <c r="U15" s="1978"/>
      <c r="V15" s="1978"/>
      <c r="W15" s="1978"/>
      <c r="X15" s="1978"/>
      <c r="Y15" s="2020"/>
      <c r="Z15" s="2020"/>
      <c r="AA15" s="202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9" t="s">
        <v>2203</v>
      </c>
      <c r="B17" s="2039"/>
      <c r="C17" s="2039"/>
      <c r="D17" s="2039"/>
      <c r="E17" s="2039"/>
      <c r="F17" s="2039"/>
      <c r="G17" s="2039"/>
      <c r="H17" s="2040"/>
      <c r="T17" s="2026" t="s">
        <v>2084</v>
      </c>
      <c r="U17" s="2027"/>
      <c r="V17" s="2027"/>
      <c r="W17" s="2027"/>
      <c r="X17" s="2027"/>
      <c r="Y17" s="2027"/>
      <c r="Z17" s="2027"/>
      <c r="AA17" s="2028"/>
    </row>
    <row r="18" spans="1:27" ht="13.5" customHeight="1" x14ac:dyDescent="0.2">
      <c r="A18" s="85" t="s">
        <v>550</v>
      </c>
      <c r="B18" s="76"/>
      <c r="C18" s="72"/>
      <c r="D18" s="76"/>
      <c r="E18" s="76"/>
      <c r="F18" s="76"/>
      <c r="G18" s="76"/>
      <c r="H18" s="56"/>
      <c r="I18" s="2036" t="s">
        <v>696</v>
      </c>
      <c r="J18" s="2037"/>
      <c r="K18" s="2037"/>
      <c r="L18" s="2037"/>
      <c r="M18" s="2037"/>
      <c r="N18" s="2037"/>
      <c r="O18" s="2037"/>
      <c r="P18" s="2037"/>
      <c r="Q18" s="2037"/>
      <c r="R18" s="2037"/>
      <c r="S18" s="2038"/>
      <c r="T18" s="85" t="s">
        <v>734</v>
      </c>
      <c r="U18" s="51"/>
      <c r="V18" s="72"/>
      <c r="W18" s="50"/>
      <c r="X18" s="85" t="s">
        <v>283</v>
      </c>
      <c r="Y18" s="81"/>
      <c r="Z18" s="159" t="s">
        <v>697</v>
      </c>
      <c r="AA18" s="46"/>
    </row>
    <row r="19" spans="1:27" ht="13.5" customHeight="1" x14ac:dyDescent="0.2">
      <c r="A19" s="2009" t="s">
        <v>2077</v>
      </c>
      <c r="B19" s="2010"/>
      <c r="C19" s="2010"/>
      <c r="D19" s="2010"/>
      <c r="E19" s="2010"/>
      <c r="F19" s="2010"/>
      <c r="G19" s="2010"/>
      <c r="H19" s="2008"/>
      <c r="I19" s="30"/>
      <c r="J19" s="99"/>
      <c r="K19" s="40"/>
      <c r="L19" s="38"/>
      <c r="M19" s="112" t="s">
        <v>332</v>
      </c>
      <c r="P19" s="27"/>
      <c r="Q19" s="27"/>
      <c r="R19" s="27"/>
      <c r="S19" s="31"/>
      <c r="T19" s="2009" t="s">
        <v>2078</v>
      </c>
      <c r="U19" s="2007"/>
      <c r="V19" s="2007"/>
      <c r="W19" s="2008"/>
      <c r="X19" s="2024" t="s">
        <v>2079</v>
      </c>
      <c r="Y19" s="2025"/>
      <c r="Z19" s="2022">
        <v>62450</v>
      </c>
      <c r="AA19" s="202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6" t="s">
        <v>2080</v>
      </c>
      <c r="B21" s="2007"/>
      <c r="C21" s="2007"/>
      <c r="D21" s="2007"/>
      <c r="E21" s="2007"/>
      <c r="F21" s="2007"/>
      <c r="G21" s="2007"/>
      <c r="H21" s="2008"/>
      <c r="I21" s="2032" t="s">
        <v>698</v>
      </c>
      <c r="J21" s="1995"/>
      <c r="K21" s="1995"/>
      <c r="L21" s="1995"/>
      <c r="M21" s="1995"/>
      <c r="N21" s="1995"/>
      <c r="O21" s="1995"/>
      <c r="P21" s="1995"/>
      <c r="Q21" s="1995"/>
      <c r="R21" s="1995"/>
      <c r="S21" s="1996"/>
      <c r="T21" s="1974" t="s">
        <v>2081</v>
      </c>
      <c r="U21" s="1975"/>
      <c r="V21" s="1975"/>
      <c r="W21" s="1975"/>
      <c r="X21" s="1988" t="s">
        <v>2082</v>
      </c>
      <c r="Y21" s="1989"/>
      <c r="Z21" s="1989"/>
      <c r="AA21" s="1990"/>
    </row>
    <row r="22" spans="1:27" ht="13.5" customHeight="1" x14ac:dyDescent="0.2">
      <c r="A22" s="87" t="s">
        <v>551</v>
      </c>
      <c r="B22" s="59"/>
      <c r="C22" s="59"/>
      <c r="D22" s="59"/>
      <c r="E22" s="59"/>
      <c r="F22" s="59"/>
      <c r="G22" s="59"/>
      <c r="H22" s="60"/>
      <c r="I22" s="2033" t="s">
        <v>1503</v>
      </c>
      <c r="J22" s="2034"/>
      <c r="K22" s="2034"/>
      <c r="L22" s="2034"/>
      <c r="M22" s="2034"/>
      <c r="N22" s="2034"/>
      <c r="O22" s="2034"/>
      <c r="P22" s="2034"/>
      <c r="Q22" s="2034"/>
      <c r="R22" s="2034"/>
      <c r="S22" s="2035"/>
      <c r="T22" s="85" t="s">
        <v>1595</v>
      </c>
      <c r="U22" s="51"/>
      <c r="V22" s="72"/>
      <c r="W22" s="51"/>
      <c r="X22" s="160" t="s">
        <v>1384</v>
      </c>
      <c r="Z22" s="45"/>
      <c r="AA22" s="46"/>
    </row>
    <row r="23" spans="1:27" ht="13.5" customHeight="1" x14ac:dyDescent="0.2">
      <c r="A23" s="2029" t="s">
        <v>2083</v>
      </c>
      <c r="B23" s="2030"/>
      <c r="C23" s="2030"/>
      <c r="D23" s="2030"/>
      <c r="E23" s="2030"/>
      <c r="F23" s="2030"/>
      <c r="G23" s="2030"/>
      <c r="H23" s="2031"/>
      <c r="T23" s="1969" t="s">
        <v>2085</v>
      </c>
      <c r="U23" s="1970"/>
      <c r="V23" s="1970"/>
      <c r="W23" s="1970"/>
      <c r="X23" s="1985">
        <v>44469</v>
      </c>
      <c r="Y23" s="1986"/>
      <c r="Z23" s="1986"/>
      <c r="AA23" s="1987"/>
    </row>
    <row r="24" spans="1:27" ht="14.1" customHeight="1" x14ac:dyDescent="0.2">
      <c r="A24" s="88" t="s">
        <v>697</v>
      </c>
      <c r="B24" s="49"/>
      <c r="C24" s="49"/>
      <c r="D24" s="49"/>
      <c r="E24" s="49"/>
      <c r="F24" s="49"/>
      <c r="G24" s="49"/>
      <c r="H24" s="61"/>
      <c r="J24" s="2071">
        <f>IF(B5="x",IF(AUDITCHECK!D29="AFR form Incomplete.","",IF(AUDITCHECK!D29="Deficit reduction plan is required.","School District must complete a deficit reduction plan in the 2018-2019 Budget",)),"")</f>
        <v>0</v>
      </c>
      <c r="K24" s="2071"/>
      <c r="L24" s="2071"/>
      <c r="M24" s="2071"/>
      <c r="N24" s="2071"/>
      <c r="O24" s="2071"/>
      <c r="P24" s="2071"/>
      <c r="Q24" s="2071"/>
      <c r="R24" s="2071"/>
      <c r="S24" s="2072"/>
      <c r="T24" s="105" t="s">
        <v>551</v>
      </c>
      <c r="U24" s="106"/>
      <c r="V24" s="106"/>
      <c r="W24" s="106"/>
      <c r="X24" s="107"/>
      <c r="Y24" s="107"/>
      <c r="Z24" s="107"/>
      <c r="AA24" s="108"/>
    </row>
    <row r="25" spans="1:27" ht="14.1" customHeight="1" x14ac:dyDescent="0.2">
      <c r="A25" s="2006">
        <v>62448</v>
      </c>
      <c r="B25" s="2007"/>
      <c r="C25" s="2007"/>
      <c r="D25" s="2007"/>
      <c r="E25" s="2007"/>
      <c r="F25" s="2007"/>
      <c r="G25" s="2007"/>
      <c r="H25" s="2008"/>
      <c r="I25" s="113"/>
      <c r="J25" s="2073"/>
      <c r="K25" s="2073"/>
      <c r="L25" s="2073"/>
      <c r="M25" s="2073"/>
      <c r="N25" s="2073"/>
      <c r="O25" s="2073"/>
      <c r="P25" s="2073"/>
      <c r="Q25" s="2073"/>
      <c r="R25" s="2073"/>
      <c r="S25" s="2074"/>
      <c r="T25" s="1966" t="s">
        <v>2086</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4" t="s">
        <v>1590</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t="s">
        <v>2073</v>
      </c>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9" t="s">
        <v>2087</v>
      </c>
      <c r="B38" s="2039"/>
      <c r="C38" s="2039"/>
      <c r="D38" s="2039"/>
      <c r="E38" s="2039"/>
      <c r="F38" s="2007"/>
      <c r="G38" s="2007"/>
      <c r="H38" s="2008"/>
      <c r="I38" s="2058"/>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2" t="s">
        <v>551</v>
      </c>
      <c r="B39" s="2063"/>
      <c r="C39" s="72"/>
      <c r="D39" s="69"/>
      <c r="E39" s="69"/>
      <c r="F39" s="79"/>
      <c r="G39" s="69"/>
      <c r="H39" s="56"/>
      <c r="I39" s="2062" t="s">
        <v>551</v>
      </c>
      <c r="J39" s="2063"/>
      <c r="K39" s="2063"/>
      <c r="L39" s="2063"/>
      <c r="M39" s="2063"/>
      <c r="N39" s="67"/>
      <c r="O39" s="72"/>
      <c r="P39" s="72"/>
      <c r="Q39" s="78"/>
      <c r="R39" s="72"/>
      <c r="S39" s="56"/>
      <c r="T39" s="72" t="s">
        <v>551</v>
      </c>
      <c r="U39" s="51"/>
      <c r="V39" s="72"/>
      <c r="W39" s="50"/>
      <c r="X39" s="78"/>
      <c r="Y39" s="45"/>
      <c r="Z39" s="45"/>
      <c r="AA39" s="46"/>
    </row>
    <row r="40" spans="1:27" ht="13.5" customHeight="1" x14ac:dyDescent="0.2">
      <c r="A40" s="2065" t="s">
        <v>2083</v>
      </c>
      <c r="B40" s="2066"/>
      <c r="C40" s="2067"/>
      <c r="D40" s="2067"/>
      <c r="E40" s="2067"/>
      <c r="F40" s="2068"/>
      <c r="G40" s="2068"/>
      <c r="H40" s="2069"/>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5" t="s">
        <v>2088</v>
      </c>
      <c r="B42" s="2056"/>
      <c r="C42" s="2057"/>
      <c r="D42" s="2070" t="s">
        <v>2089</v>
      </c>
      <c r="E42" s="2056"/>
      <c r="F42" s="2056"/>
      <c r="G42" s="2056"/>
      <c r="H42" s="2057"/>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43" sqref="A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08" t="s">
        <v>1901</v>
      </c>
      <c r="B2" s="1550" t="s">
        <v>2033</v>
      </c>
      <c r="C2" s="715" t="s">
        <v>1906</v>
      </c>
      <c r="D2" s="715" t="s">
        <v>1907</v>
      </c>
      <c r="E2" s="715" t="s">
        <v>1908</v>
      </c>
      <c r="F2" s="715" t="s">
        <v>1909</v>
      </c>
    </row>
    <row r="3" spans="1:6" ht="12" customHeight="1" x14ac:dyDescent="0.2">
      <c r="A3" s="2209"/>
      <c r="B3" s="1547"/>
      <c r="C3" s="1548"/>
      <c r="D3" s="1549" t="s">
        <v>274</v>
      </c>
      <c r="E3" s="1548"/>
      <c r="F3" s="1549" t="s">
        <v>275</v>
      </c>
    </row>
    <row r="4" spans="1:6" ht="13.7" customHeight="1" x14ac:dyDescent="0.2">
      <c r="A4" s="716" t="s">
        <v>1216</v>
      </c>
      <c r="B4" s="1767">
        <f>'Revenues 9-14'!C5</f>
        <v>3921204</v>
      </c>
      <c r="C4" s="1546"/>
      <c r="D4" s="1770">
        <f>B4-C4</f>
        <v>3921204</v>
      </c>
      <c r="E4" s="1546">
        <v>3398047</v>
      </c>
      <c r="F4" s="1770">
        <f>E4-C4</f>
        <v>3398047</v>
      </c>
    </row>
    <row r="5" spans="1:6" ht="13.7" customHeight="1" x14ac:dyDescent="0.2">
      <c r="A5" s="716" t="s">
        <v>924</v>
      </c>
      <c r="B5" s="1768">
        <f>'Revenues 9-14'!D5</f>
        <v>980314</v>
      </c>
      <c r="C5" s="585"/>
      <c r="D5" s="1771">
        <f t="shared" ref="D5:D18" si="0">B5-C5</f>
        <v>980314</v>
      </c>
      <c r="E5" s="585">
        <v>849512</v>
      </c>
      <c r="F5" s="1771">
        <f>E5-C5</f>
        <v>849512</v>
      </c>
    </row>
    <row r="6" spans="1:6" ht="13.7" customHeight="1" x14ac:dyDescent="0.2">
      <c r="A6" s="716" t="s">
        <v>430</v>
      </c>
      <c r="B6" s="1768">
        <f>'Revenues 9-14'!E5</f>
        <v>739979</v>
      </c>
      <c r="C6" s="585"/>
      <c r="D6" s="1771">
        <f t="shared" si="0"/>
        <v>739979</v>
      </c>
      <c r="E6" s="585">
        <v>740333</v>
      </c>
      <c r="F6" s="1771">
        <f t="shared" ref="F6:F18" si="1">E6-C6</f>
        <v>740333</v>
      </c>
    </row>
    <row r="7" spans="1:6" ht="13.7" customHeight="1" x14ac:dyDescent="0.2">
      <c r="A7" s="716" t="s">
        <v>157</v>
      </c>
      <c r="B7" s="1768">
        <f>'Revenues 9-14'!F5</f>
        <v>392129</v>
      </c>
      <c r="C7" s="585"/>
      <c r="D7" s="1771">
        <f t="shared" si="0"/>
        <v>392129</v>
      </c>
      <c r="E7" s="585">
        <v>339805</v>
      </c>
      <c r="F7" s="1771">
        <f t="shared" si="1"/>
        <v>339805</v>
      </c>
    </row>
    <row r="8" spans="1:6" ht="13.7" customHeight="1" x14ac:dyDescent="0.2">
      <c r="A8" s="716" t="s">
        <v>1240</v>
      </c>
      <c r="B8" s="1768">
        <f>'Revenues 9-14'!G5</f>
        <v>199819</v>
      </c>
      <c r="C8" s="585"/>
      <c r="D8" s="1771">
        <f t="shared" si="0"/>
        <v>199819</v>
      </c>
      <c r="E8" s="585">
        <v>250147</v>
      </c>
      <c r="F8" s="1771">
        <f t="shared" si="1"/>
        <v>250147</v>
      </c>
    </row>
    <row r="9" spans="1:6" ht="13.7" customHeight="1" x14ac:dyDescent="0.2">
      <c r="A9" s="716" t="s">
        <v>427</v>
      </c>
      <c r="B9" s="1768">
        <f>'Revenues 9-14'!H5</f>
        <v>0</v>
      </c>
      <c r="C9" s="585"/>
      <c r="D9" s="1771">
        <f t="shared" si="0"/>
        <v>0</v>
      </c>
      <c r="E9" s="585"/>
      <c r="F9" s="1771">
        <f t="shared" si="1"/>
        <v>0</v>
      </c>
    </row>
    <row r="10" spans="1:6" ht="13.7" customHeight="1" x14ac:dyDescent="0.2">
      <c r="A10" s="716" t="s">
        <v>426</v>
      </c>
      <c r="B10" s="1768">
        <f>'Revenues 9-14'!I5</f>
        <v>98032</v>
      </c>
      <c r="C10" s="585"/>
      <c r="D10" s="1771">
        <f t="shared" si="0"/>
        <v>98032</v>
      </c>
      <c r="E10" s="585">
        <v>84951</v>
      </c>
      <c r="F10" s="1771">
        <f t="shared" si="1"/>
        <v>84951</v>
      </c>
    </row>
    <row r="11" spans="1:6" x14ac:dyDescent="0.2">
      <c r="A11" s="716" t="s">
        <v>428</v>
      </c>
      <c r="B11" s="1768">
        <f>'Revenues 9-14'!J5</f>
        <v>1198809</v>
      </c>
      <c r="C11" s="585"/>
      <c r="D11" s="1771">
        <f t="shared" si="0"/>
        <v>1198809</v>
      </c>
      <c r="E11" s="585">
        <v>1400760</v>
      </c>
      <c r="F11" s="1771">
        <f t="shared" si="1"/>
        <v>1400760</v>
      </c>
    </row>
    <row r="12" spans="1:6" ht="13.7" customHeight="1" x14ac:dyDescent="0.2">
      <c r="A12" s="716" t="s">
        <v>159</v>
      </c>
      <c r="B12" s="1768">
        <f>'Revenues 9-14'!K5</f>
        <v>98032</v>
      </c>
      <c r="C12" s="585"/>
      <c r="D12" s="1771">
        <f t="shared" si="0"/>
        <v>98032</v>
      </c>
      <c r="E12" s="585">
        <v>84951</v>
      </c>
      <c r="F12" s="1771">
        <f t="shared" si="1"/>
        <v>84951</v>
      </c>
    </row>
    <row r="13" spans="1:6" ht="13.7" customHeight="1" x14ac:dyDescent="0.2">
      <c r="A13" s="716" t="s">
        <v>992</v>
      </c>
      <c r="B13" s="1768">
        <f>SUM('Revenues 9-14'!C6:D6)</f>
        <v>98032</v>
      </c>
      <c r="C13" s="585"/>
      <c r="D13" s="1771">
        <f t="shared" si="0"/>
        <v>98032</v>
      </c>
      <c r="E13" s="585">
        <v>84951</v>
      </c>
      <c r="F13" s="1771">
        <f t="shared" si="1"/>
        <v>84951</v>
      </c>
    </row>
    <row r="14" spans="1:6" ht="13.7" customHeight="1" x14ac:dyDescent="0.2">
      <c r="A14" s="716" t="s">
        <v>429</v>
      </c>
      <c r="B14" s="1768">
        <f>SUM('Revenues 9-14'!C7:D7,'Revenues 9-14'!F7:H7)</f>
        <v>78429</v>
      </c>
      <c r="C14" s="585"/>
      <c r="D14" s="1771">
        <f t="shared" si="0"/>
        <v>78429</v>
      </c>
      <c r="E14" s="585">
        <v>67961</v>
      </c>
      <c r="F14" s="1771">
        <f t="shared" si="1"/>
        <v>67961</v>
      </c>
    </row>
    <row r="15" spans="1:6" ht="13.7" customHeight="1" x14ac:dyDescent="0.2">
      <c r="A15" s="716" t="s">
        <v>1219</v>
      </c>
      <c r="B15" s="1768">
        <f>'Revenues 9-14'!E9</f>
        <v>0</v>
      </c>
      <c r="C15" s="585"/>
      <c r="D15" s="1771">
        <f t="shared" si="0"/>
        <v>0</v>
      </c>
      <c r="E15" s="585"/>
      <c r="F15" s="1771">
        <f t="shared" si="1"/>
        <v>0</v>
      </c>
    </row>
    <row r="16" spans="1:6" ht="13.7" customHeight="1" x14ac:dyDescent="0.2">
      <c r="A16" s="716" t="s">
        <v>1220</v>
      </c>
      <c r="B16" s="1768">
        <f>'Revenues 9-14'!G8</f>
        <v>239759</v>
      </c>
      <c r="C16" s="585"/>
      <c r="D16" s="1771">
        <f t="shared" si="0"/>
        <v>239759</v>
      </c>
      <c r="E16" s="585">
        <v>275157</v>
      </c>
      <c r="F16" s="1771">
        <f t="shared" si="1"/>
        <v>275157</v>
      </c>
    </row>
    <row r="17" spans="1:6" ht="13.7" customHeight="1" x14ac:dyDescent="0.2">
      <c r="A17" s="716" t="s">
        <v>1221</v>
      </c>
      <c r="B17" s="1768">
        <f>'Revenues 9-14'!C10</f>
        <v>0</v>
      </c>
      <c r="C17" s="585"/>
      <c r="D17" s="1771">
        <f t="shared" si="0"/>
        <v>0</v>
      </c>
      <c r="E17" s="585"/>
      <c r="F17" s="1771">
        <f t="shared" si="1"/>
        <v>0</v>
      </c>
    </row>
    <row r="18" spans="1:6" ht="13.7" customHeight="1" x14ac:dyDescent="0.2">
      <c r="A18" s="716" t="s">
        <v>785</v>
      </c>
      <c r="B18" s="1768">
        <f>SUM('Revenues 9-14'!C11:K11)</f>
        <v>0</v>
      </c>
      <c r="C18" s="585"/>
      <c r="D18" s="1771">
        <f t="shared" si="0"/>
        <v>0</v>
      </c>
      <c r="E18" s="585"/>
      <c r="F18" s="1771">
        <f t="shared" si="1"/>
        <v>0</v>
      </c>
    </row>
    <row r="19" spans="1:6" ht="13.7" customHeight="1" thickBot="1" x14ac:dyDescent="0.25">
      <c r="A19" s="1772" t="s">
        <v>1222</v>
      </c>
      <c r="B19" s="1769">
        <f>SUM(B4:B18)</f>
        <v>8044538</v>
      </c>
      <c r="C19" s="1769">
        <f>SUM(C4:C18)</f>
        <v>0</v>
      </c>
      <c r="D19" s="1769">
        <f>SUM(D4:D18)</f>
        <v>8044538</v>
      </c>
      <c r="E19" s="1769">
        <f>SUM(E4:E18)</f>
        <v>7576575</v>
      </c>
      <c r="F19" s="1769">
        <f>SUM(F4:F18)</f>
        <v>7576575</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scale="85"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A43" sqref="A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649</v>
      </c>
      <c r="B1" s="2215"/>
      <c r="C1" s="722"/>
    </row>
    <row r="2" spans="1:7" ht="33.75" x14ac:dyDescent="0.2">
      <c r="A2" s="2223" t="s">
        <v>1901</v>
      </c>
      <c r="B2" s="2224"/>
      <c r="C2" s="1904" t="s">
        <v>2034</v>
      </c>
      <c r="D2" s="724" t="s">
        <v>2041</v>
      </c>
      <c r="E2" s="724" t="s">
        <v>2042</v>
      </c>
      <c r="F2" s="1904" t="s">
        <v>2035</v>
      </c>
    </row>
    <row r="3" spans="1:7" ht="15.75" customHeight="1" x14ac:dyDescent="0.2">
      <c r="A3" s="2227" t="s">
        <v>1175</v>
      </c>
      <c r="B3" s="2228"/>
      <c r="C3" s="2216"/>
      <c r="D3" s="2217"/>
      <c r="E3" s="2217"/>
      <c r="F3" s="2218"/>
    </row>
    <row r="4" spans="1:7" ht="12.75" customHeight="1" thickBot="1" x14ac:dyDescent="0.25">
      <c r="A4" s="2225" t="s">
        <v>650</v>
      </c>
      <c r="B4" s="2226"/>
      <c r="C4" s="581"/>
      <c r="D4" s="581"/>
      <c r="E4" s="581"/>
      <c r="F4" s="1773">
        <f>SUM(C4+D4)-E4</f>
        <v>0</v>
      </c>
    </row>
    <row r="5" spans="1:7" ht="15.75" customHeight="1" thickTop="1" x14ac:dyDescent="0.2">
      <c r="A5" s="2210" t="s">
        <v>1171</v>
      </c>
      <c r="B5" s="2211"/>
      <c r="C5" s="2219"/>
      <c r="D5" s="2220"/>
      <c r="E5" s="2220"/>
      <c r="F5" s="2221"/>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528</v>
      </c>
      <c r="B8" s="726"/>
      <c r="C8" s="727"/>
      <c r="D8" s="585"/>
      <c r="E8" s="727"/>
      <c r="F8" s="1773">
        <f t="shared" si="0"/>
        <v>0</v>
      </c>
    </row>
    <row r="9" spans="1:7" ht="12.75" customHeight="1" thickTop="1" thickBot="1" x14ac:dyDescent="0.25">
      <c r="A9" s="725" t="s">
        <v>529</v>
      </c>
      <c r="B9" s="726"/>
      <c r="C9" s="727"/>
      <c r="D9" s="585"/>
      <c r="E9" s="727"/>
      <c r="F9" s="1773">
        <f t="shared" si="0"/>
        <v>0</v>
      </c>
    </row>
    <row r="10" spans="1:7" ht="12.75" customHeight="1" thickTop="1" thickBot="1" x14ac:dyDescent="0.25">
      <c r="A10" s="725" t="s">
        <v>530</v>
      </c>
      <c r="B10" s="726"/>
      <c r="C10" s="727"/>
      <c r="D10" s="585"/>
      <c r="E10" s="727"/>
      <c r="F10" s="1773">
        <f t="shared" si="0"/>
        <v>0</v>
      </c>
    </row>
    <row r="11" spans="1:7" ht="12.75" customHeight="1" thickTop="1" thickBot="1" x14ac:dyDescent="0.25">
      <c r="A11" s="725" t="s">
        <v>358</v>
      </c>
      <c r="B11" s="726"/>
      <c r="C11" s="727"/>
      <c r="D11" s="585"/>
      <c r="E11" s="727"/>
      <c r="F11" s="1773">
        <f t="shared" si="0"/>
        <v>0</v>
      </c>
    </row>
    <row r="12" spans="1:7" ht="12.75" customHeight="1" thickTop="1" thickBot="1" x14ac:dyDescent="0.25">
      <c r="A12" s="725" t="s">
        <v>1218</v>
      </c>
      <c r="B12" s="726"/>
      <c r="C12" s="727"/>
      <c r="D12" s="585"/>
      <c r="E12" s="727"/>
      <c r="F12" s="1773">
        <f t="shared" si="0"/>
        <v>0</v>
      </c>
    </row>
    <row r="13" spans="1:7" ht="12.75" customHeight="1" thickTop="1" thickBot="1" x14ac:dyDescent="0.25">
      <c r="A13" s="725" t="s">
        <v>405</v>
      </c>
      <c r="B13" s="726"/>
      <c r="C13" s="727"/>
      <c r="D13" s="585"/>
      <c r="E13" s="727"/>
      <c r="F13" s="1773">
        <f t="shared" si="0"/>
        <v>0</v>
      </c>
    </row>
    <row r="14" spans="1:7" ht="12.75" customHeight="1" thickTop="1" thickBot="1" x14ac:dyDescent="0.25">
      <c r="A14" s="725" t="s">
        <v>467</v>
      </c>
      <c r="B14" s="726"/>
      <c r="C14" s="727"/>
      <c r="D14" s="585"/>
      <c r="E14" s="727"/>
      <c r="F14" s="1773">
        <f t="shared" si="0"/>
        <v>0</v>
      </c>
    </row>
    <row r="15" spans="1:7" ht="14.25" thickTop="1" thickBot="1" x14ac:dyDescent="0.25">
      <c r="A15" s="2212" t="s">
        <v>651</v>
      </c>
      <c r="B15" s="2213"/>
      <c r="C15" s="1773">
        <f>SUM(C6:C14)</f>
        <v>0</v>
      </c>
      <c r="D15" s="1773">
        <f>SUM(D6:D14)</f>
        <v>0</v>
      </c>
      <c r="E15" s="1773">
        <f>SUM(E6:E14)</f>
        <v>0</v>
      </c>
      <c r="F15" s="1773">
        <f>SUM(F6:F14)</f>
        <v>0</v>
      </c>
      <c r="G15" s="552"/>
    </row>
    <row r="16" spans="1:7" s="202" customFormat="1" ht="15.75" customHeight="1" thickTop="1" x14ac:dyDescent="0.2">
      <c r="A16" s="2222" t="s">
        <v>1172</v>
      </c>
      <c r="B16" s="2211"/>
      <c r="C16" s="2219"/>
      <c r="D16" s="2220"/>
      <c r="E16" s="2220"/>
      <c r="F16" s="2221"/>
    </row>
    <row r="17" spans="1:11" ht="12.75" customHeight="1" thickBot="1" x14ac:dyDescent="0.25">
      <c r="A17" s="2235" t="s">
        <v>66</v>
      </c>
      <c r="B17" s="2236"/>
      <c r="C17" s="727"/>
      <c r="D17" s="585"/>
      <c r="E17" s="727"/>
      <c r="F17" s="1773">
        <f>SUM(C17+D17)-E17</f>
        <v>0</v>
      </c>
    </row>
    <row r="18" spans="1:11" ht="12.75" customHeight="1" thickTop="1" thickBot="1" x14ac:dyDescent="0.25">
      <c r="A18" s="2235" t="s">
        <v>6</v>
      </c>
      <c r="B18" s="2236"/>
      <c r="C18" s="727"/>
      <c r="D18" s="585"/>
      <c r="E18" s="727"/>
      <c r="F18" s="1773">
        <f>SUM(C18+D18)-E18</f>
        <v>0</v>
      </c>
    </row>
    <row r="19" spans="1:11" ht="12.75" customHeight="1" thickTop="1" thickBot="1" x14ac:dyDescent="0.25">
      <c r="A19" s="2235" t="s">
        <v>405</v>
      </c>
      <c r="B19" s="2236"/>
      <c r="C19" s="727"/>
      <c r="D19" s="585"/>
      <c r="E19" s="727"/>
      <c r="F19" s="1773">
        <f>SUM(C19+D19)-E19</f>
        <v>0</v>
      </c>
    </row>
    <row r="20" spans="1:11" ht="12.75" customHeight="1" thickTop="1" thickBot="1" x14ac:dyDescent="0.25">
      <c r="A20" s="2235" t="s">
        <v>467</v>
      </c>
      <c r="B20" s="2236"/>
      <c r="C20" s="727"/>
      <c r="D20" s="585"/>
      <c r="E20" s="727"/>
      <c r="F20" s="1773">
        <f>SUM(C20+D20)-E20</f>
        <v>0</v>
      </c>
    </row>
    <row r="21" spans="1:11" ht="14.25" thickTop="1" thickBot="1" x14ac:dyDescent="0.25">
      <c r="A21" s="2212" t="s">
        <v>652</v>
      </c>
      <c r="B21" s="2213"/>
      <c r="C21" s="1773">
        <f>SUM(C17:C20)</f>
        <v>0</v>
      </c>
      <c r="D21" s="1773">
        <f>SUM(D17:D20)</f>
        <v>0</v>
      </c>
      <c r="E21" s="1773">
        <f>SUM(E17:E20)</f>
        <v>0</v>
      </c>
      <c r="F21" s="1773">
        <f>SUM(F17:F20)</f>
        <v>0</v>
      </c>
      <c r="G21" s="552"/>
    </row>
    <row r="22" spans="1:11" ht="15.75" customHeight="1" thickTop="1" x14ac:dyDescent="0.2">
      <c r="A22" s="2237" t="s">
        <v>1173</v>
      </c>
      <c r="B22" s="2211"/>
      <c r="C22" s="2219"/>
      <c r="D22" s="2220"/>
      <c r="E22" s="2220"/>
      <c r="F22" s="2221"/>
    </row>
    <row r="23" spans="1:11" ht="13.5" thickBot="1" x14ac:dyDescent="0.25">
      <c r="A23" s="2225" t="s">
        <v>653</v>
      </c>
      <c r="B23" s="2226"/>
      <c r="C23" s="581"/>
      <c r="D23" s="581"/>
      <c r="E23" s="581"/>
      <c r="F23" s="1773">
        <f>SUM(C23+D23)-E23</f>
        <v>0</v>
      </c>
      <c r="G23" s="552"/>
    </row>
    <row r="24" spans="1:11" ht="15.75" customHeight="1" thickTop="1" x14ac:dyDescent="0.2">
      <c r="A24" s="2237" t="s">
        <v>1174</v>
      </c>
      <c r="B24" s="2211"/>
      <c r="C24" s="2219"/>
      <c r="D24" s="2220"/>
      <c r="E24" s="2220"/>
      <c r="F24" s="2221"/>
    </row>
    <row r="25" spans="1:11" ht="13.5" thickBot="1" x14ac:dyDescent="0.25">
      <c r="A25" s="2225" t="s">
        <v>654</v>
      </c>
      <c r="B25" s="2226"/>
      <c r="C25" s="581"/>
      <c r="D25" s="581"/>
      <c r="E25" s="581"/>
      <c r="F25" s="1773">
        <f>SUM(C25+D25)-E25</f>
        <v>0</v>
      </c>
      <c r="G25" s="552"/>
    </row>
    <row r="26" spans="1:11" ht="15.75" customHeight="1" thickTop="1" x14ac:dyDescent="0.2">
      <c r="A26" s="2210" t="s">
        <v>677</v>
      </c>
      <c r="B26" s="2211"/>
      <c r="C26" s="728"/>
      <c r="D26" s="728"/>
      <c r="E26" s="728"/>
      <c r="F26" s="729"/>
    </row>
    <row r="27" spans="1:11" ht="13.5" thickBot="1" x14ac:dyDescent="0.25">
      <c r="A27" s="2212" t="s">
        <v>1129</v>
      </c>
      <c r="B27" s="2213"/>
      <c r="C27" s="585"/>
      <c r="D27" s="585"/>
      <c r="E27" s="585"/>
      <c r="F27" s="1773">
        <f>SUM(C27+D27)-E27</f>
        <v>0</v>
      </c>
      <c r="G27" s="552"/>
    </row>
    <row r="28" spans="1:11" ht="7.5" customHeight="1" thickTop="1" x14ac:dyDescent="0.2">
      <c r="A28" s="594"/>
    </row>
    <row r="29" spans="1:11" ht="23.25" customHeight="1" x14ac:dyDescent="0.2">
      <c r="A29" s="2238" t="s">
        <v>602</v>
      </c>
      <c r="B29" s="2215"/>
      <c r="C29" s="730"/>
      <c r="D29" s="730"/>
      <c r="E29" s="730"/>
      <c r="F29" s="730"/>
      <c r="G29" s="730"/>
      <c r="H29" s="730"/>
      <c r="I29" s="730"/>
      <c r="J29" s="730"/>
    </row>
    <row r="30" spans="1:11" ht="33.75" x14ac:dyDescent="0.2">
      <c r="A30" s="1551" t="s">
        <v>1130</v>
      </c>
      <c r="B30" s="731" t="s">
        <v>1185</v>
      </c>
      <c r="C30" s="1905" t="s">
        <v>603</v>
      </c>
      <c r="D30" s="1905" t="s">
        <v>1771</v>
      </c>
      <c r="E30" s="1905" t="s">
        <v>2036</v>
      </c>
      <c r="F30" s="1905" t="s">
        <v>2037</v>
      </c>
      <c r="G30" s="1905" t="s">
        <v>2040</v>
      </c>
      <c r="H30" s="1905" t="s">
        <v>2038</v>
      </c>
      <c r="I30" s="1905" t="s">
        <v>2039</v>
      </c>
      <c r="J30" s="1906" t="s">
        <v>2</v>
      </c>
      <c r="K30" s="732"/>
    </row>
    <row r="31" spans="1:11" ht="12" customHeight="1" x14ac:dyDescent="0.2">
      <c r="A31" s="733" t="s">
        <v>2100</v>
      </c>
      <c r="B31" s="734">
        <v>38749</v>
      </c>
      <c r="C31" s="735">
        <v>4130000</v>
      </c>
      <c r="D31" s="736">
        <v>4</v>
      </c>
      <c r="E31" s="735">
        <v>825000</v>
      </c>
      <c r="F31" s="735"/>
      <c r="G31" s="735"/>
      <c r="H31" s="735">
        <v>405000</v>
      </c>
      <c r="I31" s="1774">
        <f>((E31+F31)-H31)+G31</f>
        <v>420000</v>
      </c>
      <c r="J31" s="735">
        <f>I31-'Assets-Liab 5-6'!E4</f>
        <v>225493</v>
      </c>
      <c r="K31" s="737"/>
    </row>
    <row r="32" spans="1:11" ht="12" customHeight="1" x14ac:dyDescent="0.2">
      <c r="A32" s="733" t="s">
        <v>2101</v>
      </c>
      <c r="B32" s="734">
        <v>40664</v>
      </c>
      <c r="C32" s="735">
        <v>2100000</v>
      </c>
      <c r="D32" s="736">
        <v>1</v>
      </c>
      <c r="E32" s="735">
        <v>1725000</v>
      </c>
      <c r="F32" s="735"/>
      <c r="G32" s="735"/>
      <c r="H32" s="735">
        <v>105000</v>
      </c>
      <c r="I32" s="1774">
        <f>((E32+F32)-H32)+G32</f>
        <v>1620000</v>
      </c>
      <c r="J32" s="735">
        <f t="shared" ref="J32:J38" si="1">I32</f>
        <v>1620000</v>
      </c>
      <c r="K32" s="737"/>
    </row>
    <row r="33" spans="1:11" ht="12" customHeight="1" x14ac:dyDescent="0.2">
      <c r="A33" s="733" t="s">
        <v>2102</v>
      </c>
      <c r="B33" s="734">
        <v>41955</v>
      </c>
      <c r="C33" s="735">
        <v>3090000</v>
      </c>
      <c r="D33" s="736">
        <v>4</v>
      </c>
      <c r="E33" s="735">
        <v>3090000</v>
      </c>
      <c r="F33" s="735"/>
      <c r="G33" s="735"/>
      <c r="H33" s="735"/>
      <c r="I33" s="1774">
        <f t="shared" ref="I33:I48" si="2">((E33+F33)-H33)+G33</f>
        <v>3090000</v>
      </c>
      <c r="J33" s="735">
        <f t="shared" si="1"/>
        <v>3090000</v>
      </c>
      <c r="K33" s="737"/>
    </row>
    <row r="34" spans="1:11" ht="12" customHeight="1" x14ac:dyDescent="0.2">
      <c r="A34" s="733" t="s">
        <v>2103</v>
      </c>
      <c r="B34" s="734">
        <v>42186</v>
      </c>
      <c r="C34" s="735">
        <v>60067</v>
      </c>
      <c r="D34" s="736">
        <v>7</v>
      </c>
      <c r="E34" s="735">
        <v>20132</v>
      </c>
      <c r="F34" s="735"/>
      <c r="G34" s="735">
        <v>-20132</v>
      </c>
      <c r="H34" s="735"/>
      <c r="I34" s="1774">
        <f t="shared" si="2"/>
        <v>0</v>
      </c>
      <c r="J34" s="735">
        <f t="shared" si="1"/>
        <v>0</v>
      </c>
      <c r="K34" s="738"/>
    </row>
    <row r="35" spans="1:11" ht="12" customHeight="1" x14ac:dyDescent="0.2">
      <c r="A35" s="733" t="s">
        <v>2104</v>
      </c>
      <c r="B35" s="734">
        <v>42552</v>
      </c>
      <c r="C35" s="739">
        <v>90000</v>
      </c>
      <c r="D35" s="736">
        <v>7</v>
      </c>
      <c r="E35" s="739">
        <v>59306</v>
      </c>
      <c r="F35" s="739"/>
      <c r="G35" s="739">
        <v>-29143</v>
      </c>
      <c r="H35" s="739"/>
      <c r="I35" s="1774">
        <f t="shared" si="2"/>
        <v>30163</v>
      </c>
      <c r="J35" s="739">
        <f t="shared" si="1"/>
        <v>30163</v>
      </c>
      <c r="K35" s="738"/>
    </row>
    <row r="36" spans="1:11" ht="12" customHeight="1" x14ac:dyDescent="0.2">
      <c r="A36" s="733" t="s">
        <v>2105</v>
      </c>
      <c r="B36" s="734">
        <v>42917</v>
      </c>
      <c r="C36" s="735">
        <v>87000</v>
      </c>
      <c r="D36" s="736">
        <v>7</v>
      </c>
      <c r="E36" s="735"/>
      <c r="F36" s="735"/>
      <c r="G36" s="735">
        <v>57329</v>
      </c>
      <c r="H36" s="735"/>
      <c r="I36" s="1774">
        <f t="shared" si="2"/>
        <v>57329</v>
      </c>
      <c r="J36" s="735">
        <f t="shared" si="1"/>
        <v>57329</v>
      </c>
      <c r="K36" s="740"/>
    </row>
    <row r="37" spans="1:11" ht="12" customHeight="1" x14ac:dyDescent="0.2">
      <c r="A37" s="733" t="s">
        <v>2106</v>
      </c>
      <c r="B37" s="734">
        <v>41455</v>
      </c>
      <c r="C37" s="467">
        <v>2426840</v>
      </c>
      <c r="D37" s="741">
        <v>8</v>
      </c>
      <c r="E37" s="467">
        <v>1516775</v>
      </c>
      <c r="F37" s="467"/>
      <c r="G37" s="467">
        <v>-303355</v>
      </c>
      <c r="H37" s="467"/>
      <c r="I37" s="1774">
        <f t="shared" si="2"/>
        <v>1213420</v>
      </c>
      <c r="J37" s="467">
        <f t="shared" si="1"/>
        <v>1213420</v>
      </c>
      <c r="K37" s="738"/>
    </row>
    <row r="38" spans="1:11" ht="12" customHeight="1" x14ac:dyDescent="0.2">
      <c r="A38" s="733" t="s">
        <v>2170</v>
      </c>
      <c r="B38" s="734">
        <v>42968</v>
      </c>
      <c r="C38" s="735">
        <v>645658</v>
      </c>
      <c r="D38" s="742">
        <v>9</v>
      </c>
      <c r="E38" s="743"/>
      <c r="F38" s="743"/>
      <c r="G38" s="743">
        <v>645658</v>
      </c>
      <c r="H38" s="743"/>
      <c r="I38" s="1774">
        <f t="shared" si="2"/>
        <v>645658</v>
      </c>
      <c r="J38" s="744">
        <f t="shared" si="1"/>
        <v>645658</v>
      </c>
      <c r="K38" s="745"/>
    </row>
    <row r="39" spans="1:11" ht="12" customHeight="1" x14ac:dyDescent="0.2">
      <c r="A39" s="733"/>
      <c r="B39" s="734"/>
      <c r="C39" s="735"/>
      <c r="D39" s="742"/>
      <c r="E39" s="743"/>
      <c r="F39" s="743"/>
      <c r="G39" s="743"/>
      <c r="H39" s="743"/>
      <c r="I39" s="1774">
        <f t="shared" si="2"/>
        <v>0</v>
      </c>
      <c r="J39" s="744"/>
      <c r="K39" s="745"/>
    </row>
    <row r="40" spans="1:11" ht="12" customHeight="1" x14ac:dyDescent="0.2">
      <c r="A40" s="733"/>
      <c r="B40" s="734"/>
      <c r="C40" s="735"/>
      <c r="D40" s="742"/>
      <c r="E40" s="743"/>
      <c r="F40" s="743"/>
      <c r="G40" s="743"/>
      <c r="H40" s="743"/>
      <c r="I40" s="1774">
        <f t="shared" si="2"/>
        <v>0</v>
      </c>
      <c r="J40" s="744"/>
      <c r="K40" s="745"/>
    </row>
    <row r="41" spans="1:11" ht="12" customHeight="1" x14ac:dyDescent="0.2">
      <c r="A41" s="733"/>
      <c r="B41" s="734"/>
      <c r="C41" s="735"/>
      <c r="D41" s="742"/>
      <c r="E41" s="743"/>
      <c r="F41" s="743"/>
      <c r="G41" s="743"/>
      <c r="H41" s="743"/>
      <c r="I41" s="1774">
        <f t="shared" si="2"/>
        <v>0</v>
      </c>
      <c r="J41" s="744"/>
      <c r="K41" s="745"/>
    </row>
    <row r="42" spans="1:11" ht="12" customHeight="1" x14ac:dyDescent="0.2">
      <c r="A42" s="733"/>
      <c r="B42" s="734"/>
      <c r="C42" s="735"/>
      <c r="D42" s="742"/>
      <c r="E42" s="743"/>
      <c r="F42" s="743"/>
      <c r="G42" s="743"/>
      <c r="H42" s="743"/>
      <c r="I42" s="1774">
        <f t="shared" si="2"/>
        <v>0</v>
      </c>
      <c r="J42" s="744"/>
      <c r="K42" s="745"/>
    </row>
    <row r="43" spans="1:11" ht="12" customHeight="1" x14ac:dyDescent="0.2">
      <c r="A43" s="733"/>
      <c r="B43" s="734"/>
      <c r="C43" s="735"/>
      <c r="D43" s="742"/>
      <c r="E43" s="743"/>
      <c r="F43" s="743"/>
      <c r="G43" s="743"/>
      <c r="H43" s="743"/>
      <c r="I43" s="1774">
        <f t="shared" si="2"/>
        <v>0</v>
      </c>
      <c r="J43" s="744"/>
      <c r="K43" s="745"/>
    </row>
    <row r="44" spans="1:11" ht="12" customHeight="1" x14ac:dyDescent="0.2">
      <c r="A44" s="733"/>
      <c r="B44" s="734"/>
      <c r="C44" s="735"/>
      <c r="D44" s="736"/>
      <c r="E44" s="735"/>
      <c r="F44" s="735"/>
      <c r="G44" s="735"/>
      <c r="H44" s="735"/>
      <c r="I44" s="1774">
        <f t="shared" si="2"/>
        <v>0</v>
      </c>
      <c r="J44" s="735"/>
      <c r="K44" s="738"/>
    </row>
    <row r="45" spans="1:11" ht="12" customHeight="1" x14ac:dyDescent="0.2">
      <c r="A45" s="733"/>
      <c r="B45" s="734"/>
      <c r="C45" s="735"/>
      <c r="D45" s="736"/>
      <c r="E45" s="735"/>
      <c r="F45" s="735"/>
      <c r="G45" s="735"/>
      <c r="H45" s="735"/>
      <c r="I45" s="1774">
        <f t="shared" si="2"/>
        <v>0</v>
      </c>
      <c r="J45" s="735"/>
      <c r="K45" s="738"/>
    </row>
    <row r="46" spans="1:11" ht="12" customHeight="1" x14ac:dyDescent="0.2">
      <c r="A46" s="733"/>
      <c r="B46" s="734"/>
      <c r="C46" s="735"/>
      <c r="D46" s="736"/>
      <c r="E46" s="735"/>
      <c r="F46" s="735"/>
      <c r="G46" s="735"/>
      <c r="H46" s="735"/>
      <c r="I46" s="1774">
        <f t="shared" si="2"/>
        <v>0</v>
      </c>
      <c r="J46" s="735"/>
      <c r="K46" s="738"/>
    </row>
    <row r="47" spans="1:11" ht="12" customHeight="1" x14ac:dyDescent="0.2">
      <c r="A47" s="733"/>
      <c r="B47" s="734"/>
      <c r="C47" s="739"/>
      <c r="D47" s="736"/>
      <c r="E47" s="739"/>
      <c r="F47" s="739"/>
      <c r="G47" s="739"/>
      <c r="H47" s="739"/>
      <c r="I47" s="1774">
        <f t="shared" si="2"/>
        <v>0</v>
      </c>
      <c r="J47" s="739"/>
      <c r="K47" s="738"/>
    </row>
    <row r="48" spans="1:11" ht="12" customHeight="1" x14ac:dyDescent="0.2">
      <c r="A48" s="733"/>
      <c r="B48" s="734"/>
      <c r="C48" s="735"/>
      <c r="D48" s="736"/>
      <c r="E48" s="735"/>
      <c r="F48" s="735"/>
      <c r="G48" s="735"/>
      <c r="H48" s="735"/>
      <c r="I48" s="1774">
        <f t="shared" si="2"/>
        <v>0</v>
      </c>
      <c r="J48" s="735"/>
      <c r="K48" s="738"/>
    </row>
    <row r="49" spans="1:11" ht="12" customHeight="1" x14ac:dyDescent="0.2">
      <c r="A49" s="733"/>
      <c r="B49" s="734"/>
      <c r="C49" s="1774">
        <f>SUM(C31:C48)</f>
        <v>12629565</v>
      </c>
      <c r="D49" s="746"/>
      <c r="E49" s="1774">
        <f t="shared" ref="E49:J49" si="3">SUM(E31:E48)</f>
        <v>7236213</v>
      </c>
      <c r="F49" s="1774">
        <f t="shared" si="3"/>
        <v>0</v>
      </c>
      <c r="G49" s="1774">
        <f t="shared" si="3"/>
        <v>350357</v>
      </c>
      <c r="H49" s="1774">
        <f t="shared" si="3"/>
        <v>510000</v>
      </c>
      <c r="I49" s="1774">
        <f t="shared" si="3"/>
        <v>7076570</v>
      </c>
      <c r="J49" s="1774">
        <f t="shared" si="3"/>
        <v>6882063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9" t="s">
        <v>604</v>
      </c>
      <c r="C52" s="2230"/>
      <c r="D52" s="2230"/>
      <c r="E52" s="750" t="s">
        <v>899</v>
      </c>
      <c r="F52" s="2231" t="s">
        <v>2107</v>
      </c>
      <c r="G52" s="2232"/>
      <c r="H52" s="737"/>
      <c r="I52" s="737"/>
      <c r="J52" s="747"/>
    </row>
    <row r="53" spans="1:11" ht="11.25" customHeight="1" x14ac:dyDescent="0.2">
      <c r="A53" s="751" t="s">
        <v>968</v>
      </c>
      <c r="B53" s="752" t="s">
        <v>1007</v>
      </c>
      <c r="C53" s="747"/>
      <c r="D53" s="738"/>
      <c r="E53" s="750" t="s">
        <v>517</v>
      </c>
      <c r="F53" s="2233" t="s">
        <v>2108</v>
      </c>
      <c r="G53" s="2234"/>
      <c r="H53" s="737"/>
      <c r="I53" s="737"/>
      <c r="J53" s="747"/>
    </row>
    <row r="54" spans="1:11" ht="11.25" customHeight="1" x14ac:dyDescent="0.2">
      <c r="A54" s="753" t="s">
        <v>969</v>
      </c>
      <c r="B54" s="748" t="s">
        <v>1008</v>
      </c>
      <c r="C54" s="747"/>
      <c r="D54" s="738"/>
      <c r="E54" s="750" t="s">
        <v>518</v>
      </c>
      <c r="F54" s="2233" t="s">
        <v>2116</v>
      </c>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65" firstPageNumber="24" fitToWidth="0"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910</v>
      </c>
      <c r="B1" s="2264"/>
      <c r="C1" s="2264"/>
      <c r="D1" s="2264"/>
      <c r="E1" s="2264"/>
      <c r="F1" s="2264"/>
      <c r="G1" s="2265"/>
      <c r="H1" s="1552"/>
      <c r="I1" s="761"/>
      <c r="J1" s="433"/>
    </row>
    <row r="2" spans="1:11" ht="26.25" x14ac:dyDescent="0.2">
      <c r="A2" s="2242" t="s">
        <v>1775</v>
      </c>
      <c r="B2" s="2243"/>
      <c r="C2" s="2243"/>
      <c r="D2" s="2243"/>
      <c r="E2" s="2244"/>
      <c r="F2" s="762" t="s">
        <v>959</v>
      </c>
      <c r="G2" s="763" t="s">
        <v>1772</v>
      </c>
      <c r="H2" s="763" t="s">
        <v>429</v>
      </c>
      <c r="I2" s="763" t="s">
        <v>1219</v>
      </c>
      <c r="J2" s="763" t="s">
        <v>1915</v>
      </c>
      <c r="K2" s="763" t="s">
        <v>140</v>
      </c>
    </row>
    <row r="3" spans="1:11" x14ac:dyDescent="0.2">
      <c r="A3" s="2245" t="s">
        <v>1697</v>
      </c>
      <c r="B3" s="2246"/>
      <c r="C3" s="2246"/>
      <c r="D3" s="2246"/>
      <c r="E3" s="2247"/>
      <c r="F3" s="764"/>
      <c r="G3" s="765"/>
      <c r="H3" s="765"/>
      <c r="I3" s="765"/>
      <c r="J3" s="766"/>
      <c r="K3" s="766"/>
    </row>
    <row r="4" spans="1:11" x14ac:dyDescent="0.2">
      <c r="A4" s="2248" t="s">
        <v>386</v>
      </c>
      <c r="B4" s="2249"/>
      <c r="C4" s="2249"/>
      <c r="D4" s="2249"/>
      <c r="E4" s="2230"/>
      <c r="F4" s="767"/>
      <c r="G4" s="768"/>
      <c r="H4" s="769"/>
      <c r="I4" s="768"/>
      <c r="J4" s="770"/>
      <c r="K4" s="770"/>
    </row>
    <row r="5" spans="1:11" x14ac:dyDescent="0.2">
      <c r="A5" s="2266" t="s">
        <v>1128</v>
      </c>
      <c r="B5" s="2239"/>
      <c r="C5" s="2239"/>
      <c r="D5" s="2239"/>
      <c r="E5" s="2267"/>
      <c r="F5" s="771" t="s">
        <v>902</v>
      </c>
      <c r="G5" s="772"/>
      <c r="H5" s="765">
        <v>78429</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7858</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19599</v>
      </c>
    </row>
    <row r="10" spans="1:11" x14ac:dyDescent="0.2">
      <c r="A10" s="2266" t="s">
        <v>1916</v>
      </c>
      <c r="B10" s="2239"/>
      <c r="C10" s="2239"/>
      <c r="D10" s="2239"/>
      <c r="E10" s="2268"/>
      <c r="F10" s="784" t="s">
        <v>916</v>
      </c>
      <c r="G10" s="783"/>
      <c r="H10" s="785"/>
      <c r="I10" s="765"/>
      <c r="J10" s="766"/>
      <c r="K10" s="766"/>
    </row>
    <row r="11" spans="1:11" x14ac:dyDescent="0.2">
      <c r="A11" s="2266" t="s">
        <v>162</v>
      </c>
      <c r="B11" s="2239"/>
      <c r="C11" s="2239"/>
      <c r="D11" s="2239"/>
      <c r="E11" s="2267"/>
      <c r="F11" s="771" t="s">
        <v>906</v>
      </c>
      <c r="G11" s="772"/>
      <c r="H11" s="765"/>
      <c r="I11" s="765"/>
      <c r="J11" s="766"/>
      <c r="K11" s="774"/>
    </row>
    <row r="12" spans="1:11" ht="13.5" thickBot="1" x14ac:dyDescent="0.25">
      <c r="A12" s="2256" t="s">
        <v>960</v>
      </c>
      <c r="B12" s="2257"/>
      <c r="C12" s="2257"/>
      <c r="D12" s="2257"/>
      <c r="E12" s="2258"/>
      <c r="F12" s="1775"/>
      <c r="G12" s="1776">
        <f>SUM(G5:G11)</f>
        <v>0</v>
      </c>
      <c r="H12" s="1776">
        <f>SUM(H5:H11)</f>
        <v>78429</v>
      </c>
      <c r="I12" s="1776">
        <f>SUM(I5:I11)</f>
        <v>0</v>
      </c>
      <c r="J12" s="1776">
        <f>SUM(J5:J11)</f>
        <v>0</v>
      </c>
      <c r="K12" s="1776">
        <f>SUM(K5:K11)</f>
        <v>27457</v>
      </c>
    </row>
    <row r="13" spans="1:11" ht="13.5" thickTop="1" x14ac:dyDescent="0.2">
      <c r="A13" s="2250" t="s">
        <v>387</v>
      </c>
      <c r="B13" s="2251"/>
      <c r="C13" s="2251"/>
      <c r="D13" s="2251"/>
      <c r="E13" s="2252"/>
      <c r="F13" s="786"/>
      <c r="G13" s="787"/>
      <c r="H13" s="788"/>
      <c r="I13" s="789"/>
      <c r="J13" s="789"/>
      <c r="K13" s="789"/>
    </row>
    <row r="14" spans="1:11" x14ac:dyDescent="0.2">
      <c r="A14" s="2272" t="s">
        <v>475</v>
      </c>
      <c r="B14" s="2272"/>
      <c r="C14" s="2272"/>
      <c r="D14" s="2272"/>
      <c r="E14" s="2273"/>
      <c r="F14" s="790" t="s">
        <v>908</v>
      </c>
      <c r="G14" s="783"/>
      <c r="H14" s="765">
        <v>78429</v>
      </c>
      <c r="I14" s="772"/>
      <c r="J14" s="774"/>
      <c r="K14" s="766">
        <v>27457</v>
      </c>
    </row>
    <row r="15" spans="1:11" x14ac:dyDescent="0.2">
      <c r="A15" s="2239" t="s">
        <v>4</v>
      </c>
      <c r="B15" s="2239"/>
      <c r="C15" s="2239"/>
      <c r="D15" s="2239"/>
      <c r="E15" s="2267"/>
      <c r="F15" s="790" t="s">
        <v>909</v>
      </c>
      <c r="G15" s="772"/>
      <c r="H15" s="765"/>
      <c r="I15" s="765"/>
      <c r="J15" s="766"/>
      <c r="K15" s="766"/>
    </row>
    <row r="16" spans="1:11" x14ac:dyDescent="0.2">
      <c r="A16" s="2239" t="s">
        <v>315</v>
      </c>
      <c r="B16" s="2239"/>
      <c r="C16" s="2239"/>
      <c r="D16" s="2239"/>
      <c r="E16" s="2267"/>
      <c r="F16" s="790" t="s">
        <v>979</v>
      </c>
      <c r="G16" s="773"/>
      <c r="H16" s="768"/>
      <c r="I16" s="768"/>
      <c r="J16" s="770"/>
      <c r="K16" s="770"/>
    </row>
    <row r="17" spans="1:11" x14ac:dyDescent="0.2">
      <c r="A17" s="2261" t="s">
        <v>991</v>
      </c>
      <c r="B17" s="2261"/>
      <c r="C17" s="2261"/>
      <c r="D17" s="2261"/>
      <c r="E17" s="2262"/>
      <c r="F17" s="791"/>
      <c r="G17" s="792"/>
      <c r="H17" s="793"/>
      <c r="I17" s="793"/>
      <c r="J17" s="794"/>
      <c r="K17" s="795"/>
    </row>
    <row r="18" spans="1:11" x14ac:dyDescent="0.2">
      <c r="A18" s="2253" t="s">
        <v>385</v>
      </c>
      <c r="B18" s="2254"/>
      <c r="C18" s="2254"/>
      <c r="D18" s="2254"/>
      <c r="E18" s="2255"/>
      <c r="F18" s="790" t="s">
        <v>988</v>
      </c>
      <c r="G18" s="783"/>
      <c r="H18" s="783"/>
      <c r="I18" s="783"/>
      <c r="J18" s="766"/>
      <c r="K18" s="796"/>
    </row>
    <row r="19" spans="1:11" ht="21.75" customHeight="1" x14ac:dyDescent="0.2">
      <c r="A19" s="2274" t="s">
        <v>1912</v>
      </c>
      <c r="B19" s="2274"/>
      <c r="C19" s="2274"/>
      <c r="D19" s="2274"/>
      <c r="E19" s="2275"/>
      <c r="F19" s="790" t="s">
        <v>989</v>
      </c>
      <c r="G19" s="783"/>
      <c r="H19" s="783"/>
      <c r="I19" s="783"/>
      <c r="J19" s="766"/>
      <c r="K19" s="796"/>
    </row>
    <row r="20" spans="1:11" x14ac:dyDescent="0.2">
      <c r="A20" s="2253" t="s">
        <v>1917</v>
      </c>
      <c r="B20" s="2254"/>
      <c r="C20" s="2254"/>
      <c r="D20" s="2254"/>
      <c r="E20" s="2255"/>
      <c r="F20" s="790" t="s">
        <v>990</v>
      </c>
      <c r="G20" s="783"/>
      <c r="H20" s="783"/>
      <c r="I20" s="783"/>
      <c r="J20" s="766"/>
      <c r="K20" s="796"/>
    </row>
    <row r="21" spans="1:11" ht="13.5" thickBot="1" x14ac:dyDescent="0.25">
      <c r="A21" s="2259" t="s">
        <v>658</v>
      </c>
      <c r="B21" s="2259"/>
      <c r="C21" s="2259"/>
      <c r="D21" s="2259"/>
      <c r="E21" s="2259"/>
      <c r="F21" s="1777"/>
      <c r="G21" s="793"/>
      <c r="H21" s="797"/>
      <c r="I21" s="797"/>
      <c r="J21" s="1778">
        <f>SUM(J18:J20)</f>
        <v>0</v>
      </c>
      <c r="K21" s="794"/>
    </row>
    <row r="22" spans="1:11" ht="13.5" thickTop="1" x14ac:dyDescent="0.2">
      <c r="A22" s="2239" t="s">
        <v>1918</v>
      </c>
      <c r="B22" s="2239"/>
      <c r="C22" s="2239"/>
      <c r="D22" s="2239"/>
      <c r="E22" s="2267"/>
      <c r="F22" s="790" t="s">
        <v>916</v>
      </c>
      <c r="G22" s="783"/>
      <c r="H22" s="765"/>
      <c r="I22" s="765"/>
      <c r="J22" s="798"/>
      <c r="K22" s="766"/>
    </row>
    <row r="23" spans="1:11" ht="13.5" thickBot="1" x14ac:dyDescent="0.25">
      <c r="A23" s="2260" t="s">
        <v>961</v>
      </c>
      <c r="B23" s="2259"/>
      <c r="C23" s="2259"/>
      <c r="D23" s="2259"/>
      <c r="E23" s="2259"/>
      <c r="F23" s="1779"/>
      <c r="G23" s="1776">
        <f>SUM(G14:G16,G21,G22)</f>
        <v>0</v>
      </c>
      <c r="H23" s="1776">
        <f>SUM(H14:H16,H21,H22)</f>
        <v>78429</v>
      </c>
      <c r="I23" s="1776">
        <f>SUM(I14:I16,I21,I22)</f>
        <v>0</v>
      </c>
      <c r="J23" s="1776">
        <f>SUM(J14:J16,J21,J22)</f>
        <v>0</v>
      </c>
      <c r="K23" s="1776">
        <f>SUM(K14:K16,K21,K22)</f>
        <v>27457</v>
      </c>
    </row>
    <row r="24" spans="1:11" ht="14.25" thickTop="1" thickBot="1" x14ac:dyDescent="0.25">
      <c r="A24" s="2260" t="s">
        <v>2022</v>
      </c>
      <c r="B24" s="2259"/>
      <c r="C24" s="2259"/>
      <c r="D24" s="2259"/>
      <c r="E24" s="2259"/>
      <c r="F24" s="1780"/>
      <c r="G24" s="1781">
        <f>SUM(G3,G12)-G23</f>
        <v>0</v>
      </c>
      <c r="H24" s="1781">
        <f>SUM(H3,H12)-H23</f>
        <v>0</v>
      </c>
      <c r="I24" s="1781">
        <f>SUM(I3,I12)-I23</f>
        <v>0</v>
      </c>
      <c r="J24" s="1781">
        <f>SUM(J3,J12)-J23</f>
        <v>0</v>
      </c>
      <c r="K24" s="1781">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0" t="s">
        <v>2032</v>
      </c>
      <c r="B28" s="1901"/>
      <c r="C28" s="1901"/>
      <c r="D28" s="1901"/>
      <c r="E28" s="1902"/>
      <c r="F28" s="804"/>
      <c r="G28" s="805"/>
    </row>
    <row r="29" spans="1:11" x14ac:dyDescent="0.2">
      <c r="B29" s="501"/>
      <c r="C29" s="501"/>
      <c r="D29" s="501"/>
      <c r="F29" s="202"/>
      <c r="G29" s="806"/>
    </row>
    <row r="30" spans="1:11" x14ac:dyDescent="0.2">
      <c r="A30" s="807" t="s">
        <v>592</v>
      </c>
      <c r="B30" s="808"/>
      <c r="C30" s="807" t="s">
        <v>400</v>
      </c>
      <c r="D30" s="808" t="s">
        <v>2073</v>
      </c>
      <c r="E30" s="809" t="s">
        <v>791</v>
      </c>
      <c r="F30" s="202"/>
      <c r="G30" s="806"/>
    </row>
    <row r="31" spans="1:11" x14ac:dyDescent="0.2">
      <c r="A31" s="810"/>
      <c r="D31" s="237"/>
      <c r="E31" s="811" t="s">
        <v>792</v>
      </c>
      <c r="F31" s="812" t="s">
        <v>559</v>
      </c>
      <c r="G31" s="765"/>
      <c r="H31" s="2269"/>
      <c r="I31" s="2270"/>
      <c r="J31" s="2270"/>
      <c r="K31" s="2270"/>
    </row>
    <row r="32" spans="1:11" x14ac:dyDescent="0.2">
      <c r="A32" s="810"/>
      <c r="B32" s="237"/>
      <c r="C32" s="237"/>
      <c r="D32" s="237"/>
      <c r="E32" s="806"/>
      <c r="F32" s="812" t="s">
        <v>560</v>
      </c>
      <c r="G32" s="765"/>
      <c r="H32" s="2271"/>
      <c r="I32" s="2270"/>
      <c r="J32" s="2270"/>
      <c r="K32" s="2270"/>
    </row>
    <row r="33" spans="1:11" ht="1.5" customHeight="1" x14ac:dyDescent="0.2">
      <c r="A33" s="813" t="s">
        <v>1230</v>
      </c>
      <c r="B33" s="364"/>
      <c r="C33" s="364"/>
      <c r="D33" s="364"/>
      <c r="E33" s="364"/>
      <c r="F33" s="364"/>
      <c r="G33" s="814"/>
      <c r="H33" s="2271"/>
      <c r="I33" s="2270"/>
      <c r="J33" s="2270"/>
      <c r="K33" s="227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9" t="s">
        <v>561</v>
      </c>
      <c r="B41" s="2240"/>
      <c r="C41" s="2240"/>
      <c r="D41" s="2240"/>
      <c r="E41" s="2240"/>
      <c r="F41" s="2241"/>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2031</v>
      </c>
      <c r="B1" s="2279"/>
      <c r="C1" s="2280"/>
      <c r="D1" s="827"/>
      <c r="E1" s="828"/>
      <c r="F1" s="828"/>
      <c r="G1" s="829"/>
      <c r="H1" s="830"/>
      <c r="I1" s="831"/>
      <c r="J1" s="2276"/>
      <c r="K1" s="2277"/>
      <c r="L1" s="2277"/>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78">
        <f>(C3+D3)-E3</f>
        <v>0</v>
      </c>
      <c r="G3" s="837"/>
      <c r="H3" s="836"/>
      <c r="I3" s="836"/>
      <c r="J3" s="836"/>
      <c r="K3" s="1787">
        <f>(H3+I3)-J3</f>
        <v>0</v>
      </c>
      <c r="L3" s="1787">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98019</v>
      </c>
      <c r="D5" s="842"/>
      <c r="E5" s="842"/>
      <c r="F5" s="1778">
        <f>(C5+D5)-E5</f>
        <v>98019</v>
      </c>
      <c r="G5" s="838"/>
      <c r="H5" s="843"/>
      <c r="I5" s="843"/>
      <c r="J5" s="843"/>
      <c r="K5" s="794"/>
      <c r="L5" s="1787">
        <f>F5-K5</f>
        <v>98019</v>
      </c>
    </row>
    <row r="6" spans="1:14" ht="14.25" thickTop="1" thickBot="1" x14ac:dyDescent="0.25">
      <c r="A6" s="779" t="s">
        <v>1178</v>
      </c>
      <c r="B6" s="841">
        <v>222</v>
      </c>
      <c r="C6" s="766"/>
      <c r="D6" s="766"/>
      <c r="E6" s="766"/>
      <c r="F6" s="1778">
        <f>(C6+D6)-E6</f>
        <v>0</v>
      </c>
      <c r="G6" s="838">
        <v>50</v>
      </c>
      <c r="H6" s="766"/>
      <c r="I6" s="766"/>
      <c r="J6" s="766"/>
      <c r="K6" s="1787">
        <f>(H6+I6)-J6</f>
        <v>0</v>
      </c>
      <c r="L6" s="1787">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30105756</v>
      </c>
      <c r="D8" s="845">
        <v>33918</v>
      </c>
      <c r="E8" s="845"/>
      <c r="F8" s="1778">
        <f>(C8+D8)-E8</f>
        <v>30139674</v>
      </c>
      <c r="G8" s="844">
        <v>50</v>
      </c>
      <c r="H8" s="766">
        <v>7667750</v>
      </c>
      <c r="I8" s="766">
        <v>633320</v>
      </c>
      <c r="J8" s="766"/>
      <c r="K8" s="1787">
        <f>(H8+I8)-J8</f>
        <v>8301070</v>
      </c>
      <c r="L8" s="1787">
        <f>F8-K8</f>
        <v>21838604</v>
      </c>
    </row>
    <row r="9" spans="1:14" ht="14.25" thickTop="1" thickBot="1" x14ac:dyDescent="0.25">
      <c r="A9" s="779" t="s">
        <v>1180</v>
      </c>
      <c r="B9" s="841">
        <v>232</v>
      </c>
      <c r="C9" s="766"/>
      <c r="D9" s="766"/>
      <c r="E9" s="766"/>
      <c r="F9" s="1778">
        <f>(C9+D9)-E9</f>
        <v>0</v>
      </c>
      <c r="G9" s="844">
        <v>20</v>
      </c>
      <c r="H9" s="766"/>
      <c r="I9" s="766"/>
      <c r="J9" s="766"/>
      <c r="K9" s="1787">
        <f>(H9+I9)-J9</f>
        <v>0</v>
      </c>
      <c r="L9" s="1787">
        <f>F9-K9</f>
        <v>0</v>
      </c>
    </row>
    <row r="10" spans="1:14" ht="24" thickTop="1" thickBot="1" x14ac:dyDescent="0.25">
      <c r="A10" s="846" t="s">
        <v>1181</v>
      </c>
      <c r="B10" s="841">
        <v>240</v>
      </c>
      <c r="C10" s="847">
        <v>3124176</v>
      </c>
      <c r="D10" s="847">
        <v>14186</v>
      </c>
      <c r="E10" s="847"/>
      <c r="F10" s="1782">
        <f>(C10+D10)-E10</f>
        <v>3138362</v>
      </c>
      <c r="G10" s="844">
        <v>20</v>
      </c>
      <c r="H10" s="848">
        <v>1082152</v>
      </c>
      <c r="I10" s="848">
        <v>157364</v>
      </c>
      <c r="J10" s="848"/>
      <c r="K10" s="1787">
        <f>(H10+I10)-J10</f>
        <v>1239516</v>
      </c>
      <c r="L10" s="1787">
        <f>F10-K10</f>
        <v>1898846</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1099596</v>
      </c>
      <c r="D12" s="845">
        <v>78093</v>
      </c>
      <c r="E12" s="845"/>
      <c r="F12" s="1778">
        <f>(C12+D12)-E12</f>
        <v>1177689</v>
      </c>
      <c r="G12" s="844">
        <v>10</v>
      </c>
      <c r="H12" s="766">
        <v>842129</v>
      </c>
      <c r="I12" s="766">
        <f>32891+8543</f>
        <v>41434</v>
      </c>
      <c r="J12" s="766"/>
      <c r="K12" s="1787">
        <f>(H12+I12)-J12</f>
        <v>883563</v>
      </c>
      <c r="L12" s="1787">
        <f>F12-K12</f>
        <v>294126</v>
      </c>
    </row>
    <row r="13" spans="1:14" ht="14.25" thickTop="1" thickBot="1" x14ac:dyDescent="0.25">
      <c r="A13" s="849" t="s">
        <v>1183</v>
      </c>
      <c r="B13" s="841">
        <v>252</v>
      </c>
      <c r="C13" s="845">
        <v>3108859</v>
      </c>
      <c r="D13" s="845">
        <v>645658</v>
      </c>
      <c r="E13" s="845">
        <v>413695</v>
      </c>
      <c r="F13" s="1778">
        <f>(C13+D13)-E13</f>
        <v>3340822</v>
      </c>
      <c r="G13" s="844">
        <v>5</v>
      </c>
      <c r="H13" s="766">
        <v>2952725</v>
      </c>
      <c r="I13" s="766">
        <f>6887+193470</f>
        <v>200357</v>
      </c>
      <c r="J13" s="766">
        <v>413695</v>
      </c>
      <c r="K13" s="1787">
        <f>(H13+I13)-J13</f>
        <v>2739387</v>
      </c>
      <c r="L13" s="1787">
        <f>F13-K13</f>
        <v>601435</v>
      </c>
    </row>
    <row r="14" spans="1:14" ht="14.25" thickTop="1" thickBot="1" x14ac:dyDescent="0.25">
      <c r="A14" s="849" t="s">
        <v>1184</v>
      </c>
      <c r="B14" s="841">
        <v>253</v>
      </c>
      <c r="C14" s="766">
        <v>555363</v>
      </c>
      <c r="D14" s="766">
        <f>87000+12191</f>
        <v>99191</v>
      </c>
      <c r="E14" s="766"/>
      <c r="F14" s="1778">
        <f>(C14+D14)-E14</f>
        <v>654554</v>
      </c>
      <c r="G14" s="844">
        <v>3</v>
      </c>
      <c r="H14" s="766">
        <v>461463</v>
      </c>
      <c r="I14" s="766">
        <f>79729+2795</f>
        <v>82524</v>
      </c>
      <c r="J14" s="766"/>
      <c r="K14" s="1787">
        <f>(H14+I14)-J14</f>
        <v>543987</v>
      </c>
      <c r="L14" s="1787">
        <f>F14-K14</f>
        <v>110567</v>
      </c>
    </row>
    <row r="15" spans="1:14" ht="15" customHeight="1" thickTop="1" thickBot="1" x14ac:dyDescent="0.25">
      <c r="A15" s="1653" t="s">
        <v>548</v>
      </c>
      <c r="B15" s="1652">
        <v>260</v>
      </c>
      <c r="C15" s="845"/>
      <c r="D15" s="845">
        <v>4094</v>
      </c>
      <c r="E15" s="845"/>
      <c r="F15" s="1778">
        <f>(C15+D15)-E15</f>
        <v>4094</v>
      </c>
      <c r="G15" s="850" t="s">
        <v>916</v>
      </c>
      <c r="H15" s="782"/>
      <c r="I15" s="782"/>
      <c r="J15" s="782"/>
      <c r="K15" s="782"/>
      <c r="L15" s="1787">
        <f>F15-K15</f>
        <v>4094</v>
      </c>
    </row>
    <row r="16" spans="1:14" ht="15" customHeight="1" thickTop="1" thickBot="1" x14ac:dyDescent="0.25">
      <c r="A16" s="1783" t="s">
        <v>663</v>
      </c>
      <c r="B16" s="1784">
        <v>200</v>
      </c>
      <c r="C16" s="1778">
        <f>SUM(C3,C5:C6,C8:C10,C12:C15)</f>
        <v>38091769</v>
      </c>
      <c r="D16" s="1778">
        <f>SUM(D3,D5:D6,D8:D10,D12:D15)</f>
        <v>875140</v>
      </c>
      <c r="E16" s="1778">
        <f>SUM(E3,E5:E6,E8:E10,E12:E15)</f>
        <v>413695</v>
      </c>
      <c r="F16" s="1778">
        <f>SUM(F3,F5:F6,F8:F10,F12:F15)</f>
        <v>38553214</v>
      </c>
      <c r="G16" s="844"/>
      <c r="H16" s="1778">
        <f>SUM(H3,H6,H8:H10,H12:H14,)</f>
        <v>13006219</v>
      </c>
      <c r="I16" s="1778">
        <f>SUM(I3,I6,I8:I10,I12:I14,)</f>
        <v>1114999</v>
      </c>
      <c r="J16" s="1778">
        <f>SUM(J3,J6,J8:J10,J12:J14,)</f>
        <v>413695</v>
      </c>
      <c r="K16" s="1778">
        <f>(H16+I16)-J16</f>
        <v>13707523</v>
      </c>
      <c r="L16" s="1778">
        <f>F16-K16</f>
        <v>24845691</v>
      </c>
    </row>
    <row r="17" spans="1:12" ht="15" customHeight="1" thickTop="1" thickBot="1" x14ac:dyDescent="0.25">
      <c r="A17" s="1655" t="s">
        <v>308</v>
      </c>
      <c r="B17" s="1652">
        <v>700</v>
      </c>
      <c r="C17" s="770"/>
      <c r="D17" s="770"/>
      <c r="E17" s="770"/>
      <c r="F17" s="1778">
        <f>SUM('Expenditures 15-22'!I114,'Expenditures 15-22'!I151,'Expenditures 15-22'!I210,'Expenditures 15-22'!I312,'Expenditures 15-22'!I342,'Expenditures 15-22'!I367)</f>
        <v>28499</v>
      </c>
      <c r="G17" s="838">
        <v>10</v>
      </c>
      <c r="H17" s="770"/>
      <c r="I17" s="1787">
        <f>F17/G17</f>
        <v>2849.9</v>
      </c>
      <c r="J17" s="770"/>
      <c r="K17" s="796"/>
      <c r="L17" s="796"/>
    </row>
    <row r="18" spans="1:12" ht="14.25" thickTop="1" thickBot="1" x14ac:dyDescent="0.25">
      <c r="A18" s="1785" t="s">
        <v>705</v>
      </c>
      <c r="B18" s="1786"/>
      <c r="C18" s="772"/>
      <c r="D18" s="772"/>
      <c r="E18" s="772"/>
      <c r="F18" s="851"/>
      <c r="G18" s="852"/>
      <c r="H18" s="774"/>
      <c r="I18" s="1778">
        <f>SUM(I16,I17)</f>
        <v>1117848.8999999999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A43" sqref="A43"/>
      <selection pane="bottomLeft" activeCell="A43" sqref="A4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1698</v>
      </c>
      <c r="B1" s="2285"/>
      <c r="C1" s="2285"/>
      <c r="D1" s="2285"/>
      <c r="E1" s="2285"/>
      <c r="F1" s="2286"/>
      <c r="G1" s="856"/>
    </row>
    <row r="2" spans="1:7" ht="15" customHeight="1" thickBot="1" x14ac:dyDescent="0.25">
      <c r="A2" s="2287" t="s">
        <v>497</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90"/>
      <c r="B5" s="2291"/>
      <c r="C5" s="2291"/>
      <c r="D5" s="2291"/>
      <c r="E5" s="2291"/>
      <c r="F5" s="2291"/>
    </row>
    <row r="6" spans="1:7" ht="13.5" customHeight="1" thickBot="1" x14ac:dyDescent="0.25">
      <c r="A6" s="2281" t="s">
        <v>1165</v>
      </c>
      <c r="B6" s="2282"/>
      <c r="C6" s="2282"/>
      <c r="D6" s="2282"/>
      <c r="E6" s="2282"/>
      <c r="F6" s="2283"/>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29">
        <f>'Expenditures 15-22'!K114</f>
        <v>8629974</v>
      </c>
      <c r="G8" s="866"/>
    </row>
    <row r="9" spans="1:7" x14ac:dyDescent="0.2">
      <c r="A9" s="870" t="s">
        <v>479</v>
      </c>
      <c r="B9" s="871" t="s">
        <v>1985</v>
      </c>
      <c r="C9" s="872"/>
      <c r="D9" s="870" t="s">
        <v>521</v>
      </c>
      <c r="E9" s="869"/>
      <c r="F9" s="1930">
        <f>'Expenditures 15-22'!K151</f>
        <v>1047115</v>
      </c>
      <c r="G9" s="873"/>
    </row>
    <row r="10" spans="1:7" x14ac:dyDescent="0.2">
      <c r="A10" s="870" t="s">
        <v>519</v>
      </c>
      <c r="B10" s="871" t="s">
        <v>1986</v>
      </c>
      <c r="C10" s="872"/>
      <c r="D10" s="870" t="s">
        <v>521</v>
      </c>
      <c r="E10" s="869"/>
      <c r="F10" s="1930">
        <f>'Expenditures 15-22'!K174</f>
        <v>740603</v>
      </c>
      <c r="G10" s="873"/>
    </row>
    <row r="11" spans="1:7" x14ac:dyDescent="0.2">
      <c r="A11" s="870" t="s">
        <v>480</v>
      </c>
      <c r="B11" s="871" t="s">
        <v>1987</v>
      </c>
      <c r="C11" s="872"/>
      <c r="D11" s="870" t="s">
        <v>521</v>
      </c>
      <c r="E11" s="869"/>
      <c r="F11" s="1930">
        <f>'Expenditures 15-22'!K210</f>
        <v>1936215</v>
      </c>
      <c r="G11" s="873"/>
    </row>
    <row r="12" spans="1:7" x14ac:dyDescent="0.2">
      <c r="A12" s="870" t="s">
        <v>481</v>
      </c>
      <c r="B12" s="871" t="s">
        <v>1988</v>
      </c>
      <c r="C12" s="872"/>
      <c r="D12" s="870" t="s">
        <v>521</v>
      </c>
      <c r="E12" s="869"/>
      <c r="F12" s="1930">
        <f>'Expenditures 15-22'!K295</f>
        <v>710538</v>
      </c>
      <c r="G12" s="873"/>
    </row>
    <row r="13" spans="1:7" x14ac:dyDescent="0.2">
      <c r="A13" s="870" t="s">
        <v>108</v>
      </c>
      <c r="B13" s="871" t="s">
        <v>1989</v>
      </c>
      <c r="C13" s="872"/>
      <c r="D13" s="870" t="s">
        <v>521</v>
      </c>
      <c r="E13" s="869"/>
      <c r="F13" s="1930">
        <f>'Expenditures 15-22'!K342</f>
        <v>1061227</v>
      </c>
      <c r="G13" s="874"/>
    </row>
    <row r="14" spans="1:7" ht="12" customHeight="1" thickBot="1" x14ac:dyDescent="0.25">
      <c r="A14" s="1788"/>
      <c r="B14" s="1789"/>
      <c r="C14" s="1790"/>
      <c r="D14" s="1791" t="s">
        <v>521</v>
      </c>
      <c r="E14" s="1792" t="s">
        <v>1014</v>
      </c>
      <c r="F14" s="1793">
        <f>SUM(F8:F13)</f>
        <v>14125672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1">
        <f>'Revenues 9-14'!F43</f>
        <v>0</v>
      </c>
      <c r="G18" s="866"/>
    </row>
    <row r="19" spans="1:7" x14ac:dyDescent="0.2">
      <c r="A19" s="870" t="s">
        <v>480</v>
      </c>
      <c r="B19" s="871" t="s">
        <v>1068</v>
      </c>
      <c r="C19" s="878">
        <f>'Revenues 9-14'!B47</f>
        <v>1421</v>
      </c>
      <c r="D19" s="879" t="str">
        <f>'Revenues 9-14'!A47</f>
        <v>Summer Sch - Transp. Fees from Pupils or Parents (In State)</v>
      </c>
      <c r="E19" s="880"/>
      <c r="F19" s="1932">
        <f>'Revenues 9-14'!F47</f>
        <v>0</v>
      </c>
      <c r="G19" s="866"/>
    </row>
    <row r="20" spans="1:7" x14ac:dyDescent="0.2">
      <c r="A20" s="870" t="s">
        <v>480</v>
      </c>
      <c r="B20" s="871" t="s">
        <v>1069</v>
      </c>
      <c r="C20" s="876">
        <f>'Revenues 9-14'!B48</f>
        <v>1422</v>
      </c>
      <c r="D20" s="877" t="str">
        <f>'Revenues 9-14'!A48</f>
        <v>Summer Sch - Transp. Fees from Other Districts (In State)</v>
      </c>
      <c r="E20" s="869"/>
      <c r="F20" s="1933">
        <f>'Revenues 9-14'!F48</f>
        <v>0</v>
      </c>
      <c r="G20" s="866"/>
    </row>
    <row r="21" spans="1:7" x14ac:dyDescent="0.2">
      <c r="A21" s="870" t="s">
        <v>480</v>
      </c>
      <c r="B21" s="871" t="s">
        <v>1070</v>
      </c>
      <c r="C21" s="878">
        <f>'Revenues 9-14'!B49</f>
        <v>1423</v>
      </c>
      <c r="D21" s="877" t="str">
        <f>'Revenues 9-14'!A49</f>
        <v>Summer Sch - Transp. Fees from Other Sources (In State)</v>
      </c>
      <c r="E21" s="869"/>
      <c r="F21" s="1934">
        <f>'Revenues 9-14'!F49</f>
        <v>0</v>
      </c>
      <c r="G21" s="866"/>
    </row>
    <row r="22" spans="1:7" x14ac:dyDescent="0.2">
      <c r="A22" s="870" t="s">
        <v>480</v>
      </c>
      <c r="B22" s="871" t="s">
        <v>1071</v>
      </c>
      <c r="C22" s="878">
        <f>'Revenues 9-14'!B50</f>
        <v>1424</v>
      </c>
      <c r="D22" s="877" t="str">
        <f>'Revenues 9-14'!A50</f>
        <v>Summer Sch - Transp. Fees from Other Sources (Out of State)</v>
      </c>
      <c r="E22" s="869"/>
      <c r="F22" s="1934">
        <f>'Revenues 9-14'!F50</f>
        <v>0</v>
      </c>
      <c r="G22" s="866"/>
    </row>
    <row r="23" spans="1:7" x14ac:dyDescent="0.2">
      <c r="A23" s="870" t="s">
        <v>480</v>
      </c>
      <c r="B23" s="871" t="s">
        <v>1072</v>
      </c>
      <c r="C23" s="876">
        <f>'Revenues 9-14'!B52</f>
        <v>1432</v>
      </c>
      <c r="D23" s="877" t="str">
        <f>'Revenues 9-14'!A52</f>
        <v>CTE - Transp Fees from Other Districts (In State)</v>
      </c>
      <c r="E23" s="869"/>
      <c r="F23" s="1934">
        <f>'Revenues 9-14'!F52</f>
        <v>0</v>
      </c>
      <c r="G23" s="866"/>
    </row>
    <row r="24" spans="1:7" x14ac:dyDescent="0.2">
      <c r="A24" s="870" t="s">
        <v>480</v>
      </c>
      <c r="B24" s="871" t="s">
        <v>1073</v>
      </c>
      <c r="C24" s="876">
        <f>'Revenues 9-14'!B56</f>
        <v>1442</v>
      </c>
      <c r="D24" s="877" t="str">
        <f>'Revenues 9-14'!A56</f>
        <v>Special Ed - Transp Fees from Other Districts (In State)</v>
      </c>
      <c r="E24" s="869"/>
      <c r="F24" s="1934">
        <f>'Revenues 9-14'!F56</f>
        <v>0</v>
      </c>
      <c r="G24" s="866"/>
    </row>
    <row r="25" spans="1:7" x14ac:dyDescent="0.2">
      <c r="A25" s="870" t="s">
        <v>480</v>
      </c>
      <c r="B25" s="871" t="s">
        <v>1074</v>
      </c>
      <c r="C25" s="876">
        <f>'Revenues 9-14'!B59</f>
        <v>1451</v>
      </c>
      <c r="D25" s="877" t="str">
        <f>'Revenues 9-14'!A59</f>
        <v>Adult - Transp Fees from Pupils or Parents (In State)</v>
      </c>
      <c r="E25" s="869"/>
      <c r="F25" s="1934">
        <f>'Revenues 9-14'!F59</f>
        <v>0</v>
      </c>
      <c r="G25" s="866"/>
    </row>
    <row r="26" spans="1:7" x14ac:dyDescent="0.2">
      <c r="A26" s="870" t="s">
        <v>480</v>
      </c>
      <c r="B26" s="871" t="s">
        <v>1075</v>
      </c>
      <c r="C26" s="876">
        <f>'Revenues 9-14'!B60</f>
        <v>1452</v>
      </c>
      <c r="D26" s="877" t="str">
        <f>'Revenues 9-14'!A60</f>
        <v>Adult - Transp Fees from Other Districts (In State)</v>
      </c>
      <c r="E26" s="869"/>
      <c r="F26" s="1934">
        <f>'Revenues 9-14'!F60</f>
        <v>0</v>
      </c>
      <c r="G26" s="866"/>
    </row>
    <row r="27" spans="1:7" x14ac:dyDescent="0.2">
      <c r="A27" s="870" t="s">
        <v>480</v>
      </c>
      <c r="B27" s="871" t="s">
        <v>1076</v>
      </c>
      <c r="C27" s="876">
        <f>'Revenues 9-14'!B61</f>
        <v>1453</v>
      </c>
      <c r="D27" s="877" t="str">
        <f>'Revenues 9-14'!A61</f>
        <v>Adult - Transp Fees from Other Sources (In State)</v>
      </c>
      <c r="E27" s="869"/>
      <c r="F27" s="1934">
        <f>'Revenues 9-14'!F61</f>
        <v>0</v>
      </c>
      <c r="G27" s="866"/>
    </row>
    <row r="28" spans="1:7" x14ac:dyDescent="0.2">
      <c r="A28" s="870" t="s">
        <v>480</v>
      </c>
      <c r="B28" s="871" t="s">
        <v>1077</v>
      </c>
      <c r="C28" s="876">
        <f>'Revenues 9-14'!B62</f>
        <v>1454</v>
      </c>
      <c r="D28" s="877" t="str">
        <f>'Revenues 9-14'!A62</f>
        <v>Adult - Transp Fees from Other Sources (Out of State)</v>
      </c>
      <c r="E28" s="869"/>
      <c r="F28" s="1934">
        <f>'Revenues 9-14'!F62</f>
        <v>0</v>
      </c>
      <c r="G28" s="866"/>
    </row>
    <row r="29" spans="1:7" x14ac:dyDescent="0.2">
      <c r="A29" s="870" t="s">
        <v>1158</v>
      </c>
      <c r="B29" s="871" t="s">
        <v>1682</v>
      </c>
      <c r="C29" s="881">
        <f>'Revenues 9-14'!B148</f>
        <v>3410</v>
      </c>
      <c r="D29" s="882" t="str">
        <f>'Revenues 9-14'!A148</f>
        <v>Adult Ed (from ICCB)</v>
      </c>
      <c r="E29" s="869"/>
      <c r="F29" s="1934">
        <f>SUM('Revenues 9-14'!D148,F149)</f>
        <v>0</v>
      </c>
      <c r="G29" s="866"/>
    </row>
    <row r="30" spans="1:7" x14ac:dyDescent="0.2">
      <c r="A30" s="870" t="s">
        <v>1158</v>
      </c>
      <c r="B30" s="871" t="s">
        <v>860</v>
      </c>
      <c r="C30" s="881">
        <f>'Revenues 9-14'!B149</f>
        <v>3499</v>
      </c>
      <c r="D30" s="882" t="str">
        <f>'Revenues 9-14'!A149</f>
        <v>Adult Ed - Other (Describe &amp; Itemize)</v>
      </c>
      <c r="E30" s="869"/>
      <c r="F30" s="1935">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4">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4">
        <f>SUM('Revenues 9-14'!D219,'Revenues 9-14'!F219)</f>
        <v>0</v>
      </c>
      <c r="G32" s="866"/>
    </row>
    <row r="33" spans="1:7" x14ac:dyDescent="0.2">
      <c r="A33" s="870" t="s">
        <v>479</v>
      </c>
      <c r="B33" s="871" t="s">
        <v>800</v>
      </c>
      <c r="C33" s="876">
        <f>'Revenues 9-14'!B229</f>
        <v>4810</v>
      </c>
      <c r="D33" s="884" t="str">
        <f>'Revenues 9-14'!A229</f>
        <v>Federal - Adult Education</v>
      </c>
      <c r="E33" s="869"/>
      <c r="F33" s="1934">
        <f>'Revenues 9-14'!D229</f>
        <v>0</v>
      </c>
      <c r="G33" s="866"/>
    </row>
    <row r="34" spans="1:7" x14ac:dyDescent="0.2">
      <c r="A34" s="870" t="s">
        <v>478</v>
      </c>
      <c r="B34" s="870" t="s">
        <v>1544</v>
      </c>
      <c r="C34" s="887" t="str">
        <f>'Expenditures 15-22'!B7</f>
        <v>1125</v>
      </c>
      <c r="D34" s="888" t="str">
        <f>'Expenditures 15-22'!A7</f>
        <v>Pre-K Programs</v>
      </c>
      <c r="E34" s="869"/>
      <c r="F34" s="1934">
        <f>'Expenditures 15-22'!K7-SUM('Expenditures 15-22'!G7,'Expenditures 15-22'!I7)</f>
        <v>89432</v>
      </c>
      <c r="G34" s="866"/>
    </row>
    <row r="35" spans="1:7" x14ac:dyDescent="0.2">
      <c r="A35" s="870" t="s">
        <v>478</v>
      </c>
      <c r="B35" s="870" t="s">
        <v>1545</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4">
        <f>'Expenditures 15-22'!K15-SUM('Expenditures 15-22'!G15,'Expenditures 15-22'!I15)</f>
        <v>2486</v>
      </c>
      <c r="G38" s="866"/>
    </row>
    <row r="39" spans="1:7" x14ac:dyDescent="0.2">
      <c r="A39" s="870" t="s">
        <v>478</v>
      </c>
      <c r="B39" s="870" t="s">
        <v>119</v>
      </c>
      <c r="C39" s="887" t="str">
        <f>'Expenditures 15-22'!B20</f>
        <v>1910</v>
      </c>
      <c r="D39" s="889" t="str">
        <f>'Expenditures 15-22'!A20</f>
        <v>Pre-K Programs - Private Tuition</v>
      </c>
      <c r="E39" s="869"/>
      <c r="F39" s="1934">
        <f>'Expenditures 15-22'!K20</f>
        <v>0</v>
      </c>
      <c r="G39" s="866"/>
    </row>
    <row r="40" spans="1:7" x14ac:dyDescent="0.2">
      <c r="A40" s="870" t="s">
        <v>478</v>
      </c>
      <c r="B40" s="870" t="s">
        <v>120</v>
      </c>
      <c r="C40" s="887" t="str">
        <f>'Expenditures 15-22'!B21</f>
        <v>1911</v>
      </c>
      <c r="D40" s="889" t="str">
        <f>'Expenditures 15-22'!A21</f>
        <v>Regular K-12 Programs - Private Tuition</v>
      </c>
      <c r="E40" s="869"/>
      <c r="F40" s="1934">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4">
        <f>'Expenditures 15-22'!K22</f>
        <v>672450</v>
      </c>
      <c r="G41" s="866"/>
    </row>
    <row r="42" spans="1:7" x14ac:dyDescent="0.2">
      <c r="A42" s="870" t="s">
        <v>478</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478</v>
      </c>
      <c r="B46" s="870" t="s">
        <v>126</v>
      </c>
      <c r="C46" s="887" t="str">
        <f>'Expenditures 15-22'!B27</f>
        <v>1917</v>
      </c>
      <c r="D46" s="889" t="str">
        <f>'Expenditures 15-22'!A27</f>
        <v>CTE Programs - Private Tuition</v>
      </c>
      <c r="E46" s="869"/>
      <c r="F46" s="1934">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478</v>
      </c>
      <c r="B49" s="870" t="s">
        <v>129</v>
      </c>
      <c r="C49" s="887" t="str">
        <f>'Expenditures 15-22'!B30</f>
        <v>1920</v>
      </c>
      <c r="D49" s="889" t="str">
        <f>'Expenditures 15-22'!A30</f>
        <v>Gifted Programs - Private Tuition</v>
      </c>
      <c r="E49" s="869"/>
      <c r="F49" s="1934">
        <f>'Expenditures 15-22'!K30</f>
        <v>0</v>
      </c>
      <c r="G49" s="866"/>
    </row>
    <row r="50" spans="1:7" x14ac:dyDescent="0.2">
      <c r="A50" s="870" t="s">
        <v>478</v>
      </c>
      <c r="B50" s="870" t="s">
        <v>130</v>
      </c>
      <c r="C50" s="887" t="str">
        <f>'Expenditures 15-22'!B31</f>
        <v>1921</v>
      </c>
      <c r="D50" s="889" t="str">
        <f>'Expenditures 15-22'!A31</f>
        <v>Bilingual Programs - Private Tuition</v>
      </c>
      <c r="E50" s="869"/>
      <c r="F50" s="1934">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4">
        <f>'Expenditures 15-22'!K32</f>
        <v>0</v>
      </c>
      <c r="G51" s="866"/>
    </row>
    <row r="52" spans="1:7" x14ac:dyDescent="0.2">
      <c r="A52" s="870" t="s">
        <v>478</v>
      </c>
      <c r="B52" s="870" t="s">
        <v>1549</v>
      </c>
      <c r="C52" s="890" t="str">
        <f>'Expenditures 15-22'!B75</f>
        <v>3000</v>
      </c>
      <c r="D52" s="889" t="s">
        <v>468</v>
      </c>
      <c r="E52" s="869"/>
      <c r="F52" s="1934">
        <f>'Expenditures 15-22'!K75-SUM('Expenditures 15-22'!G75,'Expenditures 15-22'!I75)</f>
        <v>45075</v>
      </c>
      <c r="G52" s="866"/>
    </row>
    <row r="53" spans="1:7" x14ac:dyDescent="0.2">
      <c r="A53" s="870" t="s">
        <v>478</v>
      </c>
      <c r="B53" s="870" t="s">
        <v>1550</v>
      </c>
      <c r="C53" s="890">
        <f>'Expenditures 15-22'!B102</f>
        <v>4000</v>
      </c>
      <c r="D53" s="889" t="str">
        <f>'Expenditures 15-22'!A102</f>
        <v>Total Payments to Other Govt Units</v>
      </c>
      <c r="E53" s="869"/>
      <c r="F53" s="1934">
        <f>'Expenditures 15-22'!K102</f>
        <v>343186</v>
      </c>
      <c r="G53" s="866"/>
    </row>
    <row r="54" spans="1:7" x14ac:dyDescent="0.2">
      <c r="A54" s="870" t="s">
        <v>478</v>
      </c>
      <c r="B54" s="870" t="s">
        <v>1551</v>
      </c>
      <c r="C54" s="890" t="s">
        <v>1038</v>
      </c>
      <c r="D54" s="886" t="s">
        <v>1156</v>
      </c>
      <c r="E54" s="869"/>
      <c r="F54" s="1934">
        <f>'Expenditures 15-22'!G114</f>
        <v>102663</v>
      </c>
      <c r="G54" s="866"/>
    </row>
    <row r="55" spans="1:7" x14ac:dyDescent="0.2">
      <c r="A55" s="870" t="s">
        <v>478</v>
      </c>
      <c r="B55" s="870" t="s">
        <v>1552</v>
      </c>
      <c r="C55" s="890" t="s">
        <v>1038</v>
      </c>
      <c r="D55" s="886" t="s">
        <v>308</v>
      </c>
      <c r="E55" s="869"/>
      <c r="F55" s="1934">
        <f>'Expenditures 15-22'!I114</f>
        <v>20922</v>
      </c>
      <c r="G55" s="866"/>
    </row>
    <row r="56" spans="1:7" x14ac:dyDescent="0.2">
      <c r="A56" s="870" t="s">
        <v>479</v>
      </c>
      <c r="B56" s="870" t="s">
        <v>1553</v>
      </c>
      <c r="C56" s="887" t="str">
        <f>'Expenditures 15-22'!B130</f>
        <v>3000</v>
      </c>
      <c r="D56" s="893" t="s">
        <v>468</v>
      </c>
      <c r="E56" s="869"/>
      <c r="F56" s="1934">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4">
        <f>'Expenditures 15-22'!K139</f>
        <v>64989</v>
      </c>
      <c r="G57" s="866"/>
    </row>
    <row r="58" spans="1:7" x14ac:dyDescent="0.2">
      <c r="A58" s="870" t="s">
        <v>479</v>
      </c>
      <c r="B58" s="870" t="s">
        <v>1991</v>
      </c>
      <c r="C58" s="887" t="s">
        <v>1038</v>
      </c>
      <c r="D58" s="886" t="s">
        <v>1156</v>
      </c>
      <c r="E58" s="869"/>
      <c r="F58" s="1936">
        <f>'Expenditures 15-22'!G151</f>
        <v>114628</v>
      </c>
      <c r="G58" s="866"/>
    </row>
    <row r="59" spans="1:7" x14ac:dyDescent="0.2">
      <c r="A59" s="894" t="s">
        <v>479</v>
      </c>
      <c r="B59" s="857" t="s">
        <v>1992</v>
      </c>
      <c r="C59" s="895" t="s">
        <v>1038</v>
      </c>
      <c r="D59" s="857" t="s">
        <v>308</v>
      </c>
      <c r="F59" s="1937">
        <f>'Expenditures 15-22'!I151</f>
        <v>3977</v>
      </c>
      <c r="G59" s="866"/>
    </row>
    <row r="60" spans="1:7" x14ac:dyDescent="0.2">
      <c r="A60" s="894" t="s">
        <v>519</v>
      </c>
      <c r="B60" s="857" t="s">
        <v>1993</v>
      </c>
      <c r="C60" s="895">
        <v>4000</v>
      </c>
      <c r="D60" s="857" t="s">
        <v>329</v>
      </c>
      <c r="F60" s="1935">
        <f>'Expenditures 15-22'!K160</f>
        <v>0</v>
      </c>
      <c r="G60" s="866"/>
    </row>
    <row r="61" spans="1:7" x14ac:dyDescent="0.2">
      <c r="A61" s="896" t="s">
        <v>519</v>
      </c>
      <c r="B61" s="896" t="s">
        <v>1994</v>
      </c>
      <c r="C61" s="897" t="str">
        <f>'Expenditures 15-22'!B170</f>
        <v>5300</v>
      </c>
      <c r="D61" s="898" t="s">
        <v>328</v>
      </c>
      <c r="E61" s="880"/>
      <c r="F61" s="1934">
        <f>'Expenditures 15-22'!K170</f>
        <v>510000</v>
      </c>
      <c r="G61" s="866"/>
    </row>
    <row r="62" spans="1:7" x14ac:dyDescent="0.2">
      <c r="A62" s="870" t="s">
        <v>480</v>
      </c>
      <c r="B62" s="870" t="s">
        <v>1995</v>
      </c>
      <c r="C62" s="887">
        <f>'Expenditures 15-22'!B185</f>
        <v>3000</v>
      </c>
      <c r="D62" s="877" t="s">
        <v>468</v>
      </c>
      <c r="E62" s="869"/>
      <c r="F62" s="1934">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4">
        <f>'Expenditures 15-22'!K196</f>
        <v>38766</v>
      </c>
      <c r="G63" s="866"/>
    </row>
    <row r="64" spans="1:7" x14ac:dyDescent="0.2">
      <c r="A64" s="896" t="s">
        <v>480</v>
      </c>
      <c r="B64" s="896" t="s">
        <v>1997</v>
      </c>
      <c r="C64" s="897" t="str">
        <f>'Expenditures 15-22'!B206</f>
        <v>5300</v>
      </c>
      <c r="D64" s="893" t="s">
        <v>328</v>
      </c>
      <c r="E64" s="869"/>
      <c r="F64" s="1934">
        <f>'Expenditures 15-22'!K206</f>
        <v>0</v>
      </c>
      <c r="G64" s="866"/>
    </row>
    <row r="65" spans="1:8" x14ac:dyDescent="0.2">
      <c r="A65" s="870" t="s">
        <v>480</v>
      </c>
      <c r="B65" s="870" t="s">
        <v>1998</v>
      </c>
      <c r="C65" s="887" t="s">
        <v>1038</v>
      </c>
      <c r="D65" s="886" t="s">
        <v>1156</v>
      </c>
      <c r="E65" s="869"/>
      <c r="F65" s="1934">
        <f>'Expenditures 15-22'!G210</f>
        <v>657849</v>
      </c>
      <c r="G65" s="866"/>
    </row>
    <row r="66" spans="1:8" x14ac:dyDescent="0.2">
      <c r="A66" s="870" t="s">
        <v>480</v>
      </c>
      <c r="B66" s="870" t="s">
        <v>1999</v>
      </c>
      <c r="C66" s="887" t="s">
        <v>1038</v>
      </c>
      <c r="D66" s="886" t="s">
        <v>308</v>
      </c>
      <c r="E66" s="869"/>
      <c r="F66" s="1934">
        <f>'Expenditures 15-22'!I210</f>
        <v>3600</v>
      </c>
      <c r="G66" s="866"/>
    </row>
    <row r="67" spans="1:8" x14ac:dyDescent="0.2">
      <c r="A67" s="870" t="s">
        <v>481</v>
      </c>
      <c r="B67" s="870" t="s">
        <v>2000</v>
      </c>
      <c r="C67" s="887" t="str">
        <f>'Expenditures 15-22'!B216</f>
        <v>1125</v>
      </c>
      <c r="D67" s="893" t="str">
        <f>'Expenditures 15-22'!A216</f>
        <v>Pre-K Programs</v>
      </c>
      <c r="E67" s="869"/>
      <c r="F67" s="1934">
        <f>'Expenditures 15-22'!K216</f>
        <v>4903</v>
      </c>
      <c r="G67" s="866"/>
    </row>
    <row r="68" spans="1:8" x14ac:dyDescent="0.2">
      <c r="A68" s="870" t="s">
        <v>481</v>
      </c>
      <c r="B68" s="870" t="s">
        <v>1554</v>
      </c>
      <c r="C68" s="887" t="str">
        <f>'Expenditures 15-22'!B218</f>
        <v>1225</v>
      </c>
      <c r="D68" s="893" t="str">
        <f>'Expenditures 15-22'!A218</f>
        <v>Special Education Programs - Pre-K</v>
      </c>
      <c r="E68" s="869"/>
      <c r="F68" s="1934">
        <f>'Expenditures 15-22'!K218</f>
        <v>0</v>
      </c>
      <c r="G68" s="866"/>
    </row>
    <row r="69" spans="1:8" x14ac:dyDescent="0.2">
      <c r="A69" s="870" t="s">
        <v>481</v>
      </c>
      <c r="B69" s="870" t="s">
        <v>2001</v>
      </c>
      <c r="C69" s="887" t="str">
        <f>'Expenditures 15-22'!B220</f>
        <v>1275</v>
      </c>
      <c r="D69" s="893" t="str">
        <f>'Expenditures 15-22'!A220</f>
        <v>Remedial and Supplemental Programs - Pre-K</v>
      </c>
      <c r="E69" s="869"/>
      <c r="F69" s="1934">
        <f>'Expenditures 15-22'!K220</f>
        <v>0</v>
      </c>
      <c r="G69" s="866"/>
    </row>
    <row r="70" spans="1:8" x14ac:dyDescent="0.2">
      <c r="A70" s="870" t="s">
        <v>481</v>
      </c>
      <c r="B70" s="870" t="s">
        <v>2002</v>
      </c>
      <c r="C70" s="887">
        <f>'Expenditures 15-22'!B221</f>
        <v>1300</v>
      </c>
      <c r="D70" s="888" t="str">
        <f>'Expenditures 15-22'!A221</f>
        <v>Adult/Continuing Education Programs</v>
      </c>
      <c r="E70" s="869"/>
      <c r="F70" s="1934">
        <f>'Expenditures 15-22'!K221</f>
        <v>0</v>
      </c>
      <c r="G70" s="866"/>
    </row>
    <row r="71" spans="1:8" x14ac:dyDescent="0.2">
      <c r="A71" s="870" t="s">
        <v>481</v>
      </c>
      <c r="B71" s="870" t="s">
        <v>2003</v>
      </c>
      <c r="C71" s="887">
        <f>'Expenditures 15-22'!B224</f>
        <v>1600</v>
      </c>
      <c r="D71" s="888" t="str">
        <f>'Expenditures 15-22'!A224</f>
        <v>Summer School Programs</v>
      </c>
      <c r="E71" s="869"/>
      <c r="F71" s="1934">
        <f>'Expenditures 15-22'!K224</f>
        <v>0</v>
      </c>
      <c r="G71" s="866"/>
    </row>
    <row r="72" spans="1:8" x14ac:dyDescent="0.2">
      <c r="A72" s="870" t="s">
        <v>481</v>
      </c>
      <c r="B72" s="870" t="s">
        <v>2004</v>
      </c>
      <c r="C72" s="887">
        <f>'Expenditures 15-22'!B280</f>
        <v>3000</v>
      </c>
      <c r="D72" s="877" t="s">
        <v>468</v>
      </c>
      <c r="E72" s="869"/>
      <c r="F72" s="1934">
        <f>'Expenditures 15-22'!K280</f>
        <v>335</v>
      </c>
      <c r="G72" s="866"/>
    </row>
    <row r="73" spans="1:8" x14ac:dyDescent="0.2">
      <c r="A73" s="870" t="s">
        <v>481</v>
      </c>
      <c r="B73" s="870" t="s">
        <v>2005</v>
      </c>
      <c r="C73" s="887" t="str">
        <f>'Expenditures 15-22'!B285</f>
        <v>4000</v>
      </c>
      <c r="D73" s="888" t="str">
        <f>'Expenditures 15-22'!A285</f>
        <v>Total Payments to Other Govt Units</v>
      </c>
      <c r="E73" s="869"/>
      <c r="F73" s="1934">
        <f>'Expenditures 15-22'!K285</f>
        <v>7348</v>
      </c>
      <c r="G73" s="866"/>
    </row>
    <row r="74" spans="1:8" x14ac:dyDescent="0.2">
      <c r="A74" s="870" t="s">
        <v>455</v>
      </c>
      <c r="B74" s="870" t="s">
        <v>2006</v>
      </c>
      <c r="C74" s="887" t="s">
        <v>914</v>
      </c>
      <c r="D74" s="888" t="s">
        <v>1566</v>
      </c>
      <c r="E74" s="869"/>
      <c r="F74" s="1938">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2007</v>
      </c>
      <c r="E76" s="1792" t="s">
        <v>1014</v>
      </c>
      <c r="F76" s="1796">
        <f>SUM(F18:F74)</f>
        <v>2682609</v>
      </c>
      <c r="G76" s="866"/>
    </row>
    <row r="77" spans="1:8" s="894" customFormat="1" ht="12" customHeight="1" thickTop="1" thickBot="1" x14ac:dyDescent="0.25">
      <c r="A77" s="1797"/>
      <c r="B77" s="1794"/>
      <c r="C77" s="1790"/>
      <c r="D77" s="1795" t="s">
        <v>2008</v>
      </c>
      <c r="E77" s="1792"/>
      <c r="F77" s="1798">
        <f>(F14-F76)</f>
        <v>11443063</v>
      </c>
      <c r="G77" s="870"/>
    </row>
    <row r="78" spans="1:8" s="894" customFormat="1" ht="12" customHeight="1" thickTop="1" x14ac:dyDescent="0.2">
      <c r="A78" s="1799"/>
      <c r="B78" s="1794"/>
      <c r="C78" s="1790"/>
      <c r="D78" s="1795" t="s">
        <v>2055</v>
      </c>
      <c r="E78" s="1792"/>
      <c r="F78" s="899">
        <v>1227.6500000000001</v>
      </c>
      <c r="G78" s="900"/>
      <c r="H78" s="870"/>
    </row>
    <row r="79" spans="1:8" s="894" customFormat="1" ht="12" customHeight="1" thickBot="1" x14ac:dyDescent="0.25">
      <c r="A79" s="1800"/>
      <c r="B79" s="1794"/>
      <c r="C79" s="1790"/>
      <c r="D79" s="1795" t="s">
        <v>2009</v>
      </c>
      <c r="E79" s="1792" t="s">
        <v>1014</v>
      </c>
      <c r="F79" s="1801">
        <f>IF(F78&gt;0,F77/F78," Complete Line 78")</f>
        <v>9321.1118804219441</v>
      </c>
      <c r="G79" s="870"/>
    </row>
    <row r="80" spans="1:8" s="894" customFormat="1" ht="8.25" customHeight="1" thickTop="1" x14ac:dyDescent="0.2">
      <c r="A80" s="901"/>
      <c r="B80" s="870"/>
      <c r="C80" s="872"/>
      <c r="D80" s="902"/>
      <c r="E80" s="869"/>
      <c r="F80" s="903"/>
      <c r="G80" s="870"/>
    </row>
    <row r="81" spans="1:7" s="894" customFormat="1" ht="12" thickBot="1" x14ac:dyDescent="0.25">
      <c r="A81" s="2281" t="s">
        <v>1166</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28">
        <f>'Revenues 9-14'!F42</f>
        <v>0</v>
      </c>
      <c r="G84" s="913"/>
    </row>
    <row r="85" spans="1:7" x14ac:dyDescent="0.2">
      <c r="A85" s="909" t="s">
        <v>480</v>
      </c>
      <c r="B85" s="909" t="s">
        <v>192</v>
      </c>
      <c r="C85" s="914">
        <f>'Revenues 9-14'!B44</f>
        <v>1413</v>
      </c>
      <c r="D85" s="912" t="str">
        <f>'Revenues 9-14'!A44</f>
        <v>Regular - Transp Fees from Other Sources (In State)</v>
      </c>
      <c r="E85" s="907"/>
      <c r="F85" s="1807">
        <f>'Revenues 9-14'!F44</f>
        <v>2532</v>
      </c>
      <c r="G85" s="915"/>
    </row>
    <row r="86" spans="1:7" x14ac:dyDescent="0.2">
      <c r="A86" s="909" t="s">
        <v>480</v>
      </c>
      <c r="B86" s="909" t="s">
        <v>168</v>
      </c>
      <c r="C86" s="911">
        <f>'Revenues 9-14'!B45</f>
        <v>1415</v>
      </c>
      <c r="D86" s="912" t="str">
        <f>'Revenues 9-14'!A45</f>
        <v>Regular - Transp Fees from Co-curricular Activities (In State)</v>
      </c>
      <c r="E86" s="907"/>
      <c r="F86" s="1807">
        <f>'Revenues 9-14'!F45</f>
        <v>3562</v>
      </c>
      <c r="G86" s="915"/>
    </row>
    <row r="87" spans="1:7" x14ac:dyDescent="0.2">
      <c r="A87" s="909" t="s">
        <v>480</v>
      </c>
      <c r="B87" s="909" t="s">
        <v>169</v>
      </c>
      <c r="C87" s="911">
        <v>1416</v>
      </c>
      <c r="D87" s="912" t="str">
        <f>'Revenues 9-14'!A46</f>
        <v>Regular Transp Fees from Other Sources (Out of State)</v>
      </c>
      <c r="E87" s="907"/>
      <c r="F87" s="1807">
        <f>'Revenues 9-14'!F46</f>
        <v>0</v>
      </c>
      <c r="G87" s="915"/>
    </row>
    <row r="88" spans="1:7" x14ac:dyDescent="0.2">
      <c r="A88" s="909" t="s">
        <v>480</v>
      </c>
      <c r="B88" s="909" t="s">
        <v>170</v>
      </c>
      <c r="C88" s="911">
        <f>'Revenues 9-14'!B51</f>
        <v>1431</v>
      </c>
      <c r="D88" s="912" t="str">
        <f>'Revenues 9-14'!A51</f>
        <v>CTE - Transp Fees from Pupils or Parents (In State)</v>
      </c>
      <c r="E88" s="907"/>
      <c r="F88" s="1807">
        <f>'Revenues 9-14'!F51</f>
        <v>0</v>
      </c>
      <c r="G88" s="915"/>
    </row>
    <row r="89" spans="1:7" x14ac:dyDescent="0.2">
      <c r="A89" s="909" t="s">
        <v>480</v>
      </c>
      <c r="B89" s="909" t="s">
        <v>171</v>
      </c>
      <c r="C89" s="911">
        <f>'Revenues 9-14'!B53</f>
        <v>1433</v>
      </c>
      <c r="D89" s="912" t="str">
        <f>'Revenues 9-14'!A53</f>
        <v>CTE - Transp Fees from Other Sources (In State)</v>
      </c>
      <c r="E89" s="907"/>
      <c r="F89" s="1807">
        <f>'Revenues 9-14'!F53</f>
        <v>0</v>
      </c>
      <c r="G89" s="915"/>
    </row>
    <row r="90" spans="1:7" x14ac:dyDescent="0.2">
      <c r="A90" s="909" t="s">
        <v>480</v>
      </c>
      <c r="B90" s="909" t="s">
        <v>172</v>
      </c>
      <c r="C90" s="911">
        <f>'Revenues 9-14'!B54</f>
        <v>1434</v>
      </c>
      <c r="D90" s="912" t="str">
        <f>'Revenues 9-14'!A54</f>
        <v>CTE - Transp Fees from Other Sources (Out of State)</v>
      </c>
      <c r="E90" s="907"/>
      <c r="F90" s="1807">
        <f>'Revenues 9-14'!F54</f>
        <v>0</v>
      </c>
      <c r="G90" s="915"/>
    </row>
    <row r="91" spans="1:7" x14ac:dyDescent="0.2">
      <c r="A91" s="909" t="s">
        <v>480</v>
      </c>
      <c r="B91" s="909" t="s">
        <v>173</v>
      </c>
      <c r="C91" s="916">
        <f>'Revenues 9-14'!B55</f>
        <v>1441</v>
      </c>
      <c r="D91" s="912" t="str">
        <f>'Revenues 9-14'!A55</f>
        <v>Special Ed - Transp Fees from Pupils or Parents (In State)</v>
      </c>
      <c r="E91" s="907"/>
      <c r="F91" s="1807">
        <f>'Revenues 9-14'!F55</f>
        <v>0</v>
      </c>
      <c r="G91" s="915"/>
    </row>
    <row r="92" spans="1:7" x14ac:dyDescent="0.2">
      <c r="A92" s="909" t="s">
        <v>480</v>
      </c>
      <c r="B92" s="909" t="s">
        <v>174</v>
      </c>
      <c r="C92" s="911">
        <f>'Revenues 9-14'!B57</f>
        <v>1443</v>
      </c>
      <c r="D92" s="912" t="str">
        <f>'Revenues 9-14'!A57</f>
        <v>Special Ed - Transp Fees from Other Sources (In State)</v>
      </c>
      <c r="E92" s="907"/>
      <c r="F92" s="1807">
        <f>'Revenues 9-14'!F57</f>
        <v>1993</v>
      </c>
      <c r="G92" s="917"/>
    </row>
    <row r="93" spans="1:7" x14ac:dyDescent="0.2">
      <c r="A93" s="909" t="s">
        <v>480</v>
      </c>
      <c r="B93" s="909" t="s">
        <v>175</v>
      </c>
      <c r="C93" s="911">
        <f>'Revenues 9-14'!B58</f>
        <v>1444</v>
      </c>
      <c r="D93" s="912" t="str">
        <f>'Revenues 9-14'!A58</f>
        <v>Special Ed - Transp Fees from Other Sources (Out of State)</v>
      </c>
      <c r="E93" s="907"/>
      <c r="F93" s="1807">
        <f>'Revenues 9-14'!F58</f>
        <v>0</v>
      </c>
      <c r="G93" s="917"/>
    </row>
    <row r="94" spans="1:7" x14ac:dyDescent="0.2">
      <c r="A94" s="909" t="s">
        <v>478</v>
      </c>
      <c r="B94" s="909" t="s">
        <v>176</v>
      </c>
      <c r="C94" s="911">
        <v>1600</v>
      </c>
      <c r="D94" s="918" t="str">
        <f>'Revenues 9-14'!A75</f>
        <v>Total Food Service</v>
      </c>
      <c r="E94" s="907"/>
      <c r="F94" s="1807">
        <f>'Revenues 9-14'!C75</f>
        <v>206420</v>
      </c>
      <c r="G94" s="913"/>
    </row>
    <row r="95" spans="1:7" x14ac:dyDescent="0.2">
      <c r="A95" s="909" t="s">
        <v>142</v>
      </c>
      <c r="B95" s="909" t="s">
        <v>177</v>
      </c>
      <c r="C95" s="911">
        <v>1700</v>
      </c>
      <c r="D95" s="919" t="str">
        <f>'Revenues 9-14'!A82</f>
        <v>Total District/School Activity Income</v>
      </c>
      <c r="E95" s="907"/>
      <c r="F95" s="1807">
        <f>SUM('Revenues 9-14'!C82,'Revenues 9-14'!D82)</f>
        <v>99197</v>
      </c>
      <c r="G95" s="913"/>
    </row>
    <row r="96" spans="1:7" x14ac:dyDescent="0.2">
      <c r="A96" s="909" t="s">
        <v>478</v>
      </c>
      <c r="B96" s="909" t="s">
        <v>178</v>
      </c>
      <c r="C96" s="911">
        <f>'Revenues 9-14'!B84</f>
        <v>1811</v>
      </c>
      <c r="D96" s="912" t="str">
        <f>'Revenues 9-14'!A84</f>
        <v>Rentals - Regular Textbooks</v>
      </c>
      <c r="E96" s="907"/>
      <c r="F96" s="1807">
        <f>'Revenues 9-14'!C84</f>
        <v>81777</v>
      </c>
      <c r="G96" s="913"/>
    </row>
    <row r="97" spans="1:7" x14ac:dyDescent="0.2">
      <c r="A97" s="909" t="s">
        <v>478</v>
      </c>
      <c r="B97" s="909" t="s">
        <v>179</v>
      </c>
      <c r="C97" s="911">
        <f>'Revenues 9-14'!B87</f>
        <v>1819</v>
      </c>
      <c r="D97" s="912" t="str">
        <f>'Revenues 9-14'!A87</f>
        <v>Rentals - Other (Describe &amp; Itemize)</v>
      </c>
      <c r="E97" s="907"/>
      <c r="F97" s="1807">
        <f>'Revenues 9-14'!C87</f>
        <v>0</v>
      </c>
      <c r="G97" s="913"/>
    </row>
    <row r="98" spans="1:7" x14ac:dyDescent="0.2">
      <c r="A98" s="909" t="s">
        <v>478</v>
      </c>
      <c r="B98" s="909" t="s">
        <v>180</v>
      </c>
      <c r="C98" s="911">
        <f>'Revenues 9-14'!B88</f>
        <v>1821</v>
      </c>
      <c r="D98" s="912" t="str">
        <f>'Revenues 9-14'!A88</f>
        <v>Sales - Regular Textbooks</v>
      </c>
      <c r="E98" s="907"/>
      <c r="F98" s="1807">
        <f>'Revenues 9-14'!C88</f>
        <v>557</v>
      </c>
      <c r="G98" s="913"/>
    </row>
    <row r="99" spans="1:7" x14ac:dyDescent="0.2">
      <c r="A99" s="909" t="s">
        <v>478</v>
      </c>
      <c r="B99" s="909" t="s">
        <v>181</v>
      </c>
      <c r="C99" s="911">
        <f>'Revenues 9-14'!B91</f>
        <v>1829</v>
      </c>
      <c r="D99" s="912" t="str">
        <f>'Revenues 9-14'!A91</f>
        <v>Sales - Other (Describe &amp; Itemize)</v>
      </c>
      <c r="E99" s="907"/>
      <c r="F99" s="1807">
        <f>'Revenues 9-14'!C91</f>
        <v>0</v>
      </c>
      <c r="G99" s="913"/>
    </row>
    <row r="100" spans="1:7" x14ac:dyDescent="0.2">
      <c r="A100" s="909" t="s">
        <v>478</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28050</v>
      </c>
      <c r="G101" s="913"/>
    </row>
    <row r="102" spans="1:7" x14ac:dyDescent="0.2">
      <c r="A102" s="909" t="s">
        <v>523</v>
      </c>
      <c r="B102" s="909" t="s">
        <v>184</v>
      </c>
      <c r="C102" s="911">
        <f>'Revenues 9-14'!B98</f>
        <v>1940</v>
      </c>
      <c r="D102" s="912" t="str">
        <f>'Revenues 9-14'!A98</f>
        <v>Services Provided Other Districts</v>
      </c>
      <c r="E102" s="907"/>
      <c r="F102" s="1807">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07">
        <f>('Revenues 9-14'!C106)</f>
        <v>0</v>
      </c>
      <c r="G104" s="913"/>
    </row>
    <row r="105" spans="1:7" x14ac:dyDescent="0.2">
      <c r="A105" s="909" t="s">
        <v>523</v>
      </c>
      <c r="B105" s="909" t="s">
        <v>841</v>
      </c>
      <c r="C105" s="914">
        <v>3100</v>
      </c>
      <c r="D105" s="920" t="str">
        <f>'Revenues 9-14'!A131</f>
        <v>Total Special Education</v>
      </c>
      <c r="E105" s="907"/>
      <c r="F105" s="1807">
        <f>SUM('Revenues 9-14'!C131:D131,'Revenues 9-14'!F131)</f>
        <v>413203</v>
      </c>
      <c r="G105" s="913"/>
    </row>
    <row r="106" spans="1:7" x14ac:dyDescent="0.2">
      <c r="A106" s="909" t="s">
        <v>693</v>
      </c>
      <c r="B106" s="909" t="s">
        <v>1482</v>
      </c>
      <c r="C106" s="921">
        <v>3200</v>
      </c>
      <c r="D106" s="912" t="str">
        <f>'Revenues 9-14'!A140</f>
        <v>Total Career and Technical Education</v>
      </c>
      <c r="E106" s="907"/>
      <c r="F106" s="1807">
        <f>SUM('Revenues 9-14'!C140,'Revenues 9-14'!D140,'Revenues 9-14'!G140)</f>
        <v>4314</v>
      </c>
      <c r="G106" s="913"/>
    </row>
    <row r="107" spans="1:7" x14ac:dyDescent="0.2">
      <c r="A107" s="922" t="s">
        <v>684</v>
      </c>
      <c r="B107" s="909" t="s">
        <v>842</v>
      </c>
      <c r="C107" s="921">
        <v>3300</v>
      </c>
      <c r="D107" s="912" t="str">
        <f>'Revenues 9-14'!A144</f>
        <v>Total Bilingual Ed</v>
      </c>
      <c r="E107" s="907"/>
      <c r="F107" s="1807">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07">
        <f>'Revenues 9-14'!C145</f>
        <v>3898</v>
      </c>
      <c r="G108" s="913"/>
    </row>
    <row r="109" spans="1:7" x14ac:dyDescent="0.2">
      <c r="A109" s="909" t="s">
        <v>693</v>
      </c>
      <c r="B109" s="909" t="s">
        <v>844</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07">
        <f>SUM('Revenues 9-14'!C147,'Revenues 9-14'!D147)</f>
        <v>19598</v>
      </c>
      <c r="G110" s="913"/>
    </row>
    <row r="111" spans="1:7" x14ac:dyDescent="0.2">
      <c r="A111" s="909" t="s">
        <v>688</v>
      </c>
      <c r="B111" s="909" t="s">
        <v>801</v>
      </c>
      <c r="C111" s="923">
        <v>3500</v>
      </c>
      <c r="D111" s="912" t="str">
        <f>'Revenues 9-14'!A154</f>
        <v>Total Transportation</v>
      </c>
      <c r="E111" s="907"/>
      <c r="F111" s="1807">
        <f>SUM('Revenues 9-14'!C154,'Revenues 9-14'!D154,'Revenues 9-14'!F154,'Revenues 9-14'!G154)</f>
        <v>884069</v>
      </c>
      <c r="G111" s="913"/>
    </row>
    <row r="112" spans="1:7" x14ac:dyDescent="0.2">
      <c r="A112" s="909" t="s">
        <v>478</v>
      </c>
      <c r="B112" s="909" t="s">
        <v>846</v>
      </c>
      <c r="C112" s="921">
        <f>'Revenues 9-14'!B155</f>
        <v>3610</v>
      </c>
      <c r="D112" s="912" t="str">
        <f>'Revenues 9-14'!A155</f>
        <v>Learning Improvement - Change Grants</v>
      </c>
      <c r="E112" s="907"/>
      <c r="F112" s="1807">
        <f>'Revenues 9-14'!C155</f>
        <v>0</v>
      </c>
      <c r="G112" s="913"/>
    </row>
    <row r="113" spans="1:7" x14ac:dyDescent="0.2">
      <c r="A113" s="909" t="s">
        <v>688</v>
      </c>
      <c r="B113" s="909" t="s">
        <v>847</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28">
        <f>SUM('Revenues 9-14'!C166:G166)</f>
        <v>0</v>
      </c>
      <c r="G122" s="913"/>
    </row>
    <row r="123" spans="1:7" x14ac:dyDescent="0.2">
      <c r="A123" s="924" t="s">
        <v>524</v>
      </c>
      <c r="B123" s="924" t="s">
        <v>852</v>
      </c>
      <c r="C123" s="925">
        <f>'Revenues 9-14'!B167</f>
        <v>3815</v>
      </c>
      <c r="D123" s="926" t="str">
        <f>'Revenues 9-14'!A167</f>
        <v>State Charter Schools</v>
      </c>
      <c r="E123" s="907"/>
      <c r="F123" s="1928">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07">
        <f>'Revenues 9-14'!D170</f>
        <v>0</v>
      </c>
      <c r="G124" s="931"/>
    </row>
    <row r="125" spans="1:7" x14ac:dyDescent="0.2">
      <c r="A125" s="928" t="s">
        <v>520</v>
      </c>
      <c r="B125" s="928" t="s">
        <v>854</v>
      </c>
      <c r="C125" s="929">
        <f>'Revenues 9-14'!B171</f>
        <v>3999</v>
      </c>
      <c r="D125" s="930" t="s">
        <v>563</v>
      </c>
      <c r="E125" s="932"/>
      <c r="F125" s="1807">
        <f>SUM('Revenues 9-14'!C171:G171,'Revenues 9-14'!J171)</f>
        <v>1681</v>
      </c>
      <c r="G125" s="931"/>
    </row>
    <row r="126" spans="1:7" x14ac:dyDescent="0.2">
      <c r="A126" s="928" t="s">
        <v>478</v>
      </c>
      <c r="B126" s="928" t="s">
        <v>855</v>
      </c>
      <c r="C126" s="933">
        <f>'Revenues 9-14'!B180</f>
        <v>4045</v>
      </c>
      <c r="D126" s="930" t="str">
        <f>'Revenues 9-14'!A180 &amp; " (Subtract)"</f>
        <v>Head Start (Subtract)</v>
      </c>
      <c r="E126" s="907"/>
      <c r="F126" s="1807">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688</v>
      </c>
      <c r="B128" s="928" t="s">
        <v>857</v>
      </c>
      <c r="C128" s="933">
        <v>4100</v>
      </c>
      <c r="D128" s="934" t="str">
        <f>'Revenues 9-14'!A191</f>
        <v>Total Title V</v>
      </c>
      <c r="E128" s="907"/>
      <c r="F128" s="1807">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07">
        <f>SUM('Revenues 9-14'!C201,'Revenues 9-14'!G201)</f>
        <v>280715</v>
      </c>
      <c r="G129" s="931"/>
    </row>
    <row r="130" spans="1:7" x14ac:dyDescent="0.2">
      <c r="A130" s="928" t="s">
        <v>688</v>
      </c>
      <c r="B130" s="928" t="s">
        <v>803</v>
      </c>
      <c r="C130" s="933">
        <v>4300</v>
      </c>
      <c r="D130" s="934" t="str">
        <f>'Revenues 9-14'!A211</f>
        <v>Total Title I</v>
      </c>
      <c r="E130" s="907"/>
      <c r="F130" s="1807">
        <f>SUM('Revenues 9-14'!C211,'Revenues 9-14'!D211,'Revenues 9-14'!F211,'Revenues 9-14'!G211)</f>
        <v>290621</v>
      </c>
      <c r="G130" s="931"/>
    </row>
    <row r="131" spans="1:7" x14ac:dyDescent="0.2">
      <c r="A131" s="928" t="s">
        <v>688</v>
      </c>
      <c r="B131" s="928" t="s">
        <v>804</v>
      </c>
      <c r="C131" s="933">
        <v>4400</v>
      </c>
      <c r="D131" s="934" t="str">
        <f>'Revenues 9-14'!A216</f>
        <v>Total Title IV</v>
      </c>
      <c r="E131" s="907"/>
      <c r="F131" s="1807">
        <f>SUM('Revenues 9-14'!C216,'Revenues 9-14'!D216,'Revenues 9-14'!F216,'Revenues 9-14'!G216)</f>
        <v>8994</v>
      </c>
      <c r="G131" s="931"/>
    </row>
    <row r="132" spans="1:7" x14ac:dyDescent="0.2">
      <c r="A132" s="928" t="s">
        <v>688</v>
      </c>
      <c r="B132" s="928" t="s">
        <v>190</v>
      </c>
      <c r="C132" s="933">
        <f>'Revenues 9-14'!B220</f>
        <v>4620</v>
      </c>
      <c r="D132" s="934" t="str">
        <f>'Revenues 9-14'!A220</f>
        <v>Fed - Spec Education - IDEA - Flow Through</v>
      </c>
      <c r="E132" s="907"/>
      <c r="F132" s="1807">
        <f>SUM('Revenues 9-14'!C220:D220,'Revenues 9-14'!F220:G220)</f>
        <v>26087</v>
      </c>
      <c r="G132" s="931"/>
    </row>
    <row r="133" spans="1:7" x14ac:dyDescent="0.2">
      <c r="A133" s="928" t="s">
        <v>688</v>
      </c>
      <c r="B133" s="928" t="s">
        <v>191</v>
      </c>
      <c r="C133" s="933">
        <f>'Revenues 9-14'!B221</f>
        <v>4625</v>
      </c>
      <c r="D133" s="934" t="str">
        <f>'Revenues 9-14'!A221</f>
        <v>Fed - Spec Education - IDEA - Room &amp; Board</v>
      </c>
      <c r="E133" s="907"/>
      <c r="F133" s="1807">
        <f>SUM('Revenues 9-14'!C221,'Revenues 9-14'!D221,'Revenues 9-14'!F221,'Revenues 9-14'!G221)</f>
        <v>439209</v>
      </c>
      <c r="G133" s="931"/>
    </row>
    <row r="134" spans="1:7" x14ac:dyDescent="0.2">
      <c r="A134" s="928" t="s">
        <v>688</v>
      </c>
      <c r="B134" s="928" t="s">
        <v>858</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693</v>
      </c>
      <c r="B136" s="928" t="s">
        <v>806</v>
      </c>
      <c r="C136" s="933">
        <v>4700</v>
      </c>
      <c r="D136" s="930" t="str">
        <f>'Revenues 9-14'!A228</f>
        <v>Total CTE - Perkins</v>
      </c>
      <c r="E136" s="907"/>
      <c r="F136" s="1807">
        <f>SUM('Revenues 9-14'!C228,'Revenues 9-14'!D228,'Revenues 9-14'!G228)</f>
        <v>90337</v>
      </c>
      <c r="G136" s="931">
        <v>6303</v>
      </c>
    </row>
    <row r="137" spans="1:7" s="868" customFormat="1" hidden="1" x14ac:dyDescent="0.2">
      <c r="A137" s="935" t="s">
        <v>215</v>
      </c>
      <c r="B137" s="935" t="s">
        <v>1483</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07">
        <f>SUM('Revenues 9-14'!C258:G258,'Revenues 9-14'!J258)</f>
        <v>0</v>
      </c>
      <c r="G160" s="906"/>
    </row>
    <row r="161" spans="1:7" s="868" customFormat="1" x14ac:dyDescent="0.2">
      <c r="A161" s="939" t="s">
        <v>520</v>
      </c>
      <c r="B161" s="940" t="s">
        <v>1563</v>
      </c>
      <c r="C161" s="941" t="s">
        <v>895</v>
      </c>
      <c r="D161" s="942" t="s">
        <v>807</v>
      </c>
      <c r="E161" s="943"/>
      <c r="F161" s="1807">
        <f>SUM(F137:F160)</f>
        <v>0</v>
      </c>
      <c r="G161" s="906"/>
    </row>
    <row r="162" spans="1:7" s="868" customFormat="1" x14ac:dyDescent="0.2">
      <c r="A162" s="939" t="s">
        <v>478</v>
      </c>
      <c r="B162" s="940" t="s">
        <v>1500</v>
      </c>
      <c r="C162" s="941" t="s">
        <v>1498</v>
      </c>
      <c r="D162" s="942" t="s">
        <v>1499</v>
      </c>
      <c r="E162" s="943"/>
      <c r="F162" s="1807">
        <f>SUM('Revenues 9-14'!C260)</f>
        <v>0</v>
      </c>
      <c r="G162" s="906"/>
    </row>
    <row r="163" spans="1:7" s="868" customFormat="1" x14ac:dyDescent="0.2">
      <c r="A163" s="939" t="s">
        <v>520</v>
      </c>
      <c r="B163" s="940" t="s">
        <v>1540</v>
      </c>
      <c r="C163" s="941" t="s">
        <v>1541</v>
      </c>
      <c r="D163" s="942" t="s">
        <v>1542</v>
      </c>
      <c r="E163" s="943"/>
      <c r="F163" s="1807">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07">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28">
        <f>SUM('Revenues 9-14'!C268,'Revenues 9-14'!D268,'Revenues 9-14'!F268,'Revenues 9-14'!G268)</f>
        <v>52094</v>
      </c>
      <c r="G170" s="931"/>
    </row>
    <row r="171" spans="1:7" x14ac:dyDescent="0.2">
      <c r="A171" s="928" t="s">
        <v>688</v>
      </c>
      <c r="B171" s="928" t="s">
        <v>863</v>
      </c>
      <c r="C171" s="933">
        <f>'Revenues 9-14'!B269</f>
        <v>4960</v>
      </c>
      <c r="D171" s="930" t="str">
        <f>'Revenues 9-14'!A269</f>
        <v>Federal Charter Schools</v>
      </c>
      <c r="E171" s="907"/>
      <c r="F171" s="1807">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07">
        <f>SUM('Revenues 9-14'!C270:D270,'Revenues 9-14'!F270:G270)</f>
        <v>17423</v>
      </c>
      <c r="G172" s="948">
        <v>6320</v>
      </c>
    </row>
    <row r="173" spans="1:7" x14ac:dyDescent="0.2">
      <c r="A173" s="928" t="s">
        <v>688</v>
      </c>
      <c r="B173" s="928" t="s">
        <v>1502</v>
      </c>
      <c r="C173" s="933">
        <f>'Revenues 9-14'!B271</f>
        <v>4992</v>
      </c>
      <c r="D173" s="934" t="str">
        <f>'Revenues 9-14'!A271</f>
        <v>Medicaid Matching Funds - Fee-for-Service Program</v>
      </c>
      <c r="E173" s="907"/>
      <c r="F173" s="1807">
        <f>SUM('Revenues 9-14'!C271:D271,'Revenues 9-14'!F271:G271)</f>
        <v>20820</v>
      </c>
      <c r="G173" s="948"/>
    </row>
    <row r="174" spans="1:7" x14ac:dyDescent="0.2">
      <c r="A174" s="949" t="s">
        <v>688</v>
      </c>
      <c r="B174" s="945" t="s">
        <v>1557</v>
      </c>
      <c r="C174" s="946">
        <f>'Revenues 9-14'!B272</f>
        <v>4999</v>
      </c>
      <c r="D174" s="947" t="str">
        <f>'Revenues 9-14'!A272</f>
        <v>Other Restricted Revenue from Federal Sources (Describe &amp; Itemize)</v>
      </c>
      <c r="E174" s="907"/>
      <c r="F174" s="1807">
        <f>SUM('Revenues 9-14'!C272:D272,'Revenues 9-14'!F272:G272)</f>
        <v>4950</v>
      </c>
      <c r="G174" s="928"/>
    </row>
    <row r="175" spans="1:7" x14ac:dyDescent="0.2">
      <c r="A175" s="1939" t="s">
        <v>5</v>
      </c>
      <c r="B175" s="1940" t="s">
        <v>2054</v>
      </c>
      <c r="C175" s="1941">
        <v>3100</v>
      </c>
      <c r="D175" s="1942" t="s">
        <v>2057</v>
      </c>
      <c r="E175" s="907"/>
      <c r="F175" s="1926"/>
      <c r="G175" s="928"/>
    </row>
    <row r="176" spans="1:7" x14ac:dyDescent="0.2">
      <c r="A176" s="1939" t="s">
        <v>684</v>
      </c>
      <c r="B176" s="1940" t="s">
        <v>2054</v>
      </c>
      <c r="C176" s="1941">
        <v>3300</v>
      </c>
      <c r="D176" s="1942" t="s">
        <v>2058</v>
      </c>
      <c r="E176" s="907"/>
      <c r="F176" s="1926"/>
      <c r="G176" s="928"/>
    </row>
    <row r="177" spans="1:7" ht="6" customHeight="1" x14ac:dyDescent="0.2">
      <c r="A177" s="928"/>
      <c r="B177" s="928"/>
      <c r="C177" s="950"/>
      <c r="D177" s="928"/>
      <c r="E177" s="907"/>
      <c r="F177" s="951"/>
      <c r="G177" s="948"/>
    </row>
    <row r="178" spans="1:7" x14ac:dyDescent="0.2">
      <c r="A178" s="1788"/>
      <c r="B178" s="1802"/>
      <c r="C178" s="1803"/>
      <c r="D178" s="1804" t="s">
        <v>2010</v>
      </c>
      <c r="E178" s="1805" t="s">
        <v>1014</v>
      </c>
      <c r="F178" s="1806">
        <f>SUM(F84:F136,F161:F176)</f>
        <v>2982101</v>
      </c>
    </row>
    <row r="179" spans="1:7" ht="12" customHeight="1" x14ac:dyDescent="0.2">
      <c r="A179" s="1788"/>
      <c r="B179" s="1802"/>
      <c r="C179" s="1803"/>
      <c r="D179" s="1804" t="s">
        <v>2011</v>
      </c>
      <c r="E179" s="1805"/>
      <c r="F179" s="1807">
        <f>'PCTC-OEPP 27-28'!F77-F178</f>
        <v>8460962</v>
      </c>
    </row>
    <row r="180" spans="1:7" ht="12" customHeight="1" x14ac:dyDescent="0.2">
      <c r="A180" s="1788"/>
      <c r="B180" s="1802"/>
      <c r="C180" s="1803"/>
      <c r="D180" s="1804" t="s">
        <v>1920</v>
      </c>
      <c r="E180" s="1805"/>
      <c r="F180" s="1807">
        <f>'Cap Outlay Deprec 26'!I18</f>
        <v>1117848.8999999999</v>
      </c>
    </row>
    <row r="181" spans="1:7" ht="12" customHeight="1" x14ac:dyDescent="0.2">
      <c r="A181" s="1788"/>
      <c r="B181" s="1802"/>
      <c r="C181" s="1803"/>
      <c r="D181" s="1804" t="s">
        <v>2012</v>
      </c>
      <c r="E181" s="1805"/>
      <c r="F181" s="1807">
        <f>F179+F180</f>
        <v>9578810.9000000004</v>
      </c>
    </row>
    <row r="182" spans="1:7" ht="12" customHeight="1" x14ac:dyDescent="0.2">
      <c r="A182" s="1788"/>
      <c r="B182" s="1808"/>
      <c r="C182" s="1803"/>
      <c r="D182" s="1804" t="str">
        <f>D78</f>
        <v>9 Month ADA from District Average Daily Attendance/Prior General State Aid Inquiry 2017-2018</v>
      </c>
      <c r="E182" s="1805"/>
      <c r="F182" s="1809">
        <f>'PCTC-OEPP 27-28'!F78</f>
        <v>1227.6500000000001</v>
      </c>
      <c r="G182" s="931"/>
    </row>
    <row r="183" spans="1:7" ht="12" customHeight="1" thickBot="1" x14ac:dyDescent="0.25">
      <c r="A183" s="1788"/>
      <c r="B183" s="1808"/>
      <c r="C183" s="1803"/>
      <c r="D183" s="1804" t="s">
        <v>2013</v>
      </c>
      <c r="E183" s="1805" t="s">
        <v>1625</v>
      </c>
      <c r="F183" s="1810">
        <f>F181/F182</f>
        <v>7802.5584653606484</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3" customFormat="1" ht="12.2" customHeight="1" x14ac:dyDescent="0.2">
      <c r="A186" s="1943" t="s">
        <v>2061</v>
      </c>
      <c r="B186" s="1944"/>
      <c r="C186" s="1945"/>
      <c r="D186" s="1944"/>
      <c r="E186" s="1945"/>
      <c r="F186" s="1944"/>
      <c r="G186" s="1944"/>
    </row>
    <row r="187" spans="1:7" s="1943" customFormat="1" ht="12.2" customHeight="1" x14ac:dyDescent="0.2">
      <c r="A187" s="1946" t="s">
        <v>2062</v>
      </c>
      <c r="C187" s="1945"/>
      <c r="D187" s="1944"/>
      <c r="E187" s="1945"/>
      <c r="F187" s="1944"/>
      <c r="G187" s="1944"/>
    </row>
    <row r="188" spans="1:7" ht="12" customHeight="1" x14ac:dyDescent="0.2">
      <c r="C188" s="950"/>
      <c r="D188" s="931"/>
      <c r="E188" s="950"/>
      <c r="F188" s="931"/>
      <c r="G188" s="931"/>
    </row>
    <row r="189" spans="1:7" x14ac:dyDescent="0.2">
      <c r="A189" s="1947" t="s">
        <v>2060</v>
      </c>
      <c r="B189" s="1948"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showGridLines="0" workbookViewId="0">
      <pane ySplit="16" topLeftCell="A17" activePane="bottomLeft" state="frozen"/>
      <selection activeCell="A43" sqref="A43"/>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1936</v>
      </c>
      <c r="B1" s="1680"/>
      <c r="C1" s="1680"/>
      <c r="D1" s="1680"/>
      <c r="E1" s="1680"/>
      <c r="F1" s="1680"/>
      <c r="G1" s="1680"/>
    </row>
    <row r="2" spans="1:7" x14ac:dyDescent="0.25">
      <c r="A2" s="1677"/>
      <c r="B2" s="1677"/>
      <c r="C2" s="1678" t="s">
        <v>1035</v>
      </c>
      <c r="D2" s="1677"/>
      <c r="E2" s="1677"/>
      <c r="F2" s="1677"/>
      <c r="G2" s="1677"/>
    </row>
    <row r="3" spans="1:7" ht="5.25" customHeight="1" x14ac:dyDescent="0.25">
      <c r="A3" s="1567"/>
      <c r="B3" s="1567"/>
      <c r="C3" s="1567"/>
      <c r="D3" s="1567"/>
      <c r="E3" s="1567"/>
      <c r="F3" s="1567"/>
      <c r="G3" s="1567"/>
    </row>
    <row r="4" spans="1:7" ht="18.75" customHeight="1" x14ac:dyDescent="0.25">
      <c r="A4" s="2295" t="s">
        <v>1921</v>
      </c>
      <c r="B4" s="2296"/>
      <c r="C4" s="2296"/>
      <c r="D4" s="2296"/>
      <c r="E4" s="2296"/>
      <c r="F4" s="2296"/>
      <c r="G4" s="2297"/>
    </row>
    <row r="5" spans="1:7" x14ac:dyDescent="0.25">
      <c r="A5" s="2298"/>
      <c r="B5" s="2299"/>
      <c r="C5" s="2299"/>
      <c r="D5" s="2299"/>
      <c r="E5" s="2299"/>
      <c r="F5" s="2299"/>
      <c r="G5" s="2300"/>
    </row>
    <row r="6" spans="1:7" ht="18.75" x14ac:dyDescent="0.25">
      <c r="A6" s="1556" t="s">
        <v>1922</v>
      </c>
      <c r="B6" s="1557"/>
      <c r="C6" s="1557"/>
      <c r="D6" s="1557"/>
      <c r="E6" s="1557"/>
      <c r="F6" s="1557"/>
      <c r="G6" s="1558"/>
    </row>
    <row r="7" spans="1:7" ht="30.75" customHeight="1" x14ac:dyDescent="0.25">
      <c r="A7" s="2301" t="s">
        <v>2071</v>
      </c>
      <c r="B7" s="2302"/>
      <c r="C7" s="2302"/>
      <c r="D7" s="2302"/>
      <c r="E7" s="2302"/>
      <c r="F7" s="2302"/>
      <c r="G7" s="2303"/>
    </row>
    <row r="8" spans="1:7" ht="15.75" customHeight="1" x14ac:dyDescent="0.25">
      <c r="A8" s="2304" t="s">
        <v>2020</v>
      </c>
      <c r="B8" s="2305"/>
      <c r="C8" s="2305"/>
      <c r="D8" s="2305"/>
      <c r="E8" s="2305"/>
      <c r="F8" s="2305"/>
      <c r="G8" s="2306"/>
    </row>
    <row r="9" spans="1:7" ht="35.25" customHeight="1" x14ac:dyDescent="0.25">
      <c r="A9" s="2301" t="s">
        <v>2019</v>
      </c>
      <c r="B9" s="2302"/>
      <c r="C9" s="2302"/>
      <c r="D9" s="2302"/>
      <c r="E9" s="2302"/>
      <c r="F9" s="2302"/>
      <c r="G9" s="2303"/>
    </row>
    <row r="10" spans="1:7" ht="15" customHeight="1" x14ac:dyDescent="0.25">
      <c r="A10" s="1559" t="s">
        <v>1923</v>
      </c>
      <c r="B10" s="1560"/>
      <c r="C10" s="1560"/>
      <c r="D10" s="1560"/>
      <c r="E10" s="1560"/>
      <c r="F10" s="1560"/>
      <c r="G10" s="1561"/>
    </row>
    <row r="11" spans="1:7" ht="17.25" customHeight="1" x14ac:dyDescent="0.25">
      <c r="A11" s="2301" t="s">
        <v>1937</v>
      </c>
      <c r="B11" s="2302"/>
      <c r="C11" s="2302"/>
      <c r="D11" s="2302"/>
      <c r="E11" s="2302"/>
      <c r="F11" s="2302"/>
      <c r="G11" s="2303"/>
    </row>
    <row r="12" spans="1:7" ht="15" customHeight="1" x14ac:dyDescent="0.25">
      <c r="A12" s="1559" t="s">
        <v>1928</v>
      </c>
      <c r="B12" s="1560"/>
      <c r="C12" s="1560"/>
      <c r="D12" s="1560"/>
      <c r="E12" s="1560"/>
      <c r="F12" s="1560"/>
      <c r="G12" s="1561"/>
    </row>
    <row r="13" spans="1:7" ht="32.25" customHeight="1" x14ac:dyDescent="0.25">
      <c r="A13" s="2292" t="s">
        <v>1929</v>
      </c>
      <c r="B13" s="2293"/>
      <c r="C13" s="2293"/>
      <c r="D13" s="2293"/>
      <c r="E13" s="2293"/>
      <c r="F13" s="2293"/>
      <c r="G13" s="2294"/>
    </row>
    <row r="14" spans="1:7" x14ac:dyDescent="0.25">
      <c r="A14" s="1681" t="s">
        <v>1938</v>
      </c>
      <c r="B14" s="1682"/>
      <c r="C14" s="1682"/>
      <c r="D14" s="1682"/>
      <c r="E14" s="1682"/>
      <c r="F14" s="1682"/>
      <c r="G14" s="1683"/>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1" t="s">
        <v>2118</v>
      </c>
      <c r="B17" s="1952" t="s">
        <v>2119</v>
      </c>
      <c r="C17" s="1953" t="s">
        <v>2074</v>
      </c>
      <c r="D17" s="1862">
        <v>11740</v>
      </c>
      <c r="E17" s="1562">
        <f t="shared" ref="E17:E23" si="1">IF(D17&lt;=25000,D17,IF(D17&gt;25000,25000,0))</f>
        <v>11740</v>
      </c>
      <c r="F17" s="1811">
        <f t="shared" si="0"/>
        <v>11740</v>
      </c>
      <c r="G17" s="1812">
        <f>IF(F17=0,0,D17-F17)</f>
        <v>0</v>
      </c>
      <c r="H17" s="1669"/>
    </row>
    <row r="18" spans="1:8" x14ac:dyDescent="0.25">
      <c r="A18" s="1675"/>
      <c r="B18" s="1863"/>
      <c r="C18" s="1676"/>
      <c r="D18" s="1862"/>
      <c r="E18" s="1562">
        <f t="shared" ref="E18:E22" si="2">IF(D18&lt;=25000,D18,IF(D18&gt;25000,25000,0))</f>
        <v>0</v>
      </c>
      <c r="F18" s="1811">
        <f t="shared" ref="F18:F22"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22" si="4">IF(F18=0,0,D18-F18)</f>
        <v>0</v>
      </c>
    </row>
    <row r="19" spans="1:8" x14ac:dyDescent="0.25">
      <c r="A19" s="1675"/>
      <c r="B19" s="1864"/>
      <c r="C19" s="1676"/>
      <c r="D19" s="1862"/>
      <c r="E19" s="1562">
        <f t="shared" si="2"/>
        <v>0</v>
      </c>
      <c r="F19" s="1811">
        <f t="shared" si="3"/>
        <v>0</v>
      </c>
      <c r="G19" s="1812">
        <f t="shared" si="4"/>
        <v>0</v>
      </c>
    </row>
    <row r="20" spans="1:8" x14ac:dyDescent="0.25">
      <c r="A20" s="1675"/>
      <c r="B20" s="1863"/>
      <c r="C20" s="1676"/>
      <c r="D20" s="1862"/>
      <c r="E20" s="1562">
        <f t="shared" si="2"/>
        <v>0</v>
      </c>
      <c r="F20" s="1811">
        <f t="shared" si="3"/>
        <v>0</v>
      </c>
      <c r="G20" s="1812">
        <f t="shared" si="4"/>
        <v>0</v>
      </c>
    </row>
    <row r="21" spans="1:8" x14ac:dyDescent="0.25">
      <c r="A21" s="1675"/>
      <c r="B21" s="1863"/>
      <c r="C21" s="1676"/>
      <c r="D21" s="1862"/>
      <c r="E21" s="1562">
        <f t="shared" si="2"/>
        <v>0</v>
      </c>
      <c r="F21" s="1811">
        <f t="shared" si="3"/>
        <v>0</v>
      </c>
      <c r="G21" s="1812">
        <f t="shared" si="4"/>
        <v>0</v>
      </c>
    </row>
    <row r="22" spans="1:8" x14ac:dyDescent="0.25">
      <c r="A22" s="1675"/>
      <c r="B22" s="1863"/>
      <c r="C22" s="1676"/>
      <c r="D22" s="1862"/>
      <c r="E22" s="1562">
        <f t="shared" si="2"/>
        <v>0</v>
      </c>
      <c r="F22" s="1811">
        <f t="shared" si="3"/>
        <v>0</v>
      </c>
      <c r="G22" s="1812">
        <f t="shared" si="4"/>
        <v>0</v>
      </c>
    </row>
    <row r="23" spans="1:8" x14ac:dyDescent="0.25">
      <c r="A23" s="1815" t="s">
        <v>158</v>
      </c>
      <c r="B23" s="1816"/>
      <c r="C23" s="1817"/>
      <c r="D23" s="1813">
        <f>SUM(D17:D22)</f>
        <v>11740</v>
      </c>
      <c r="E23" s="1563">
        <f t="shared" si="1"/>
        <v>11740</v>
      </c>
      <c r="F23" s="1813">
        <f>SUM(F17:F22)</f>
        <v>11740</v>
      </c>
      <c r="G23" s="1814">
        <f>SUM(G17:G22)</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43" sqref="A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7" t="s">
        <v>1777</v>
      </c>
      <c r="B5" s="2308"/>
      <c r="C5" s="2308"/>
      <c r="D5" s="2308"/>
      <c r="E5" s="2308"/>
      <c r="F5" s="2308"/>
      <c r="G5" s="230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c r="F10" s="975"/>
      <c r="G10" s="976"/>
      <c r="H10" s="162"/>
      <c r="I10" s="162"/>
    </row>
    <row r="11" spans="1:9" s="669" customFormat="1" ht="22.5" customHeight="1" x14ac:dyDescent="0.2">
      <c r="A11" s="2312" t="s">
        <v>1941</v>
      </c>
      <c r="B11" s="2313"/>
      <c r="C11" s="2313"/>
      <c r="D11" s="2314"/>
      <c r="E11" s="978">
        <v>49430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18"/>
      <c r="E19" s="1819">
        <f>'Expenditures 15-22'!K33-SUM('Expenditures 15-22'!G33,'Expenditures 15-22'!I33)+'Expenditures 15-22'!D229</f>
        <v>6160989</v>
      </c>
      <c r="F19" s="1818"/>
      <c r="G19" s="1820">
        <f>'Expenditures 15-22'!K33-SUM('Expenditures 15-22'!G33,'Expenditures 15-22'!I33)+'Expenditures 15-22'!D229</f>
        <v>6160989</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420</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370192</v>
      </c>
      <c r="F21" s="1821"/>
      <c r="G21" s="1824">
        <f>'Expenditures 15-22'!K42-SUM('Expenditures 15-22'!G42,'Expenditures 15-22'!I42)+'Expenditures 15-22'!K120-SUM('Expenditures 15-22'!G120,'Expenditures 15-22'!I120)+'Expenditures 15-22'!K180-SUM('Expenditures 15-22'!G180,'Expenditures 15-22'!I180)+'Expenditures 15-22'!D238</f>
        <v>370192</v>
      </c>
      <c r="H21" s="988"/>
      <c r="I21" s="162"/>
    </row>
    <row r="22" spans="1:9" s="669" customFormat="1" ht="12" customHeight="1" x14ac:dyDescent="0.2">
      <c r="A22" s="995" t="s">
        <v>584</v>
      </c>
      <c r="B22" s="996"/>
      <c r="C22" s="994">
        <v>2200</v>
      </c>
      <c r="D22" s="1821"/>
      <c r="E22" s="1823">
        <f>'Expenditures 15-22'!K47-SUM('Expenditures 15-22'!G47,'Expenditures 15-22'!I47)+'Expenditures 15-22'!D243</f>
        <v>432716</v>
      </c>
      <c r="F22" s="1821"/>
      <c r="G22" s="1824">
        <f>'Expenditures 15-22'!K47-SUM('Expenditures 15-22'!G47,'Expenditures 15-22'!I47)+'Expenditures 15-22'!D243</f>
        <v>432716</v>
      </c>
      <c r="H22" s="988"/>
      <c r="I22" s="162"/>
    </row>
    <row r="23" spans="1:9" s="669" customFormat="1" ht="12" customHeight="1" x14ac:dyDescent="0.2">
      <c r="A23" s="995" t="s">
        <v>585</v>
      </c>
      <c r="B23" s="996"/>
      <c r="C23" s="994">
        <v>2300</v>
      </c>
      <c r="D23" s="1821"/>
      <c r="E23" s="1823">
        <f>'Expenditures 15-22'!K53-SUM('Expenditures 15-22'!G53,'Expenditures 15-22'!I53)+'Expenditures 15-22'!D257+'Expenditures 15-22'!K330-SUM('Expenditures 15-22'!G330,'Expenditures 15-22'!I330)</f>
        <v>1464698</v>
      </c>
      <c r="F23" s="1821"/>
      <c r="G23" s="1823">
        <f>'Expenditures 15-22'!K53-SUM('Expenditures 15-22'!G53,'Expenditures 15-22'!I53)+'Expenditures 15-22'!D257+'Expenditures 15-22'!K330-SUM('Expenditures 15-22'!G330,'Expenditures 15-22'!I330)</f>
        <v>1464698</v>
      </c>
      <c r="H23" s="988"/>
      <c r="I23" s="162"/>
    </row>
    <row r="24" spans="1:9" s="669" customFormat="1" ht="12" customHeight="1" x14ac:dyDescent="0.2">
      <c r="A24" s="995" t="s">
        <v>586</v>
      </c>
      <c r="B24" s="996"/>
      <c r="C24" s="994">
        <v>2400</v>
      </c>
      <c r="D24" s="1821"/>
      <c r="E24" s="1823">
        <f>'Expenditures 15-22'!K57-SUM('Expenditures 15-22'!G57,'Expenditures 15-22'!I57)+'Expenditures 15-22'!D261</f>
        <v>593278</v>
      </c>
      <c r="F24" s="1821"/>
      <c r="G24" s="1824">
        <f>'Expenditures 15-22'!K57-SUM('Expenditures 15-22'!G57,'Expenditures 15-22'!I57)+'Expenditures 15-22'!D261</f>
        <v>593278</v>
      </c>
      <c r="H24" s="988"/>
      <c r="I24" s="162"/>
    </row>
    <row r="25" spans="1:9" s="669" customFormat="1" ht="12" customHeight="1" x14ac:dyDescent="0.2">
      <c r="A25" s="991" t="s">
        <v>587</v>
      </c>
      <c r="B25" s="997"/>
      <c r="C25" s="994"/>
      <c r="D25" s="1821"/>
      <c r="E25" s="1823"/>
      <c r="F25" s="1821"/>
      <c r="G25" s="1824"/>
      <c r="H25" s="988"/>
      <c r="I25" s="162"/>
    </row>
    <row r="26" spans="1:9" s="669" customFormat="1" ht="12" customHeight="1" x14ac:dyDescent="0.2">
      <c r="A26" s="995" t="s">
        <v>535</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482</v>
      </c>
      <c r="B27" s="998"/>
      <c r="C27" s="994">
        <v>2520</v>
      </c>
      <c r="D27" s="1823">
        <f>'Expenditures 15-22'!K60-SUM('Expenditures 15-22'!G60,'Expenditures 15-22'!I60)+'Expenditures 15-22'!D264-E8</f>
        <v>68140</v>
      </c>
      <c r="E27" s="1823">
        <f>E8</f>
        <v>0</v>
      </c>
      <c r="F27" s="1823">
        <f>'Expenditures 15-22'!K60-SUM('Expenditures 15-22'!G60,'Expenditures 15-22'!I60)+'Expenditures 15-22'!D264-E8</f>
        <v>68140</v>
      </c>
      <c r="G27" s="1824">
        <f>E8</f>
        <v>0</v>
      </c>
      <c r="H27" s="988"/>
      <c r="I27" s="162"/>
    </row>
    <row r="28" spans="1:9" s="669" customFormat="1" ht="12" customHeight="1" x14ac:dyDescent="0.2">
      <c r="A28" s="995" t="s">
        <v>536</v>
      </c>
      <c r="B28" s="998"/>
      <c r="C28" s="994">
        <v>2540</v>
      </c>
      <c r="D28" s="1825"/>
      <c r="E28" s="1823">
        <f>'Expenditures 15-22'!K61-SUM('Expenditures 15-22'!G61,'Expenditures 15-22'!I61)+'Expenditures 15-22'!K124-SUM('Expenditures 15-22'!G124,'Expenditures 15-22'!I124)+'Expenditures 15-22'!D266</f>
        <v>978104</v>
      </c>
      <c r="F28" s="1825">
        <f>'Expenditures 15-22'!K61-SUM('Expenditures 15-22'!G61,'Expenditures 15-22'!I61)+'Expenditures 15-22'!K124-SUM('Expenditures 15-22'!G124,'Expenditures 15-22'!I124)+'Expenditures 15-22'!D266-E9</f>
        <v>978104</v>
      </c>
      <c r="G28" s="1824">
        <f>E9</f>
        <v>0</v>
      </c>
      <c r="H28" s="988"/>
      <c r="I28" s="162"/>
    </row>
    <row r="29" spans="1:9" ht="12" customHeight="1" x14ac:dyDescent="0.2">
      <c r="A29" s="995" t="s">
        <v>537</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1453035</v>
      </c>
      <c r="F29" s="1821"/>
      <c r="G29" s="1824">
        <f>'Expenditures 15-22'!K62-SUM('Expenditures 15-22'!G62,'Expenditures 15-22'!I62)+'Expenditures 15-22'!K125-SUM('Expenditures 15-22'!G125,'Expenditures 15-22'!I125)+'Expenditures 15-22'!K182-SUM('Expenditures 15-22'!G182,'Expenditures 15-22'!I182)+'Expenditures 15-22'!D267</f>
        <v>1453035</v>
      </c>
      <c r="H29" s="986"/>
    </row>
    <row r="30" spans="1:9" ht="12" customHeight="1" x14ac:dyDescent="0.2">
      <c r="A30" s="995" t="s">
        <v>102</v>
      </c>
      <c r="B30" s="998"/>
      <c r="C30" s="994">
        <v>2560</v>
      </c>
      <c r="D30" s="1821"/>
      <c r="E30" s="1823">
        <f>'Expenditures 15-22'!K63-SUM('Expenditures 15-22'!G63,'Expenditures 15-22'!I63)+'Expenditures 15-22'!D268-E10</f>
        <v>460579</v>
      </c>
      <c r="F30" s="1821"/>
      <c r="G30" s="1823">
        <f>'Expenditures 15-22'!K63-SUM('Expenditures 15-22'!G63,'Expenditures 15-22'!I63)+'Expenditures 15-22'!D268-E10</f>
        <v>460579</v>
      </c>
    </row>
    <row r="31" spans="1:9" ht="12" customHeight="1" x14ac:dyDescent="0.2">
      <c r="A31" s="995" t="s">
        <v>103</v>
      </c>
      <c r="B31" s="998"/>
      <c r="C31" s="994">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1" t="s">
        <v>538</v>
      </c>
      <c r="B32" s="997"/>
      <c r="C32" s="994"/>
      <c r="D32" s="1821"/>
      <c r="E32" s="1821"/>
      <c r="F32" s="1821"/>
      <c r="G32" s="1821"/>
    </row>
    <row r="33" spans="1:7" ht="12" customHeight="1" x14ac:dyDescent="0.2">
      <c r="A33" s="995" t="s">
        <v>539</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540</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1120</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422</v>
      </c>
      <c r="B36" s="998"/>
      <c r="C36" s="994">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5" t="s">
        <v>423</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541</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45410</v>
      </c>
      <c r="F39" s="1821"/>
      <c r="G39" s="1823">
        <f>'Expenditures 15-22'!K75-SUM('Expenditures 15-22'!G75,'Expenditures 15-22'!I75)+'Expenditures 15-22'!K130-SUM('Expenditures 15-22'!G130,'Expenditures 15-22'!I130)+'Expenditures 15-22'!K185-SUM('Expenditures 15-22'!G185,'Expenditures 15-22'!I185)+'Expenditures 15-22'!D280</f>
        <v>45410</v>
      </c>
    </row>
    <row r="40" spans="1:7" ht="12" customHeight="1" x14ac:dyDescent="0.2">
      <c r="A40" s="991" t="s">
        <v>1926</v>
      </c>
      <c r="B40" s="992"/>
      <c r="C40" s="994"/>
      <c r="D40" s="1821"/>
      <c r="E40" s="1825">
        <f>-'Contracts Paid in CY 29'!G23</f>
        <v>0</v>
      </c>
      <c r="F40" s="1821"/>
      <c r="G40" s="1825">
        <f>-'Contracts Paid in CY 29'!G23</f>
        <v>0</v>
      </c>
    </row>
    <row r="41" spans="1:7" ht="12" customHeight="1" x14ac:dyDescent="0.2">
      <c r="A41" s="999" t="s">
        <v>158</v>
      </c>
      <c r="B41" s="1000"/>
      <c r="C41" s="1001"/>
      <c r="D41" s="1825">
        <f>SUM(D19:D39)</f>
        <v>68140</v>
      </c>
      <c r="E41" s="1825">
        <f>SUM(E19:E40)</f>
        <v>11959001</v>
      </c>
      <c r="F41" s="1825">
        <f>SUM(F19:F39)</f>
        <v>1046244</v>
      </c>
      <c r="G41" s="1825">
        <f>SUM(G19:G40)</f>
        <v>10980897</v>
      </c>
    </row>
    <row r="42" spans="1:7" x14ac:dyDescent="0.2">
      <c r="A42" s="988"/>
      <c r="B42" s="162"/>
      <c r="C42" s="1002"/>
      <c r="D42" s="2310" t="s">
        <v>542</v>
      </c>
      <c r="E42" s="2311"/>
      <c r="F42" s="1003" t="s">
        <v>543</v>
      </c>
      <c r="G42" s="1004"/>
    </row>
    <row r="43" spans="1:7" ht="12" customHeight="1" x14ac:dyDescent="0.2">
      <c r="A43" s="988"/>
      <c r="B43" s="162"/>
      <c r="C43" s="1002"/>
      <c r="D43" s="1826" t="s">
        <v>492</v>
      </c>
      <c r="E43" s="1827">
        <f>D41</f>
        <v>68140</v>
      </c>
      <c r="F43" s="1826" t="s">
        <v>494</v>
      </c>
      <c r="G43" s="1827">
        <f>F41</f>
        <v>1046244</v>
      </c>
    </row>
    <row r="44" spans="1:7" ht="12" customHeight="1" x14ac:dyDescent="0.2">
      <c r="A44" s="988"/>
      <c r="B44" s="162"/>
      <c r="C44" s="1002"/>
      <c r="D44" s="1826" t="s">
        <v>493</v>
      </c>
      <c r="E44" s="1827">
        <f>E41</f>
        <v>11959001</v>
      </c>
      <c r="F44" s="1826" t="s">
        <v>493</v>
      </c>
      <c r="G44" s="1827">
        <f>G41</f>
        <v>10980897</v>
      </c>
    </row>
    <row r="45" spans="1:7" ht="12" customHeight="1" x14ac:dyDescent="0.2">
      <c r="A45" s="988"/>
      <c r="B45" s="162"/>
      <c r="C45" s="162"/>
      <c r="D45" s="1828" t="s">
        <v>1062</v>
      </c>
      <c r="E45" s="1829">
        <f>(E43/E44)</f>
        <v>5.6978003430219635E-3</v>
      </c>
      <c r="F45" s="1828" t="s">
        <v>1062</v>
      </c>
      <c r="G45" s="1829">
        <f>(G43/G44)</f>
        <v>9.5278555112574131E-2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3" sqref="A43"/>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8" t="s">
        <v>1445</v>
      </c>
      <c r="B1" s="2318"/>
      <c r="C1" s="2318"/>
      <c r="D1" s="2318"/>
      <c r="E1" s="2318"/>
      <c r="F1" s="2318"/>
    </row>
    <row r="2" spans="1:10" x14ac:dyDescent="0.2">
      <c r="A2" s="1907" t="s">
        <v>2044</v>
      </c>
      <c r="B2" s="1868"/>
      <c r="C2" s="1907"/>
      <c r="D2" s="1868"/>
      <c r="E2" s="1868"/>
      <c r="F2" s="1869"/>
    </row>
    <row r="3" spans="1:10" x14ac:dyDescent="0.2">
      <c r="A3" s="1907" t="s">
        <v>1699</v>
      </c>
      <c r="B3" s="1868"/>
      <c r="C3" s="1907"/>
      <c r="D3" s="1868"/>
      <c r="E3" s="1868"/>
      <c r="F3" s="1869"/>
    </row>
    <row r="4" spans="1:10" ht="3.75" customHeight="1" x14ac:dyDescent="0.2">
      <c r="A4" s="1868"/>
      <c r="B4" s="1868"/>
      <c r="C4" s="1868"/>
      <c r="D4" s="1868"/>
      <c r="E4" s="1868"/>
      <c r="F4" s="1869"/>
    </row>
    <row r="5" spans="1:10" ht="15" x14ac:dyDescent="0.25">
      <c r="A5" s="2319" t="s">
        <v>1626</v>
      </c>
      <c r="B5" s="2320"/>
      <c r="C5" s="2321"/>
      <c r="D5" s="2321"/>
      <c r="E5" s="2321"/>
      <c r="F5" s="2321"/>
    </row>
    <row r="6" spans="1:10" ht="12" customHeight="1" x14ac:dyDescent="0.25">
      <c r="A6" s="1870"/>
      <c r="B6" s="1871"/>
      <c r="C6" s="2322" t="str">
        <f>COVER!A17</f>
        <v>Jasper County CUSD 1</v>
      </c>
      <c r="D6" s="2322"/>
      <c r="E6" s="2322"/>
      <c r="F6" s="1872"/>
    </row>
    <row r="7" spans="1:10" ht="11.25" customHeight="1" thickBot="1" x14ac:dyDescent="0.3">
      <c r="A7" s="1870"/>
      <c r="B7" s="1871"/>
      <c r="C7" s="2323" t="str">
        <f>COVER!A13</f>
        <v>12-040-0010-26</v>
      </c>
      <c r="D7" s="2323"/>
      <c r="E7" s="2323"/>
      <c r="F7" s="1872"/>
    </row>
    <row r="8" spans="1:10" ht="25.5" customHeight="1" thickBot="1" x14ac:dyDescent="0.25">
      <c r="A8" s="1913" t="s">
        <v>2021</v>
      </c>
      <c r="B8" s="1873"/>
      <c r="C8" s="1909" t="s">
        <v>1779</v>
      </c>
      <c r="D8" s="1908" t="s">
        <v>1780</v>
      </c>
      <c r="E8" s="1910" t="s">
        <v>1446</v>
      </c>
      <c r="F8" s="1908" t="s">
        <v>1781</v>
      </c>
      <c r="H8" s="1874" t="b">
        <v>0</v>
      </c>
    </row>
    <row r="9" spans="1:10" ht="15.75" customHeight="1" x14ac:dyDescent="0.2">
      <c r="A9" s="1875" t="s">
        <v>1622</v>
      </c>
      <c r="B9" s="1876"/>
      <c r="C9" s="1877"/>
      <c r="D9" s="1877"/>
      <c r="E9" s="1878"/>
      <c r="F9" s="1879"/>
    </row>
    <row r="10" spans="1:10" ht="27.75" customHeight="1" x14ac:dyDescent="0.2">
      <c r="A10" s="1880" t="s">
        <v>1778</v>
      </c>
      <c r="B10" s="1881"/>
      <c r="C10" s="1882"/>
      <c r="D10" s="1882"/>
      <c r="E10" s="1911" t="s">
        <v>1447</v>
      </c>
      <c r="F10" s="1912" t="s">
        <v>1448</v>
      </c>
    </row>
    <row r="11" spans="1:10" ht="12" customHeight="1" x14ac:dyDescent="0.2">
      <c r="A11" s="1883" t="s">
        <v>1449</v>
      </c>
      <c r="B11" s="1884"/>
      <c r="C11" s="1885"/>
      <c r="D11" s="1885"/>
      <c r="E11" s="1886"/>
      <c r="F11" s="1887"/>
      <c r="H11" s="1898">
        <f>IF(C11="X",5,0)</f>
        <v>0</v>
      </c>
      <c r="I11" s="1898">
        <f>IF(D11="X",5,0)</f>
        <v>0</v>
      </c>
      <c r="J11" s="1898">
        <f>IF(E11="X",5,0)</f>
        <v>0</v>
      </c>
    </row>
    <row r="12" spans="1:10" ht="12" customHeight="1" x14ac:dyDescent="0.2">
      <c r="A12" s="1883" t="s">
        <v>1450</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1451</v>
      </c>
      <c r="B13" s="1884"/>
      <c r="C13" s="1885"/>
      <c r="D13" s="1885"/>
      <c r="E13" s="1888"/>
      <c r="F13" s="1887"/>
      <c r="H13" s="1898">
        <f t="shared" si="0"/>
        <v>0</v>
      </c>
      <c r="I13" s="1898">
        <f t="shared" si="1"/>
        <v>0</v>
      </c>
      <c r="J13" s="1898">
        <f t="shared" si="2"/>
        <v>0</v>
      </c>
    </row>
    <row r="14" spans="1:10" ht="12" customHeight="1" x14ac:dyDescent="0.2">
      <c r="A14" s="1883" t="s">
        <v>1452</v>
      </c>
      <c r="B14" s="1884"/>
      <c r="C14" s="1885"/>
      <c r="D14" s="1885"/>
      <c r="E14" s="1888"/>
      <c r="F14" s="1887"/>
      <c r="H14" s="1898">
        <f t="shared" si="0"/>
        <v>0</v>
      </c>
      <c r="I14" s="1898">
        <f t="shared" si="1"/>
        <v>0</v>
      </c>
      <c r="J14" s="1898">
        <f t="shared" si="2"/>
        <v>0</v>
      </c>
    </row>
    <row r="15" spans="1:10" ht="12" customHeight="1" x14ac:dyDescent="0.2">
      <c r="A15" s="1883" t="s">
        <v>1453</v>
      </c>
      <c r="B15" s="1884"/>
      <c r="C15" s="1885"/>
      <c r="D15" s="1885"/>
      <c r="E15" s="1888"/>
      <c r="F15" s="1887"/>
      <c r="H15" s="1898">
        <f t="shared" si="0"/>
        <v>0</v>
      </c>
      <c r="I15" s="1898">
        <f t="shared" si="1"/>
        <v>0</v>
      </c>
      <c r="J15" s="1898">
        <f t="shared" si="2"/>
        <v>0</v>
      </c>
    </row>
    <row r="16" spans="1:10" ht="12" customHeight="1" x14ac:dyDescent="0.2">
      <c r="A16" s="1883" t="s">
        <v>1454</v>
      </c>
      <c r="B16" s="1884"/>
      <c r="C16" s="1885"/>
      <c r="D16" s="1885"/>
      <c r="E16" s="1888"/>
      <c r="F16" s="1887"/>
      <c r="H16" s="1898">
        <f t="shared" si="0"/>
        <v>0</v>
      </c>
      <c r="I16" s="1898">
        <f t="shared" si="1"/>
        <v>0</v>
      </c>
      <c r="J16" s="1898">
        <f t="shared" si="2"/>
        <v>0</v>
      </c>
    </row>
    <row r="17" spans="1:12" ht="12" customHeight="1" x14ac:dyDescent="0.2">
      <c r="A17" s="1883" t="s">
        <v>1455</v>
      </c>
      <c r="B17" s="1884"/>
      <c r="C17" s="1885"/>
      <c r="D17" s="1885"/>
      <c r="E17" s="1888"/>
      <c r="F17" s="1887"/>
      <c r="H17" s="1898">
        <f t="shared" si="0"/>
        <v>0</v>
      </c>
      <c r="I17" s="1898">
        <f t="shared" si="1"/>
        <v>0</v>
      </c>
      <c r="J17" s="1898">
        <f t="shared" si="2"/>
        <v>0</v>
      </c>
    </row>
    <row r="18" spans="1:12" ht="12" customHeight="1" x14ac:dyDescent="0.2">
      <c r="A18" s="1883" t="s">
        <v>1456</v>
      </c>
      <c r="B18" s="1884"/>
      <c r="C18" s="1885"/>
      <c r="D18" s="1885"/>
      <c r="E18" s="1888"/>
      <c r="F18" s="1887"/>
      <c r="H18" s="1898">
        <f t="shared" si="0"/>
        <v>0</v>
      </c>
      <c r="I18" s="1898">
        <f t="shared" si="1"/>
        <v>0</v>
      </c>
      <c r="J18" s="1898">
        <f t="shared" si="2"/>
        <v>0</v>
      </c>
    </row>
    <row r="19" spans="1:12" ht="12" customHeight="1" x14ac:dyDescent="0.2">
      <c r="A19" s="1883" t="s">
        <v>1607</v>
      </c>
      <c r="B19" s="1884"/>
      <c r="C19" s="1885"/>
      <c r="D19" s="1885"/>
      <c r="E19" s="1888"/>
      <c r="F19" s="1887"/>
      <c r="H19" s="1898">
        <f t="shared" si="0"/>
        <v>0</v>
      </c>
      <c r="I19" s="1898">
        <f t="shared" si="1"/>
        <v>0</v>
      </c>
      <c r="J19" s="1898">
        <f t="shared" si="2"/>
        <v>0</v>
      </c>
    </row>
    <row r="20" spans="1:12" ht="12" customHeight="1" x14ac:dyDescent="0.2">
      <c r="A20" s="1883" t="s">
        <v>1608</v>
      </c>
      <c r="B20" s="1884"/>
      <c r="C20" s="1885"/>
      <c r="D20" s="1885"/>
      <c r="E20" s="1888"/>
      <c r="F20" s="1887"/>
      <c r="H20" s="1898">
        <f t="shared" si="0"/>
        <v>0</v>
      </c>
      <c r="I20" s="1898">
        <f t="shared" si="1"/>
        <v>0</v>
      </c>
      <c r="J20" s="1898">
        <f t="shared" si="2"/>
        <v>0</v>
      </c>
    </row>
    <row r="21" spans="1:12" ht="12" customHeight="1" x14ac:dyDescent="0.2">
      <c r="A21" s="1883" t="s">
        <v>1609</v>
      </c>
      <c r="B21" s="1884"/>
      <c r="C21" s="1885"/>
      <c r="D21" s="1885"/>
      <c r="E21" s="1888"/>
      <c r="F21" s="1887"/>
      <c r="H21" s="1898">
        <f t="shared" si="0"/>
        <v>0</v>
      </c>
      <c r="I21" s="1898">
        <f t="shared" si="1"/>
        <v>0</v>
      </c>
      <c r="J21" s="1898">
        <f t="shared" si="2"/>
        <v>0</v>
      </c>
    </row>
    <row r="22" spans="1:12" ht="12" customHeight="1" x14ac:dyDescent="0.2">
      <c r="A22" s="1883" t="s">
        <v>1610</v>
      </c>
      <c r="B22" s="1884"/>
      <c r="C22" s="1885"/>
      <c r="D22" s="1885"/>
      <c r="E22" s="1888"/>
      <c r="F22" s="1887"/>
      <c r="H22" s="1898">
        <f t="shared" si="0"/>
        <v>0</v>
      </c>
      <c r="I22" s="1898">
        <f t="shared" si="1"/>
        <v>0</v>
      </c>
      <c r="J22" s="1898">
        <f t="shared" si="2"/>
        <v>0</v>
      </c>
    </row>
    <row r="23" spans="1:12" ht="12" customHeight="1" x14ac:dyDescent="0.2">
      <c r="A23" s="1883" t="s">
        <v>1611</v>
      </c>
      <c r="B23" s="1884"/>
      <c r="C23" s="1885"/>
      <c r="D23" s="1885"/>
      <c r="E23" s="1888"/>
      <c r="F23" s="1887"/>
      <c r="H23" s="1898">
        <f t="shared" si="0"/>
        <v>0</v>
      </c>
      <c r="I23" s="1898">
        <f t="shared" si="1"/>
        <v>0</v>
      </c>
      <c r="J23" s="1898">
        <f t="shared" si="2"/>
        <v>0</v>
      </c>
    </row>
    <row r="24" spans="1:12" ht="12" customHeight="1" x14ac:dyDescent="0.2">
      <c r="A24" s="1883" t="s">
        <v>1612</v>
      </c>
      <c r="B24" s="1884"/>
      <c r="C24" s="1885"/>
      <c r="D24" s="1885"/>
      <c r="E24" s="1888"/>
      <c r="F24" s="1887"/>
      <c r="H24" s="1898">
        <f t="shared" si="0"/>
        <v>0</v>
      </c>
      <c r="I24" s="1898">
        <f t="shared" si="1"/>
        <v>0</v>
      </c>
      <c r="J24" s="1898">
        <f t="shared" si="2"/>
        <v>0</v>
      </c>
    </row>
    <row r="25" spans="1:12" ht="12" customHeight="1" x14ac:dyDescent="0.2">
      <c r="A25" s="1883" t="s">
        <v>1613</v>
      </c>
      <c r="B25" s="1884"/>
      <c r="C25" s="1885"/>
      <c r="D25" s="1885"/>
      <c r="E25" s="1888"/>
      <c r="F25" s="1887"/>
      <c r="H25" s="1898">
        <f t="shared" si="0"/>
        <v>0</v>
      </c>
      <c r="I25" s="1898">
        <f t="shared" si="1"/>
        <v>0</v>
      </c>
      <c r="J25" s="1898">
        <f t="shared" si="2"/>
        <v>0</v>
      </c>
    </row>
    <row r="26" spans="1:12" ht="12" customHeight="1" x14ac:dyDescent="0.2">
      <c r="A26" s="1883" t="s">
        <v>1614</v>
      </c>
      <c r="B26" s="1884"/>
      <c r="C26" s="1885" t="s">
        <v>2073</v>
      </c>
      <c r="D26" s="1885" t="s">
        <v>2073</v>
      </c>
      <c r="E26" s="1888"/>
      <c r="F26" s="1887" t="s">
        <v>2120</v>
      </c>
      <c r="H26" s="1898">
        <f t="shared" si="0"/>
        <v>5</v>
      </c>
      <c r="I26" s="1898">
        <f t="shared" si="1"/>
        <v>5</v>
      </c>
      <c r="J26" s="1898">
        <f t="shared" si="2"/>
        <v>0</v>
      </c>
    </row>
    <row r="27" spans="1:12" ht="18.75" x14ac:dyDescent="0.2">
      <c r="A27" s="1883" t="s">
        <v>1615</v>
      </c>
      <c r="B27" s="1884"/>
      <c r="C27" s="1885"/>
      <c r="D27" s="1885"/>
      <c r="E27" s="1888"/>
      <c r="F27" s="1887"/>
      <c r="H27" s="1898">
        <f t="shared" si="0"/>
        <v>0</v>
      </c>
      <c r="I27" s="1898">
        <f t="shared" si="1"/>
        <v>0</v>
      </c>
      <c r="J27" s="1898">
        <f t="shared" si="2"/>
        <v>0</v>
      </c>
    </row>
    <row r="28" spans="1:12" ht="12" customHeight="1" x14ac:dyDescent="0.2">
      <c r="A28" s="1883" t="s">
        <v>1616</v>
      </c>
      <c r="B28" s="1884"/>
      <c r="C28" s="1885"/>
      <c r="D28" s="1885"/>
      <c r="E28" s="1888"/>
      <c r="F28" s="1887"/>
      <c r="H28" s="1898">
        <f t="shared" si="0"/>
        <v>0</v>
      </c>
      <c r="I28" s="1898">
        <f t="shared" si="1"/>
        <v>0</v>
      </c>
      <c r="J28" s="1898">
        <f t="shared" si="2"/>
        <v>0</v>
      </c>
    </row>
    <row r="29" spans="1:12" ht="12" customHeight="1" x14ac:dyDescent="0.2">
      <c r="A29" s="1883" t="s">
        <v>1617</v>
      </c>
      <c r="B29" s="1884"/>
      <c r="C29" s="1885"/>
      <c r="D29" s="1885"/>
      <c r="E29" s="1888"/>
      <c r="F29" s="1887"/>
      <c r="H29" s="1898">
        <f t="shared" si="0"/>
        <v>0</v>
      </c>
      <c r="I29" s="1898">
        <f t="shared" si="1"/>
        <v>0</v>
      </c>
      <c r="J29" s="1898">
        <f t="shared" si="2"/>
        <v>0</v>
      </c>
    </row>
    <row r="30" spans="1:12" ht="12" customHeight="1" x14ac:dyDescent="0.2">
      <c r="A30" s="1883" t="s">
        <v>1618</v>
      </c>
      <c r="B30" s="1884"/>
      <c r="C30" s="1885"/>
      <c r="D30" s="1885"/>
      <c r="E30" s="1888"/>
      <c r="F30" s="1887"/>
      <c r="H30" s="1898">
        <f t="shared" si="0"/>
        <v>0</v>
      </c>
      <c r="I30" s="1898">
        <f t="shared" si="1"/>
        <v>0</v>
      </c>
      <c r="J30" s="1898">
        <f t="shared" si="2"/>
        <v>0</v>
      </c>
    </row>
    <row r="31" spans="1:12" ht="12" customHeight="1" x14ac:dyDescent="0.2">
      <c r="A31" s="1883" t="s">
        <v>1619</v>
      </c>
      <c r="B31" s="1884"/>
      <c r="C31" s="1885" t="s">
        <v>2073</v>
      </c>
      <c r="D31" s="1885" t="s">
        <v>2073</v>
      </c>
      <c r="E31" s="1888"/>
      <c r="F31" s="1887" t="s">
        <v>2121</v>
      </c>
      <c r="H31" s="1898">
        <f t="shared" si="0"/>
        <v>5</v>
      </c>
      <c r="I31" s="1898">
        <f t="shared" si="1"/>
        <v>5</v>
      </c>
      <c r="J31" s="1898">
        <f t="shared" si="2"/>
        <v>0</v>
      </c>
      <c r="L31" s="1889"/>
    </row>
    <row r="32" spans="1:12" ht="12" customHeight="1" x14ac:dyDescent="0.2">
      <c r="A32" s="1883" t="s">
        <v>1620</v>
      </c>
      <c r="B32" s="1884"/>
      <c r="C32" s="1885" t="s">
        <v>2073</v>
      </c>
      <c r="D32" s="1885" t="s">
        <v>2073</v>
      </c>
      <c r="E32" s="1888"/>
      <c r="F32" s="1887" t="s">
        <v>2122</v>
      </c>
      <c r="H32" s="1898">
        <f t="shared" si="0"/>
        <v>5</v>
      </c>
      <c r="I32" s="1898">
        <f t="shared" si="1"/>
        <v>5</v>
      </c>
      <c r="J32" s="1898">
        <f t="shared" si="2"/>
        <v>0</v>
      </c>
    </row>
    <row r="33" spans="1:11" ht="12" customHeight="1" x14ac:dyDescent="0.2">
      <c r="A33" s="1883" t="s">
        <v>1621</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15</v>
      </c>
      <c r="I34" s="1898">
        <f>SUM(I11:I32)</f>
        <v>15</v>
      </c>
      <c r="J34" s="1898">
        <f>SUM(J11:J32)</f>
        <v>0</v>
      </c>
      <c r="K34" s="1898">
        <f>SUM(H34:J34)</f>
        <v>30</v>
      </c>
    </row>
    <row r="35" spans="1:11" ht="12" customHeight="1" x14ac:dyDescent="0.2">
      <c r="A35" s="1891" t="s">
        <v>1458</v>
      </c>
      <c r="B35" s="1892"/>
      <c r="C35" s="2324"/>
      <c r="D35" s="2324"/>
      <c r="E35" s="2324"/>
      <c r="F35" s="2325"/>
    </row>
    <row r="36" spans="1:11" ht="12" customHeight="1" x14ac:dyDescent="0.2">
      <c r="A36" s="2315"/>
      <c r="B36" s="2316"/>
      <c r="C36" s="2316"/>
      <c r="D36" s="2316"/>
      <c r="E36" s="2316"/>
      <c r="F36" s="2317"/>
    </row>
    <row r="37" spans="1:11" ht="12" customHeight="1" x14ac:dyDescent="0.2">
      <c r="A37" s="2315"/>
      <c r="B37" s="2316"/>
      <c r="C37" s="2316"/>
      <c r="D37" s="2316"/>
      <c r="E37" s="2316"/>
      <c r="F37" s="2317"/>
    </row>
    <row r="38" spans="1:11" ht="12" customHeight="1" x14ac:dyDescent="0.2">
      <c r="A38" s="2329"/>
      <c r="B38" s="2330"/>
      <c r="C38" s="2330"/>
      <c r="D38" s="2330"/>
      <c r="E38" s="2330"/>
      <c r="F38" s="2331"/>
    </row>
    <row r="39" spans="1:11" ht="4.5" hidden="1" customHeight="1" x14ac:dyDescent="0.2">
      <c r="A39" s="1893"/>
      <c r="B39" s="1893"/>
      <c r="C39" s="1893"/>
      <c r="D39" s="1893"/>
      <c r="E39" s="1893"/>
      <c r="F39" s="1893"/>
    </row>
    <row r="40" spans="1:11" s="1890" customFormat="1" ht="12" customHeight="1" x14ac:dyDescent="0.25">
      <c r="A40" s="1894" t="s">
        <v>1457</v>
      </c>
      <c r="B40" s="1895"/>
      <c r="C40" s="2332"/>
      <c r="D40" s="2332"/>
      <c r="E40" s="2332"/>
      <c r="F40" s="2333"/>
      <c r="H40" s="1899"/>
      <c r="I40" s="1899"/>
      <c r="J40" s="1899"/>
      <c r="K40" s="1899"/>
    </row>
    <row r="41" spans="1:11" s="1890" customFormat="1" ht="12" customHeight="1" x14ac:dyDescent="0.25">
      <c r="A41" s="2334"/>
      <c r="B41" s="2335"/>
      <c r="C41" s="2335"/>
      <c r="D41" s="2335"/>
      <c r="E41" s="2335"/>
      <c r="F41" s="2336"/>
      <c r="H41" s="1899"/>
      <c r="I41" s="1899"/>
      <c r="J41" s="1899"/>
      <c r="K41" s="1899"/>
    </row>
    <row r="42" spans="1:11" s="1890" customFormat="1" ht="12" customHeight="1" x14ac:dyDescent="0.25">
      <c r="A42" s="2334"/>
      <c r="B42" s="2335"/>
      <c r="C42" s="2335"/>
      <c r="D42" s="2335"/>
      <c r="E42" s="2335"/>
      <c r="F42" s="2336"/>
      <c r="H42" s="1899"/>
      <c r="I42" s="1899"/>
      <c r="J42" s="1899"/>
      <c r="K42" s="1899"/>
    </row>
    <row r="43" spans="1:11" s="1890" customFormat="1" ht="15" x14ac:dyDescent="0.25">
      <c r="A43" s="2326"/>
      <c r="B43" s="2327"/>
      <c r="C43" s="2327"/>
      <c r="D43" s="2327"/>
      <c r="E43" s="2327"/>
      <c r="F43" s="2328"/>
      <c r="H43" s="1899"/>
      <c r="I43" s="1899"/>
      <c r="J43" s="1899"/>
      <c r="K43" s="1899"/>
    </row>
    <row r="44" spans="1:11" s="1890" customFormat="1" ht="12" hidden="1" customHeight="1" x14ac:dyDescent="0.25">
      <c r="A44" s="2326"/>
      <c r="B44" s="2327"/>
      <c r="C44" s="2327"/>
      <c r="D44" s="2327"/>
      <c r="E44" s="2327"/>
      <c r="F44" s="2328"/>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A43" sqref="A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4" t="s">
        <v>692</v>
      </c>
      <c r="B6" s="1664"/>
      <c r="C6" s="1664"/>
      <c r="D6" s="1664"/>
      <c r="E6" s="1665"/>
      <c r="F6" s="1016"/>
      <c r="G6" s="1010"/>
      <c r="H6" s="1017" t="s">
        <v>1085</v>
      </c>
      <c r="I6" s="2342" t="str">
        <f>COVER!A17</f>
        <v>Jasper County CUSD 1</v>
      </c>
      <c r="J6" s="2343"/>
      <c r="Q6" s="1684"/>
    </row>
    <row r="7" spans="1:17" x14ac:dyDescent="0.2">
      <c r="A7" s="2344" t="s">
        <v>923</v>
      </c>
      <c r="B7" s="2345"/>
      <c r="C7" s="2345"/>
      <c r="D7" s="2345"/>
      <c r="E7" s="2346"/>
      <c r="F7" s="1018"/>
      <c r="G7" s="1010"/>
      <c r="H7" s="1017" t="s">
        <v>389</v>
      </c>
      <c r="I7" s="2347" t="str">
        <f>COVER!A13</f>
        <v>12-040-0010-26</v>
      </c>
      <c r="J7" s="234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5" t="s">
        <v>1700</v>
      </c>
      <c r="F9" s="1024"/>
      <c r="G9" s="1024"/>
      <c r="H9" s="1916"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8" t="s">
        <v>501</v>
      </c>
      <c r="B11" s="2349"/>
      <c r="C11" s="2350"/>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0">
        <f>'Expenditures 15-22'!K50</f>
        <v>225563</v>
      </c>
      <c r="F12" s="1040"/>
      <c r="G12" s="1830">
        <f t="shared" ref="G12:G18" si="0">SUM(E12:F12)</f>
        <v>225563</v>
      </c>
      <c r="H12" s="1041">
        <v>221112</v>
      </c>
      <c r="I12" s="1040"/>
      <c r="J12" s="1830">
        <f t="shared" ref="J12:J18" si="1">SUM(H12:I12)</f>
        <v>221112</v>
      </c>
    </row>
    <row r="13" spans="1:17" ht="15" customHeight="1" x14ac:dyDescent="0.2">
      <c r="A13" s="1036">
        <v>2</v>
      </c>
      <c r="B13" s="1037" t="s">
        <v>44</v>
      </c>
      <c r="C13" s="1038"/>
      <c r="D13" s="1039">
        <v>2330</v>
      </c>
      <c r="E13" s="1830">
        <f>'Expenditures 15-22'!K51</f>
        <v>140769</v>
      </c>
      <c r="F13" s="1040"/>
      <c r="G13" s="1830">
        <f t="shared" si="0"/>
        <v>140769</v>
      </c>
      <c r="H13" s="1041">
        <v>163106</v>
      </c>
      <c r="I13" s="1040"/>
      <c r="J13" s="1830">
        <f t="shared" si="1"/>
        <v>163106</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1127</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0</v>
      </c>
      <c r="F16" s="1040"/>
      <c r="G16" s="1830">
        <f t="shared" si="0"/>
        <v>0</v>
      </c>
      <c r="H16" s="1041"/>
      <c r="I16" s="1040"/>
      <c r="J16" s="1830">
        <f t="shared" si="1"/>
        <v>0</v>
      </c>
    </row>
    <row r="17" spans="1:10" ht="15" customHeight="1" x14ac:dyDescent="0.2">
      <c r="A17" s="1036">
        <v>6</v>
      </c>
      <c r="B17" s="1037" t="s">
        <v>1119</v>
      </c>
      <c r="C17" s="1038"/>
      <c r="D17" s="1039">
        <v>2610</v>
      </c>
      <c r="E17" s="1830">
        <f>'Expenditures 15-22'!K67</f>
        <v>0</v>
      </c>
      <c r="F17" s="1040"/>
      <c r="G17" s="1830">
        <f t="shared" si="0"/>
        <v>0</v>
      </c>
      <c r="H17" s="1041"/>
      <c r="I17" s="1040"/>
      <c r="J17" s="1830">
        <f t="shared" si="1"/>
        <v>0</v>
      </c>
    </row>
    <row r="18" spans="1:10" ht="22.5" customHeight="1" x14ac:dyDescent="0.2">
      <c r="A18" s="1043">
        <v>7</v>
      </c>
      <c r="B18" s="2351" t="s">
        <v>7</v>
      </c>
      <c r="C18" s="2352"/>
      <c r="D18" s="2353"/>
      <c r="E18" s="1044"/>
      <c r="F18" s="1044"/>
      <c r="G18" s="1831">
        <f t="shared" si="0"/>
        <v>0</v>
      </c>
      <c r="H18" s="1041"/>
      <c r="I18" s="1041"/>
      <c r="J18" s="1830">
        <f t="shared" si="1"/>
        <v>0</v>
      </c>
    </row>
    <row r="19" spans="1:10" ht="12.75" customHeight="1" thickBot="1" x14ac:dyDescent="0.25">
      <c r="A19" s="1036">
        <v>8</v>
      </c>
      <c r="B19" s="1045" t="s">
        <v>1222</v>
      </c>
      <c r="D19" s="1046"/>
      <c r="E19" s="1832">
        <f t="shared" ref="E19:J19" si="2">SUM(E12:E17)-E18</f>
        <v>366332</v>
      </c>
      <c r="F19" s="1832">
        <f t="shared" si="2"/>
        <v>0</v>
      </c>
      <c r="G19" s="1832">
        <f t="shared" si="2"/>
        <v>366332</v>
      </c>
      <c r="H19" s="1832">
        <f t="shared" si="2"/>
        <v>384218</v>
      </c>
      <c r="I19" s="1832">
        <f t="shared" si="2"/>
        <v>0</v>
      </c>
      <c r="J19" s="1832">
        <f t="shared" si="2"/>
        <v>384218</v>
      </c>
    </row>
    <row r="20" spans="1:10" ht="13.5" thickTop="1" x14ac:dyDescent="0.2">
      <c r="A20" s="1036">
        <v>9</v>
      </c>
      <c r="B20" s="2354" t="s">
        <v>1702</v>
      </c>
      <c r="C20" s="2354"/>
      <c r="D20" s="2355"/>
      <c r="E20" s="1047"/>
      <c r="F20" s="1047"/>
      <c r="G20" s="1047"/>
      <c r="H20" s="1047"/>
      <c r="I20" s="1047"/>
      <c r="J20" s="1833">
        <f>IF(AND(G19&gt;0,J19&gt;0),(((J19-G19)/G19)),"Enter Budget Data")</f>
        <v>4.8824563510695217E-2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1092</v>
      </c>
      <c r="D27" s="1053"/>
      <c r="E27" s="1054"/>
      <c r="F27" s="2356" t="s">
        <v>1588</v>
      </c>
      <c r="G27" s="2356"/>
    </row>
    <row r="28" spans="1:10" ht="28.5" customHeight="1" x14ac:dyDescent="0.2">
      <c r="B28" s="1048"/>
      <c r="C28" s="2358" t="s">
        <v>2087</v>
      </c>
      <c r="D28" s="2358"/>
      <c r="E28" s="1055"/>
      <c r="F28" s="2358" t="s">
        <v>2088</v>
      </c>
      <c r="G28" s="2358"/>
    </row>
    <row r="29" spans="1:10" x14ac:dyDescent="0.2">
      <c r="B29" s="1048"/>
      <c r="C29" s="1056" t="s">
        <v>1641</v>
      </c>
      <c r="E29" s="1057"/>
      <c r="F29" s="2357" t="s">
        <v>1589</v>
      </c>
      <c r="G29" s="2357"/>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1940</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c r="C39" s="2337" t="s">
        <v>936</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A43" sqref="A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54" t="s">
        <v>66</v>
      </c>
    </row>
    <row r="5" spans="1:2" x14ac:dyDescent="0.2">
      <c r="A5" s="1069">
        <v>1</v>
      </c>
      <c r="B5" s="329" t="s">
        <v>2090</v>
      </c>
    </row>
    <row r="6" spans="1:2" x14ac:dyDescent="0.2">
      <c r="A6" s="1069">
        <v>2</v>
      </c>
      <c r="B6" s="329" t="s">
        <v>2091</v>
      </c>
    </row>
    <row r="7" spans="1:2" x14ac:dyDescent="0.2">
      <c r="A7" s="1069">
        <v>3</v>
      </c>
      <c r="B7" s="329" t="s">
        <v>2092</v>
      </c>
    </row>
    <row r="8" spans="1:2" x14ac:dyDescent="0.2">
      <c r="A8" s="1069">
        <v>4</v>
      </c>
      <c r="B8" s="329" t="s">
        <v>2176</v>
      </c>
    </row>
    <row r="9" spans="1:2" x14ac:dyDescent="0.2">
      <c r="A9" s="1069">
        <v>5</v>
      </c>
      <c r="B9" s="329" t="s">
        <v>2177</v>
      </c>
    </row>
    <row r="10" spans="1:2" x14ac:dyDescent="0.2">
      <c r="A10" s="1070">
        <v>6</v>
      </c>
      <c r="B10" s="329" t="s">
        <v>2093</v>
      </c>
    </row>
    <row r="11" spans="1:2" x14ac:dyDescent="0.2">
      <c r="A11" s="1070">
        <v>7</v>
      </c>
      <c r="B11" s="329" t="s">
        <v>2094</v>
      </c>
    </row>
    <row r="12" spans="1:2" x14ac:dyDescent="0.2">
      <c r="A12" s="1070"/>
    </row>
    <row r="13" spans="1:2" x14ac:dyDescent="0.2">
      <c r="A13" s="1070"/>
      <c r="B13" s="1954" t="s">
        <v>6</v>
      </c>
    </row>
    <row r="14" spans="1:2" x14ac:dyDescent="0.2">
      <c r="A14" s="1070">
        <v>1</v>
      </c>
      <c r="B14" s="329" t="s">
        <v>2171</v>
      </c>
    </row>
    <row r="15" spans="1:2" x14ac:dyDescent="0.2">
      <c r="A15" s="1070">
        <v>2</v>
      </c>
      <c r="B15" s="329" t="s">
        <v>2095</v>
      </c>
    </row>
    <row r="16" spans="1:2" x14ac:dyDescent="0.2">
      <c r="A16" s="1070"/>
    </row>
    <row r="17" spans="1:2" x14ac:dyDescent="0.2">
      <c r="A17" s="1070"/>
      <c r="B17" s="1954" t="s">
        <v>358</v>
      </c>
    </row>
    <row r="18" spans="1:2" x14ac:dyDescent="0.2">
      <c r="A18" s="1070">
        <v>1</v>
      </c>
      <c r="B18" s="329" t="s">
        <v>2096</v>
      </c>
    </row>
    <row r="19" spans="1:2" x14ac:dyDescent="0.2">
      <c r="A19" s="1070">
        <v>2</v>
      </c>
      <c r="B19" s="329" t="s">
        <v>2097</v>
      </c>
    </row>
    <row r="20" spans="1:2" x14ac:dyDescent="0.2">
      <c r="A20" s="1070"/>
    </row>
    <row r="21" spans="1:2" x14ac:dyDescent="0.2">
      <c r="A21" s="1070"/>
      <c r="B21" s="1954" t="s">
        <v>1218</v>
      </c>
    </row>
    <row r="22" spans="1:2" x14ac:dyDescent="0.2">
      <c r="A22" s="1070">
        <v>1</v>
      </c>
      <c r="B22" s="329" t="s">
        <v>2098</v>
      </c>
    </row>
    <row r="23" spans="1:2" x14ac:dyDescent="0.2">
      <c r="A23" s="1070"/>
    </row>
    <row r="24" spans="1:2" x14ac:dyDescent="0.2">
      <c r="A24" s="1070"/>
      <c r="B24" s="1954" t="s">
        <v>2109</v>
      </c>
    </row>
    <row r="25" spans="1:2" x14ac:dyDescent="0.2">
      <c r="A25" s="1070">
        <v>1</v>
      </c>
      <c r="B25" s="329" t="s">
        <v>2110</v>
      </c>
    </row>
    <row r="26" spans="1:2" x14ac:dyDescent="0.2">
      <c r="A26" s="1070" t="s">
        <v>1230</v>
      </c>
      <c r="B26" s="329" t="s">
        <v>2111</v>
      </c>
    </row>
    <row r="27" spans="1:2" x14ac:dyDescent="0.2">
      <c r="A27" s="1070">
        <v>2</v>
      </c>
      <c r="B27" s="329" t="s">
        <v>2112</v>
      </c>
    </row>
    <row r="28" spans="1:2" x14ac:dyDescent="0.2">
      <c r="A28" s="1070"/>
      <c r="B28" s="329" t="s">
        <v>2111</v>
      </c>
    </row>
    <row r="29" spans="1:2" x14ac:dyDescent="0.2">
      <c r="A29" s="1070">
        <v>3</v>
      </c>
      <c r="B29" s="329" t="s">
        <v>2113</v>
      </c>
    </row>
    <row r="30" spans="1:2" x14ac:dyDescent="0.2">
      <c r="A30" s="1070"/>
      <c r="B30" s="329" t="s">
        <v>2111</v>
      </c>
    </row>
    <row r="31" spans="1:2" x14ac:dyDescent="0.2">
      <c r="A31" s="1070">
        <v>4</v>
      </c>
      <c r="B31" s="329" t="s">
        <v>2114</v>
      </c>
    </row>
    <row r="32" spans="1:2" x14ac:dyDescent="0.2">
      <c r="A32" s="1070"/>
      <c r="B32" s="329" t="s">
        <v>2115</v>
      </c>
    </row>
    <row r="33" spans="1:2" x14ac:dyDescent="0.2">
      <c r="A33" s="1070">
        <v>5</v>
      </c>
      <c r="B33" s="329" t="s">
        <v>2117</v>
      </c>
    </row>
    <row r="34" spans="1:2" x14ac:dyDescent="0.2">
      <c r="A34" s="1070"/>
    </row>
    <row r="35" spans="1:2" x14ac:dyDescent="0.2">
      <c r="A35" s="1070"/>
    </row>
    <row r="36" spans="1:2" x14ac:dyDescent="0.2">
      <c r="A36" s="1070"/>
    </row>
    <row r="37" spans="1:2" x14ac:dyDescent="0.2">
      <c r="A37" s="1070"/>
    </row>
    <row r="38" spans="1:2" x14ac:dyDescent="0.2">
      <c r="A38" s="1070"/>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Jasper County CUSD 1</v>
      </c>
    </row>
    <row r="66" spans="1:2" x14ac:dyDescent="0.2">
      <c r="B66" s="1071" t="str">
        <f>COVER!A13</f>
        <v>12-040-0010-26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0"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5" t="s">
        <v>1708</v>
      </c>
    </row>
    <row r="23" spans="1:5" x14ac:dyDescent="0.2">
      <c r="A23" s="168"/>
      <c r="B23" s="162" t="s">
        <v>1965</v>
      </c>
      <c r="D23" s="167" t="s">
        <v>657</v>
      </c>
      <c r="E23" s="1855"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8" t="s">
        <v>1124</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714</v>
      </c>
      <c r="B40" s="2075"/>
      <c r="C40" s="2075"/>
      <c r="D40" s="2075"/>
      <c r="E40" s="2075"/>
    </row>
    <row r="41" spans="1:5" x14ac:dyDescent="0.2">
      <c r="A41" s="2076" t="s">
        <v>1705</v>
      </c>
      <c r="B41" s="2076"/>
      <c r="C41" s="2076"/>
      <c r="D41" s="2076"/>
      <c r="E41" s="2076"/>
    </row>
    <row r="42" spans="1:5" ht="12.75" customHeight="1" x14ac:dyDescent="0.2">
      <c r="A42" s="2077" t="s">
        <v>1079</v>
      </c>
      <c r="B42" s="2077"/>
      <c r="C42" s="2077"/>
      <c r="D42" s="2077"/>
      <c r="E42" s="2077"/>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election activeCell="A43" sqref="A4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1" t="s">
        <v>1783</v>
      </c>
      <c r="B18" s="236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904875</xdr:colOff>
                <xdr:row>0</xdr:row>
                <xdr:rowOff>0</xdr:rowOff>
              </from>
              <to>
                <xdr:col>1</xdr:col>
                <xdr:colOff>1819275</xdr:colOff>
                <xdr:row>4</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1933575</xdr:colOff>
                <xdr:row>0</xdr:row>
                <xdr:rowOff>0</xdr:rowOff>
              </from>
              <to>
                <xdr:col>1</xdr:col>
                <xdr:colOff>2847975</xdr:colOff>
                <xdr:row>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0</xdr:col>
                <xdr:colOff>0</xdr:colOff>
                <xdr:row>4</xdr:row>
                <xdr:rowOff>133350</xdr:rowOff>
              </from>
              <to>
                <xdr:col>1</xdr:col>
                <xdr:colOff>790575</xdr:colOff>
                <xdr:row>9</xdr:row>
                <xdr:rowOff>9525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Worksheet" dvAspect="DVASPECT_ICON" shapeId="35845" r:id="rId12">
          <objectPr defaultSize="0" r:id="rId13">
            <anchor moveWithCells="1">
              <from>
                <xdr:col>1</xdr:col>
                <xdr:colOff>904875</xdr:colOff>
                <xdr:row>4</xdr:row>
                <xdr:rowOff>123825</xdr:rowOff>
              </from>
              <to>
                <xdr:col>1</xdr:col>
                <xdr:colOff>1819275</xdr:colOff>
                <xdr:row>9</xdr:row>
                <xdr:rowOff>0</xdr:rowOff>
              </to>
            </anchor>
          </objectPr>
        </oleObject>
      </mc:Choice>
      <mc:Fallback>
        <oleObject progId="Workshee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1789</v>
      </c>
      <c r="B1" s="2363"/>
      <c r="C1" s="2363"/>
      <c r="D1" s="2363"/>
      <c r="E1" s="2363"/>
      <c r="F1" s="2364"/>
    </row>
    <row r="2" spans="1:8" ht="45" customHeight="1" x14ac:dyDescent="0.2">
      <c r="A2" s="2372" t="s">
        <v>1790</v>
      </c>
      <c r="B2" s="2373"/>
      <c r="C2" s="2373"/>
      <c r="D2" s="2373"/>
      <c r="E2" s="2373"/>
      <c r="F2" s="2374"/>
      <c r="G2" s="1075"/>
      <c r="H2" s="1075"/>
    </row>
    <row r="3" spans="1:8" ht="57" customHeight="1" x14ac:dyDescent="0.2">
      <c r="A3" s="2375" t="s">
        <v>1785</v>
      </c>
      <c r="B3" s="2376"/>
      <c r="C3" s="2376"/>
      <c r="D3" s="2376"/>
      <c r="E3" s="2376"/>
      <c r="F3" s="2377"/>
      <c r="G3" s="1075"/>
      <c r="H3" s="1075"/>
    </row>
    <row r="4" spans="1:8" ht="14.25" customHeight="1" x14ac:dyDescent="0.2">
      <c r="A4" s="2381" t="s">
        <v>2052</v>
      </c>
      <c r="B4" s="2382"/>
      <c r="C4" s="2382"/>
      <c r="D4" s="2382"/>
      <c r="E4" s="2382"/>
      <c r="F4" s="2383"/>
      <c r="G4" s="1075"/>
      <c r="H4" s="1075"/>
    </row>
    <row r="5" spans="1:8" ht="14.25" customHeight="1" x14ac:dyDescent="0.2">
      <c r="A5" s="2384" t="s">
        <v>2053</v>
      </c>
      <c r="B5" s="2385"/>
      <c r="C5" s="2385"/>
      <c r="D5" s="2385"/>
      <c r="E5" s="2385"/>
      <c r="F5" s="2386"/>
      <c r="G5" s="1075"/>
      <c r="H5" s="1075"/>
    </row>
    <row r="6" spans="1:8" s="1076" customFormat="1" ht="41.25" customHeight="1" x14ac:dyDescent="0.2">
      <c r="A6" s="2378" t="s">
        <v>1791</v>
      </c>
      <c r="B6" s="2379"/>
      <c r="C6" s="2379"/>
      <c r="D6" s="2379"/>
      <c r="E6" s="2379"/>
      <c r="F6" s="2380"/>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4">
        <f>'Acct Summary 7-8'!C8</f>
        <v>9091719</v>
      </c>
      <c r="C8" s="1834">
        <f>'Acct Summary 7-8'!D8</f>
        <v>1053139</v>
      </c>
      <c r="D8" s="1834">
        <f>'Acct Summary 7-8'!F8</f>
        <v>1525897</v>
      </c>
      <c r="E8" s="1834">
        <f>'Acct Summary 7-8'!I8</f>
        <v>100361</v>
      </c>
      <c r="F8" s="1834">
        <f>SUM(B8:E8)</f>
        <v>11771116</v>
      </c>
    </row>
    <row r="9" spans="1:8" s="1080" customFormat="1" ht="14.25" customHeight="1" thickBot="1" x14ac:dyDescent="0.25">
      <c r="A9" s="1079" t="s">
        <v>1435</v>
      </c>
      <c r="B9" s="1835">
        <f>'Acct Summary 7-8'!C17</f>
        <v>8629974</v>
      </c>
      <c r="C9" s="1835">
        <f>'Acct Summary 7-8'!D17</f>
        <v>1047115</v>
      </c>
      <c r="D9" s="1835">
        <f>'Acct Summary 7-8'!F17</f>
        <v>1936215</v>
      </c>
      <c r="E9" s="1834"/>
      <c r="F9" s="1834">
        <f>SUM(B9:E9)</f>
        <v>11613304</v>
      </c>
    </row>
    <row r="10" spans="1:8" s="1080" customFormat="1" ht="14.25" thickTop="1" thickBot="1" x14ac:dyDescent="0.25">
      <c r="A10" s="1081" t="s">
        <v>1436</v>
      </c>
      <c r="B10" s="1836">
        <f>(B8-B9)</f>
        <v>461745</v>
      </c>
      <c r="C10" s="1836">
        <f>(C8-C9)</f>
        <v>6024</v>
      </c>
      <c r="D10" s="1836">
        <f>(D8-D9)</f>
        <v>-410318</v>
      </c>
      <c r="E10" s="1835">
        <f>(E8-E9)</f>
        <v>100361</v>
      </c>
      <c r="F10" s="1837">
        <f>SUM(F8-F9)</f>
        <v>157812</v>
      </c>
    </row>
    <row r="11" spans="1:8" s="1080" customFormat="1" ht="14.25" thickTop="1" thickBot="1" x14ac:dyDescent="0.25">
      <c r="A11" s="1082" t="s">
        <v>1784</v>
      </c>
      <c r="B11" s="1838">
        <f>'Acct Summary 7-8'!C81</f>
        <v>1320252</v>
      </c>
      <c r="C11" s="1838">
        <f>'Acct Summary 7-8'!D81</f>
        <v>992812</v>
      </c>
      <c r="D11" s="1838">
        <f>'Acct Summary 7-8'!F81</f>
        <v>85531</v>
      </c>
      <c r="E11" s="1838">
        <f>'Acct Summary 7-8'!I81</f>
        <v>355903</v>
      </c>
      <c r="F11" s="1839">
        <f>SUM(B11:E11)</f>
        <v>2754498</v>
      </c>
    </row>
    <row r="12" spans="1:8" ht="16.5" customHeight="1" thickTop="1" x14ac:dyDescent="0.2">
      <c r="A12" s="1083"/>
      <c r="B12" s="1084"/>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5"/>
      <c r="B13" s="1086"/>
      <c r="C13" s="2366"/>
      <c r="D13" s="2367"/>
      <c r="E13" s="2367"/>
      <c r="F13" s="2368"/>
      <c r="H13" s="1075"/>
    </row>
    <row r="14" spans="1:8" ht="19.5" customHeight="1" x14ac:dyDescent="0.2">
      <c r="A14" s="1085"/>
      <c r="B14" s="1086"/>
      <c r="C14" s="2366"/>
      <c r="D14" s="2367"/>
      <c r="E14" s="2367"/>
      <c r="F14" s="2368"/>
      <c r="H14" s="1075"/>
    </row>
    <row r="15" spans="1:8" ht="17.25" customHeight="1" x14ac:dyDescent="0.2">
      <c r="A15" s="1085"/>
      <c r="B15" s="1086"/>
      <c r="C15" s="2369"/>
      <c r="D15" s="2370"/>
      <c r="E15" s="2370"/>
      <c r="F15" s="2371"/>
      <c r="H15" s="1075"/>
    </row>
    <row r="16" spans="1:8" s="310" customFormat="1" ht="51.75" hidden="1" customHeight="1" x14ac:dyDescent="0.2">
      <c r="A16" s="2365" t="s">
        <v>1786</v>
      </c>
      <c r="B16" s="2365"/>
      <c r="C16" s="2365"/>
      <c r="D16" s="2365"/>
      <c r="E16" s="2365"/>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87" t="s">
        <v>685</v>
      </c>
      <c r="B3" s="2388"/>
      <c r="C3" s="2388"/>
      <c r="D3" s="2389"/>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8" t="s">
        <v>1583</v>
      </c>
      <c r="D7" s="2399"/>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90" t="s">
        <v>1064</v>
      </c>
      <c r="B15" s="2391"/>
      <c r="C15" s="2391"/>
      <c r="D15" s="2392"/>
    </row>
    <row r="16" spans="1:4" s="669" customFormat="1" ht="24" customHeight="1" x14ac:dyDescent="0.2">
      <c r="A16" s="2393" t="s">
        <v>683</v>
      </c>
      <c r="B16" s="2394"/>
      <c r="C16" s="2394"/>
      <c r="D16" s="2395"/>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2" t="s">
        <v>331</v>
      </c>
      <c r="D21" s="2403"/>
    </row>
    <row r="22" spans="1:10" ht="12.75" x14ac:dyDescent="0.2">
      <c r="A22" s="1140"/>
      <c r="B22" s="1141">
        <v>2</v>
      </c>
      <c r="C22" s="2400" t="s">
        <v>1604</v>
      </c>
      <c r="D22" s="2401"/>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4" t="s">
        <v>556</v>
      </c>
      <c r="D43" s="2405"/>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6" t="s">
        <v>816</v>
      </c>
      <c r="D56" s="2397"/>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6" t="s">
        <v>1796</v>
      </c>
      <c r="D70" s="2397"/>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29'!D23&gt;0,"OK","PLEASE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12-040-0010-26</v>
      </c>
    </row>
    <row r="3" spans="1:2" x14ac:dyDescent="0.2">
      <c r="A3" t="s">
        <v>1012</v>
      </c>
      <c r="B3" s="138" t="str">
        <f>COVER!A15</f>
        <v>Jasper, Cumberland, Effingham, Richland and Clay</v>
      </c>
    </row>
    <row r="4" spans="1:2" x14ac:dyDescent="0.2">
      <c r="A4" t="s">
        <v>1063</v>
      </c>
      <c r="B4" s="138" t="str">
        <f>COVER!A17</f>
        <v>Jasper County CUSD 1</v>
      </c>
    </row>
    <row r="5" spans="1:2" x14ac:dyDescent="0.2">
      <c r="A5" t="s">
        <v>727</v>
      </c>
      <c r="B5" s="138" t="str">
        <f>COVER!A38</f>
        <v>Andrew Johnson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Yes</v>
      </c>
    </row>
    <row r="15" spans="1:2" x14ac:dyDescent="0.2">
      <c r="A15" t="s">
        <v>597</v>
      </c>
      <c r="B15" s="138" t="str">
        <f>COVER!T23</f>
        <v>065-032563</v>
      </c>
    </row>
    <row r="16" spans="1:2" x14ac:dyDescent="0.2">
      <c r="A16" t="s">
        <v>441</v>
      </c>
      <c r="B16" s="138" t="str">
        <f>COVER!T13</f>
        <v>Kemper CPA Group LLP</v>
      </c>
    </row>
    <row r="17" spans="1:2" x14ac:dyDescent="0.2">
      <c r="A17" t="s">
        <v>938</v>
      </c>
      <c r="B17" s="138" t="str">
        <f>COVER!T15</f>
        <v>Krista McLaren</v>
      </c>
    </row>
    <row r="18" spans="1:2" x14ac:dyDescent="0.2">
      <c r="A18" t="s">
        <v>1211</v>
      </c>
      <c r="B18" s="138" t="str">
        <f>COVER!T17</f>
        <v>703 W Main Street PO Box 447</v>
      </c>
    </row>
    <row r="19" spans="1:2" x14ac:dyDescent="0.2">
      <c r="A19" t="s">
        <v>940</v>
      </c>
      <c r="B19" s="138" t="str">
        <f>COVER!T25</f>
        <v>kmclaren@kempercpa.com</v>
      </c>
    </row>
    <row r="20" spans="1:2" x14ac:dyDescent="0.2">
      <c r="A20" t="s">
        <v>941</v>
      </c>
      <c r="B20" s="138" t="str">
        <f>COVER!T19</f>
        <v>Olney</v>
      </c>
    </row>
    <row r="21" spans="1:2" x14ac:dyDescent="0.2">
      <c r="A21" t="s">
        <v>499</v>
      </c>
      <c r="B21" s="138" t="str">
        <f>COVER!X19</f>
        <v>IL</v>
      </c>
    </row>
    <row r="22" spans="1:2" x14ac:dyDescent="0.2">
      <c r="A22" t="s">
        <v>942</v>
      </c>
      <c r="B22" s="138">
        <f>COVER!Z19</f>
        <v>62450</v>
      </c>
    </row>
    <row r="23" spans="1:2" x14ac:dyDescent="0.2">
      <c r="A23" t="s">
        <v>1213</v>
      </c>
      <c r="B23" s="138" t="str">
        <f>COVER!T21</f>
        <v>618-395-2105</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Yes</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21200</v>
      </c>
      <c r="D76" s="2" t="str">
        <f t="shared" si="0"/>
        <v>Error?</v>
      </c>
    </row>
    <row r="77" spans="1:4" x14ac:dyDescent="0.2">
      <c r="A77" s="5">
        <v>16</v>
      </c>
      <c r="B77" s="138">
        <f>'Assets-Liab 5-6'!C13</f>
        <v>1320374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122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122</v>
      </c>
      <c r="C91" s="2" t="s">
        <v>593</v>
      </c>
      <c r="D91" s="2" t="str">
        <f t="shared" si="0"/>
        <v>Error?</v>
      </c>
    </row>
    <row r="92" spans="1:4" x14ac:dyDescent="0.2">
      <c r="A92" s="5">
        <v>31</v>
      </c>
      <c r="B92" s="138">
        <f>'Assets-Liab 5-6'!C39</f>
        <v>1291086</v>
      </c>
      <c r="D92" s="2" t="str">
        <f t="shared" si="0"/>
        <v>Error?</v>
      </c>
    </row>
    <row r="93" spans="1:4" x14ac:dyDescent="0.2">
      <c r="A93" s="5">
        <v>32</v>
      </c>
      <c r="B93" s="138">
        <f>'Assets-Liab 5-6'!C41</f>
        <v>1320374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992852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v>
      </c>
      <c r="C122" s="2" t="s">
        <v>593</v>
      </c>
      <c r="D122" s="2" t="str">
        <f t="shared" si="0"/>
        <v>Error?</v>
      </c>
    </row>
    <row r="123" spans="1:4" x14ac:dyDescent="0.2">
      <c r="A123" s="5">
        <v>62</v>
      </c>
      <c r="B123" s="138">
        <f>'Assets-Liab 5-6'!D39</f>
        <v>992812</v>
      </c>
      <c r="D123" s="2" t="str">
        <f t="shared" si="0"/>
        <v>Error?</v>
      </c>
    </row>
    <row r="124" spans="1:4" x14ac:dyDescent="0.2">
      <c r="A124" s="5">
        <v>63</v>
      </c>
      <c r="B124" s="138">
        <f>'Assets-Liab 5-6'!D41</f>
        <v>992852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194507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194507</v>
      </c>
      <c r="D140" s="2" t="str">
        <f t="shared" si="1"/>
        <v>Error?</v>
      </c>
    </row>
    <row r="141" spans="1:4" x14ac:dyDescent="0.2">
      <c r="A141" s="5">
        <v>80</v>
      </c>
      <c r="B141" s="138">
        <f>'Assets-Liab 5-6'!E41</f>
        <v>194507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335531</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250000</v>
      </c>
      <c r="C169" s="2" t="s">
        <v>593</v>
      </c>
      <c r="D169" s="2" t="str">
        <f t="shared" si="1"/>
        <v>Error?</v>
      </c>
    </row>
    <row r="170" spans="1:4" x14ac:dyDescent="0.2">
      <c r="A170" s="5">
        <v>109</v>
      </c>
      <c r="B170" s="138">
        <f>'Assets-Liab 5-6'!F39</f>
        <v>85531</v>
      </c>
      <c r="D170" s="2" t="str">
        <f t="shared" si="1"/>
        <v>Error?</v>
      </c>
    </row>
    <row r="171" spans="1:4" x14ac:dyDescent="0.2">
      <c r="A171" s="5">
        <v>110</v>
      </c>
      <c r="B171" s="138">
        <f>'Assets-Liab 5-6'!F41</f>
        <v>335531</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674962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674962</v>
      </c>
      <c r="D189" s="2" t="str">
        <f t="shared" si="1"/>
        <v>Error?</v>
      </c>
    </row>
    <row r="190" spans="1:4" x14ac:dyDescent="0.2">
      <c r="A190" s="5">
        <v>129</v>
      </c>
      <c r="B190" s="138">
        <f>'Assets-Liab 5-6'!G41</f>
        <v>674962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98019</v>
      </c>
      <c r="D273" s="2" t="str">
        <f t="shared" si="3"/>
        <v>Error?</v>
      </c>
    </row>
    <row r="274" spans="1:4" x14ac:dyDescent="0.2">
      <c r="A274" s="5">
        <v>213</v>
      </c>
      <c r="B274" s="138">
        <f>'Assets-Liab 5-6'!M17</f>
        <v>30139674</v>
      </c>
      <c r="D274" s="2" t="str">
        <f t="shared" si="3"/>
        <v>Error?</v>
      </c>
    </row>
    <row r="275" spans="1:4" x14ac:dyDescent="0.2">
      <c r="A275" s="5">
        <v>214</v>
      </c>
      <c r="B275" s="138">
        <f>'Assets-Liab 5-6'!M18</f>
        <v>3138362</v>
      </c>
      <c r="D275" s="2" t="str">
        <f t="shared" si="3"/>
        <v>Error?</v>
      </c>
    </row>
    <row r="276" spans="1:4" x14ac:dyDescent="0.2">
      <c r="A276" s="5">
        <v>215</v>
      </c>
      <c r="B276" s="138">
        <f>'Assets-Liab 5-6'!M19</f>
        <v>5173065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38553214</v>
      </c>
      <c r="C279" s="2" t="s">
        <v>593</v>
      </c>
      <c r="D279" s="2" t="str">
        <f t="shared" si="3"/>
        <v>Error?</v>
      </c>
    </row>
    <row r="280" spans="1:4" x14ac:dyDescent="0.2">
      <c r="A280" s="5">
        <v>219</v>
      </c>
      <c r="B280" s="138">
        <f>'Assets-Liab 5-6'!M40</f>
        <v>38553214</v>
      </c>
      <c r="D280" s="2" t="str">
        <f t="shared" si="3"/>
        <v>Error?</v>
      </c>
    </row>
    <row r="281" spans="1:4" x14ac:dyDescent="0.2">
      <c r="A281" s="5">
        <v>220</v>
      </c>
      <c r="B281" s="138">
        <f>'Assets-Liab 5-6'!M41</f>
        <v>38553214</v>
      </c>
      <c r="C281" s="2" t="s">
        <v>593</v>
      </c>
      <c r="D281" s="2" t="str">
        <f t="shared" si="3"/>
        <v>Error?</v>
      </c>
    </row>
    <row r="282" spans="1:4" x14ac:dyDescent="0.2">
      <c r="A282" s="5">
        <v>221</v>
      </c>
      <c r="B282" s="138">
        <f>'Assets-Liab 5-6'!N21</f>
        <v>194507</v>
      </c>
      <c r="D282" s="2" t="str">
        <f t="shared" si="3"/>
        <v>Error?</v>
      </c>
    </row>
    <row r="283" spans="1:4" x14ac:dyDescent="0.2">
      <c r="A283" s="5">
        <v>222</v>
      </c>
      <c r="B283" s="138">
        <f>'Assets-Liab 5-6'!N22</f>
        <v>6882063</v>
      </c>
      <c r="D283" s="2" t="str">
        <f t="shared" si="3"/>
        <v>Error?</v>
      </c>
    </row>
    <row r="284" spans="1:4" x14ac:dyDescent="0.2">
      <c r="A284" s="5">
        <v>223</v>
      </c>
      <c r="B284" s="138">
        <f>'Assets-Liab 5-6'!N23</f>
        <v>7076570</v>
      </c>
      <c r="C284" s="2" t="s">
        <v>593</v>
      </c>
      <c r="D284" s="2" t="str">
        <f t="shared" si="3"/>
        <v>Error?</v>
      </c>
    </row>
    <row r="285" spans="1:4" x14ac:dyDescent="0.2">
      <c r="A285" s="5">
        <v>224</v>
      </c>
      <c r="B285" s="138">
        <f>'Assets-Liab 5-6'!N36</f>
        <v>7076570</v>
      </c>
      <c r="D285" s="2" t="str">
        <f t="shared" si="3"/>
        <v>Error?</v>
      </c>
    </row>
    <row r="286" spans="1:4" x14ac:dyDescent="0.2">
      <c r="A286" s="10">
        <v>225</v>
      </c>
      <c r="D286" s="2" t="str">
        <f t="shared" si="3"/>
        <v>OK</v>
      </c>
    </row>
    <row r="287" spans="1:4" x14ac:dyDescent="0.2">
      <c r="A287" s="5">
        <v>226</v>
      </c>
      <c r="B287" s="138">
        <f>'Assets-Liab 5-6'!N37</f>
        <v>7076570</v>
      </c>
      <c r="C287" s="2" t="s">
        <v>593</v>
      </c>
      <c r="D287" s="2" t="str">
        <f t="shared" si="3"/>
        <v>Error?</v>
      </c>
    </row>
    <row r="288" spans="1:4" x14ac:dyDescent="0.2">
      <c r="A288" s="5">
        <v>227</v>
      </c>
      <c r="B288" s="138">
        <f>'Assets-Liab 5-6'!N41</f>
        <v>7076570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3003301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304847</v>
      </c>
      <c r="D717" s="2" t="str">
        <f t="shared" si="10"/>
        <v>Error?</v>
      </c>
    </row>
    <row r="718" spans="1:4" x14ac:dyDescent="0.2">
      <c r="A718" s="5">
        <v>657</v>
      </c>
      <c r="B718" s="138">
        <f>'Expenditures 15-22'!C14</f>
        <v>168806</v>
      </c>
      <c r="D718" s="2" t="str">
        <f t="shared" si="10"/>
        <v>Error?</v>
      </c>
    </row>
    <row r="719" spans="1:4" x14ac:dyDescent="0.2">
      <c r="A719" s="5">
        <v>658</v>
      </c>
      <c r="B719" s="138">
        <f>'Expenditures 15-22'!C15</f>
        <v>2451</v>
      </c>
      <c r="D719" s="2" t="str">
        <f t="shared" si="10"/>
        <v>Error?</v>
      </c>
    </row>
    <row r="720" spans="1:4" x14ac:dyDescent="0.2">
      <c r="A720" s="5">
        <v>659</v>
      </c>
      <c r="B720" s="138">
        <f>'Expenditures 15-22'!C33</f>
        <v>4368411</v>
      </c>
      <c r="C720" s="2" t="s">
        <v>593</v>
      </c>
      <c r="D720" s="2" t="str">
        <f t="shared" si="10"/>
        <v>Error?</v>
      </c>
    </row>
    <row r="721" spans="1:4" x14ac:dyDescent="0.2">
      <c r="A721" s="5">
        <v>660</v>
      </c>
      <c r="B721" s="138">
        <f>'Expenditures 15-22'!C36</f>
        <v>35765</v>
      </c>
      <c r="D721" s="2" t="str">
        <f t="shared" si="10"/>
        <v>Error?</v>
      </c>
    </row>
    <row r="722" spans="1:4" x14ac:dyDescent="0.2">
      <c r="A722" s="5">
        <v>661</v>
      </c>
      <c r="B722" s="138">
        <f>'Expenditures 15-22'!C37</f>
        <v>73228</v>
      </c>
      <c r="D722" s="2" t="str">
        <f t="shared" si="10"/>
        <v>Error?</v>
      </c>
    </row>
    <row r="723" spans="1:4" x14ac:dyDescent="0.2">
      <c r="A723" s="5">
        <v>662</v>
      </c>
      <c r="B723" s="138">
        <f>'Expenditures 15-22'!C38</f>
        <v>180</v>
      </c>
      <c r="D723" s="2" t="str">
        <f t="shared" si="10"/>
        <v>Error?</v>
      </c>
    </row>
    <row r="724" spans="1:4" x14ac:dyDescent="0.2">
      <c r="A724" s="5">
        <v>663</v>
      </c>
      <c r="B724" s="138">
        <f>'Expenditures 15-22'!C39</f>
        <v>7494</v>
      </c>
      <c r="D724" s="2" t="str">
        <f t="shared" si="10"/>
        <v>Error?</v>
      </c>
    </row>
    <row r="725" spans="1:4" x14ac:dyDescent="0.2">
      <c r="A725" s="5">
        <v>664</v>
      </c>
      <c r="B725" s="138">
        <f>'Expenditures 15-22'!C40</f>
        <v>134930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251597</v>
      </c>
      <c r="C727" s="2" t="s">
        <v>593</v>
      </c>
      <c r="D727" s="2" t="str">
        <f t="shared" si="10"/>
        <v>Error?</v>
      </c>
    </row>
    <row r="728" spans="1:4" x14ac:dyDescent="0.2">
      <c r="A728" s="5">
        <v>667</v>
      </c>
      <c r="B728" s="138">
        <f>'Expenditures 15-22'!C44</f>
        <v>14118</v>
      </c>
      <c r="D728" s="2" t="str">
        <f t="shared" si="10"/>
        <v>Error?</v>
      </c>
    </row>
    <row r="729" spans="1:4" x14ac:dyDescent="0.2">
      <c r="A729" s="5">
        <v>668</v>
      </c>
      <c r="B729" s="138">
        <f>'Expenditures 15-22'!C45</f>
        <v>179236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193354</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122866</v>
      </c>
      <c r="D733" s="2" t="str">
        <f t="shared" si="10"/>
        <v>Error?</v>
      </c>
    </row>
    <row r="734" spans="1:4" x14ac:dyDescent="0.2">
      <c r="A734" s="5">
        <v>673</v>
      </c>
      <c r="B734" s="138">
        <f>'Expenditures 15-22'!C53</f>
        <v>199379</v>
      </c>
      <c r="C734" s="2" t="s">
        <v>593</v>
      </c>
      <c r="D734" s="2" t="str">
        <f t="shared" si="10"/>
        <v>Error?</v>
      </c>
    </row>
    <row r="735" spans="1:4" x14ac:dyDescent="0.2">
      <c r="A735" s="5">
        <v>674</v>
      </c>
      <c r="B735" s="138">
        <f>'Expenditures 15-22'!C55</f>
        <v>419770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419770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50305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172866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223171</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1287271</v>
      </c>
      <c r="C755" s="2" t="s">
        <v>593</v>
      </c>
      <c r="D755" s="2" t="str">
        <f t="shared" si="10"/>
        <v>Error?</v>
      </c>
    </row>
    <row r="756" spans="1:4" x14ac:dyDescent="0.2">
      <c r="A756" s="5">
        <v>695</v>
      </c>
      <c r="B756" s="138">
        <f>'Expenditures 15-22'!C75</f>
        <v>23084</v>
      </c>
      <c r="D756" s="2" t="str">
        <f t="shared" si="10"/>
        <v>Error?</v>
      </c>
    </row>
    <row r="757" spans="1:4" x14ac:dyDescent="0.2">
      <c r="A757" s="5">
        <v>696</v>
      </c>
      <c r="B757" s="138">
        <f>'Expenditures 15-22'!C114</f>
        <v>5678766</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426998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33982</v>
      </c>
      <c r="D775" s="2" t="str">
        <f t="shared" si="11"/>
        <v>Error?</v>
      </c>
    </row>
    <row r="776" spans="1:4" x14ac:dyDescent="0.2">
      <c r="A776" s="5">
        <v>715</v>
      </c>
      <c r="B776" s="138">
        <f>'Expenditures 15-22'!D14</f>
        <v>1921</v>
      </c>
      <c r="D776" s="2" t="str">
        <f t="shared" si="11"/>
        <v>Error?</v>
      </c>
    </row>
    <row r="777" spans="1:4" x14ac:dyDescent="0.2">
      <c r="A777" s="5">
        <v>716</v>
      </c>
      <c r="B777" s="138">
        <f>'Expenditures 15-22'!D15</f>
        <v>35</v>
      </c>
      <c r="D777" s="2" t="str">
        <f t="shared" si="11"/>
        <v>Error?</v>
      </c>
    </row>
    <row r="778" spans="1:4" x14ac:dyDescent="0.2">
      <c r="A778" s="5">
        <v>717</v>
      </c>
      <c r="B778" s="138">
        <f>'Expenditures 15-22'!D33</f>
        <v>545250</v>
      </c>
      <c r="C778" s="2" t="s">
        <v>593</v>
      </c>
      <c r="D778" s="2" t="str">
        <f t="shared" si="11"/>
        <v>Error?</v>
      </c>
    </row>
    <row r="779" spans="1:4" x14ac:dyDescent="0.2">
      <c r="A779" s="5">
        <v>718</v>
      </c>
      <c r="B779" s="138">
        <f>'Expenditures 15-22'!D36</f>
        <v>2170</v>
      </c>
      <c r="D779" s="2" t="str">
        <f t="shared" si="11"/>
        <v>Error?</v>
      </c>
    </row>
    <row r="780" spans="1:4" x14ac:dyDescent="0.2">
      <c r="A780" s="5">
        <v>719</v>
      </c>
      <c r="B780" s="138">
        <f>'Expenditures 15-22'!D37</f>
        <v>8617</v>
      </c>
      <c r="D780" s="2" t="str">
        <f t="shared" si="11"/>
        <v>Error?</v>
      </c>
    </row>
    <row r="781" spans="1:4" x14ac:dyDescent="0.2">
      <c r="A781" s="5">
        <v>720</v>
      </c>
      <c r="B781" s="138">
        <f>'Expenditures 15-22'!D38</f>
        <v>14806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15882</v>
      </c>
      <c r="D783" s="2" t="str">
        <f t="shared" si="11"/>
        <v>Error?</v>
      </c>
    </row>
    <row r="784" spans="1:4" x14ac:dyDescent="0.2">
      <c r="A784" s="5">
        <v>723</v>
      </c>
      <c r="B784" s="138">
        <f>'Expenditures 15-22'!D41</f>
        <v>19</v>
      </c>
      <c r="D784" s="2" t="str">
        <f t="shared" si="11"/>
        <v>Error?</v>
      </c>
    </row>
    <row r="785" spans="1:4" x14ac:dyDescent="0.2">
      <c r="A785" s="5">
        <v>724</v>
      </c>
      <c r="B785" s="138">
        <f>'Expenditures 15-22'!D42</f>
        <v>41494</v>
      </c>
      <c r="C785" s="2" t="s">
        <v>593</v>
      </c>
      <c r="D785" s="2" t="str">
        <f t="shared" si="11"/>
        <v>Error?</v>
      </c>
    </row>
    <row r="786" spans="1:4" x14ac:dyDescent="0.2">
      <c r="A786" s="5">
        <v>725</v>
      </c>
      <c r="B786" s="138">
        <f>'Expenditures 15-22'!D44</f>
        <v>1186</v>
      </c>
      <c r="D786" s="2" t="str">
        <f t="shared" si="11"/>
        <v>Error?</v>
      </c>
    </row>
    <row r="787" spans="1:4" x14ac:dyDescent="0.2">
      <c r="A787" s="5">
        <v>726</v>
      </c>
      <c r="B787" s="138">
        <f>'Expenditures 15-22'!D45</f>
        <v>22523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23709</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23094</v>
      </c>
      <c r="D791" s="2" t="str">
        <f t="shared" si="11"/>
        <v>Error?</v>
      </c>
    </row>
    <row r="792" spans="1:4" x14ac:dyDescent="0.2">
      <c r="A792" s="5">
        <v>731</v>
      </c>
      <c r="B792" s="138">
        <f>'Expenditures 15-22'!D53</f>
        <v>39142</v>
      </c>
      <c r="C792" s="2" t="s">
        <v>593</v>
      </c>
      <c r="D792" s="2" t="str">
        <f t="shared" si="11"/>
        <v>Error?</v>
      </c>
    </row>
    <row r="793" spans="1:4" x14ac:dyDescent="0.2">
      <c r="A793" s="5">
        <v>732</v>
      </c>
      <c r="B793" s="138">
        <f>'Expenditures 15-22'!D55</f>
        <v>104584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104584</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20015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20056</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228985</v>
      </c>
      <c r="C813" s="2" t="s">
        <v>593</v>
      </c>
      <c r="D813" s="2" t="str">
        <f t="shared" si="11"/>
        <v>Error?</v>
      </c>
    </row>
    <row r="814" spans="1:4" x14ac:dyDescent="0.2">
      <c r="A814" s="5">
        <v>753</v>
      </c>
      <c r="B814" s="138">
        <f>'Expenditures 15-22'!D75</f>
        <v>2669</v>
      </c>
      <c r="D814" s="2" t="str">
        <f t="shared" si="11"/>
        <v>Error?</v>
      </c>
    </row>
    <row r="815" spans="1:4" x14ac:dyDescent="0.2">
      <c r="A815" s="5">
        <v>754</v>
      </c>
      <c r="B815" s="138">
        <f>'Expenditures 15-22'!D114</f>
        <v>776904</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66278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18950</v>
      </c>
      <c r="D833" s="2" t="str">
        <f t="shared" si="12"/>
        <v>Error?</v>
      </c>
    </row>
    <row r="834" spans="1:4" x14ac:dyDescent="0.2">
      <c r="A834" s="5">
        <v>773</v>
      </c>
      <c r="B834" s="138">
        <f>'Expenditures 15-22'!E14</f>
        <v>46302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149163</v>
      </c>
      <c r="C836" s="2" t="s">
        <v>593</v>
      </c>
      <c r="D836" s="2" t="str">
        <f t="shared" si="12"/>
        <v>Error?</v>
      </c>
    </row>
    <row r="837" spans="1:4" x14ac:dyDescent="0.2">
      <c r="A837" s="5">
        <v>776</v>
      </c>
      <c r="B837" s="138">
        <f>'Expenditures 15-22'!E36</f>
        <v>34512</v>
      </c>
      <c r="D837" s="2" t="str">
        <f t="shared" si="12"/>
        <v>Error?</v>
      </c>
    </row>
    <row r="838" spans="1:4" x14ac:dyDescent="0.2">
      <c r="A838" s="5">
        <v>777</v>
      </c>
      <c r="B838" s="138">
        <f>'Expenditures 15-22'!E37</f>
        <v>267</v>
      </c>
      <c r="D838" s="2" t="str">
        <f t="shared" si="12"/>
        <v>Error?</v>
      </c>
    </row>
    <row r="839" spans="1:4" x14ac:dyDescent="0.2">
      <c r="A839" s="5">
        <v>778</v>
      </c>
      <c r="B839" s="138">
        <f>'Expenditures 15-22'!E38</f>
        <v>775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8425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43979</v>
      </c>
      <c r="C843" s="2" t="s">
        <v>593</v>
      </c>
      <c r="D843" s="2" t="str">
        <f t="shared" si="12"/>
        <v>Error?</v>
      </c>
    </row>
    <row r="844" spans="1:4" x14ac:dyDescent="0.2">
      <c r="A844" s="5">
        <v>783</v>
      </c>
      <c r="B844" s="138">
        <f>'Expenditures 15-22'!E44</f>
        <v>34658</v>
      </c>
      <c r="D844" s="2" t="str">
        <f t="shared" si="12"/>
        <v>Error?</v>
      </c>
    </row>
    <row r="845" spans="1:4" x14ac:dyDescent="0.2">
      <c r="A845" s="5">
        <v>784</v>
      </c>
      <c r="B845" s="138">
        <f>'Expenditures 15-22'!E45</f>
        <v>135652</v>
      </c>
      <c r="D845" s="2" t="str">
        <f t="shared" si="12"/>
        <v>Error?</v>
      </c>
    </row>
    <row r="846" spans="1:4" x14ac:dyDescent="0.2">
      <c r="A846" s="5">
        <v>785</v>
      </c>
      <c r="B846" s="138">
        <f>'Expenditures 15-22'!E46</f>
        <v>8876</v>
      </c>
      <c r="D846" s="2" t="str">
        <f t="shared" si="12"/>
        <v>Error?</v>
      </c>
    </row>
    <row r="847" spans="1:4" x14ac:dyDescent="0.2">
      <c r="A847" s="5">
        <v>786</v>
      </c>
      <c r="B847" s="138">
        <f>'Expenditures 15-22'!E47</f>
        <v>179186</v>
      </c>
      <c r="C847" s="2" t="s">
        <v>593</v>
      </c>
      <c r="D847" s="2" t="str">
        <f t="shared" si="12"/>
        <v>Error?</v>
      </c>
    </row>
    <row r="848" spans="1:4" x14ac:dyDescent="0.2">
      <c r="A848" s="5">
        <v>787</v>
      </c>
      <c r="B848" s="138">
        <f>'Expenditures 15-22'!E49</f>
        <v>22343</v>
      </c>
      <c r="D848" s="2" t="str">
        <f t="shared" si="12"/>
        <v>Error?</v>
      </c>
    </row>
    <row r="849" spans="1:4" x14ac:dyDescent="0.2">
      <c r="A849" s="5">
        <v>788</v>
      </c>
      <c r="B849" s="138">
        <f>'Expenditures 15-22'!E50</f>
        <v>9584</v>
      </c>
      <c r="D849" s="2" t="str">
        <f t="shared" si="12"/>
        <v>Error?</v>
      </c>
    </row>
    <row r="850" spans="1:4" x14ac:dyDescent="0.2">
      <c r="A850" s="5">
        <v>789</v>
      </c>
      <c r="B850" s="138">
        <f>'Expenditures 15-22'!E53</f>
        <v>35913</v>
      </c>
      <c r="C850" s="2" t="s">
        <v>593</v>
      </c>
      <c r="D850" s="2" t="str">
        <f t="shared" si="12"/>
        <v>Error?</v>
      </c>
    </row>
    <row r="851" spans="1:4" x14ac:dyDescent="0.2">
      <c r="A851" s="5">
        <v>790</v>
      </c>
      <c r="B851" s="138">
        <f>'Expenditures 15-22'!E55</f>
        <v>11391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11391</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2189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2189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272658</v>
      </c>
      <c r="C871" s="2" t="s">
        <v>593</v>
      </c>
      <c r="D871" s="2" t="str">
        <f t="shared" si="12"/>
        <v>Error?</v>
      </c>
    </row>
    <row r="872" spans="1:4" x14ac:dyDescent="0.2">
      <c r="A872" s="5">
        <v>811</v>
      </c>
      <c r="B872" s="138">
        <f>'Expenditures 15-22'!E75</f>
        <v>19214</v>
      </c>
      <c r="D872" s="2" t="str">
        <f t="shared" si="12"/>
        <v>Error?</v>
      </c>
    </row>
    <row r="873" spans="1:4" x14ac:dyDescent="0.2">
      <c r="A873" s="5">
        <v>812</v>
      </c>
      <c r="B873" s="138">
        <f>'Expenditures 15-22'!E114</f>
        <v>442559</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59206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39703</v>
      </c>
      <c r="D891" s="2" t="str">
        <f t="shared" si="12"/>
        <v>Error?</v>
      </c>
    </row>
    <row r="892" spans="1:4" x14ac:dyDescent="0.2">
      <c r="A892" s="5">
        <v>831</v>
      </c>
      <c r="B892" s="138">
        <f>'Expenditures 15-22'!F14</f>
        <v>30063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224300</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211</v>
      </c>
      <c r="D896" s="2" t="str">
        <f t="shared" si="13"/>
        <v>Error?</v>
      </c>
    </row>
    <row r="897" spans="1:4" x14ac:dyDescent="0.2">
      <c r="A897" s="5">
        <v>836</v>
      </c>
      <c r="B897" s="138">
        <f>'Expenditures 15-22'!F38</f>
        <v>4201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5084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9496</v>
      </c>
      <c r="C901" s="2" t="s">
        <v>593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7595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7595</v>
      </c>
      <c r="C905" s="2" t="s">
        <v>593</v>
      </c>
      <c r="D905" s="2" t="str">
        <f t="shared" si="13"/>
        <v>Error?</v>
      </c>
    </row>
    <row r="906" spans="1:4" x14ac:dyDescent="0.2">
      <c r="A906" s="5">
        <v>845</v>
      </c>
      <c r="B906" s="138">
        <f>'Expenditures 15-22'!F49</f>
        <v>5061</v>
      </c>
      <c r="D906" s="2" t="str">
        <f t="shared" si="13"/>
        <v>Error?</v>
      </c>
    </row>
    <row r="907" spans="1:4" x14ac:dyDescent="0.2">
      <c r="A907" s="5">
        <v>846</v>
      </c>
      <c r="B907" s="138">
        <f>'Expenditures 15-22'!F50</f>
        <v>52056</v>
      </c>
      <c r="D907" s="2" t="str">
        <f t="shared" si="13"/>
        <v>Error?</v>
      </c>
    </row>
    <row r="908" spans="1:4" x14ac:dyDescent="0.2">
      <c r="A908" s="5">
        <v>847</v>
      </c>
      <c r="B908" s="138">
        <f>'Expenditures 15-22'!F53</f>
        <v>95902</v>
      </c>
      <c r="C908" s="2" t="s">
        <v>593</v>
      </c>
      <c r="D908" s="2" t="str">
        <f t="shared" si="13"/>
        <v>Error?</v>
      </c>
    </row>
    <row r="909" spans="1:4" x14ac:dyDescent="0.2">
      <c r="A909" s="5">
        <v>848</v>
      </c>
      <c r="B909" s="138">
        <f>'Expenditures 15-22'!F55</f>
        <v>1833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1833</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3510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216722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220232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335058</v>
      </c>
      <c r="C929" s="2" t="s">
        <v>593</v>
      </c>
      <c r="D929" s="2" t="str">
        <f t="shared" si="13"/>
        <v>Error?</v>
      </c>
    </row>
    <row r="930" spans="1:4" x14ac:dyDescent="0.2">
      <c r="A930" s="5">
        <v>869</v>
      </c>
      <c r="B930" s="138">
        <f>'Expenditures 15-22'!F75</f>
        <v>108</v>
      </c>
      <c r="D930" s="2" t="str">
        <f t="shared" si="13"/>
        <v>Error?</v>
      </c>
    </row>
    <row r="931" spans="1:4" x14ac:dyDescent="0.2">
      <c r="A931" s="5">
        <v>870</v>
      </c>
      <c r="B931" s="138">
        <f>'Expenditures 15-22'!F114</f>
        <v>559466</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2573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87000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87000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13090</v>
      </c>
      <c r="D965" s="2" t="str">
        <f t="shared" si="14"/>
        <v>Error?</v>
      </c>
    </row>
    <row r="966" spans="1:4" x14ac:dyDescent="0.2">
      <c r="A966" s="5">
        <v>905</v>
      </c>
      <c r="B966" s="138">
        <f>'Expenditures 15-22'!G53</f>
        <v>13090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100090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102663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13748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6941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693139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518</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518</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2444</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2444</v>
      </c>
      <c r="C1021" s="2" t="s">
        <v>593</v>
      </c>
      <c r="D1021" s="2" t="str">
        <f t="shared" si="14"/>
        <v>Error?</v>
      </c>
    </row>
    <row r="1022" spans="1:4" x14ac:dyDescent="0.2">
      <c r="A1022" s="5">
        <v>961</v>
      </c>
      <c r="B1022" s="138">
        <f>'Expenditures 15-22'!H49</f>
        <v>5568</v>
      </c>
      <c r="D1022" s="2" t="str">
        <f t="shared" si="14"/>
        <v>Error?</v>
      </c>
    </row>
    <row r="1023" spans="1:4" x14ac:dyDescent="0.2">
      <c r="A1023" s="5">
        <v>962</v>
      </c>
      <c r="B1023" s="138">
        <f>'Expenditures 15-22'!H50</f>
        <v>2624</v>
      </c>
      <c r="D1023" s="2" t="str">
        <f t="shared" ref="D1023:D1086" si="15">IF(ISBLANK(B1023),"OK",IF(A1023-B1023=0,"OK","Error?"))</f>
        <v>Error?</v>
      </c>
    </row>
    <row r="1024" spans="1:4" x14ac:dyDescent="0.2">
      <c r="A1024" s="5">
        <v>963</v>
      </c>
      <c r="B1024" s="138">
        <f>'Expenditures 15-22'!H53</f>
        <v>8299</v>
      </c>
      <c r="C1024" s="2" t="s">
        <v>593</v>
      </c>
      <c r="D1024" s="2" t="str">
        <f t="shared" si="15"/>
        <v>Error?</v>
      </c>
    </row>
    <row r="1025" spans="1:4" x14ac:dyDescent="0.2">
      <c r="A1025" s="5">
        <v>964</v>
      </c>
      <c r="B1025" s="138">
        <f>'Expenditures 15-22'!H55</f>
        <v>2382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2382</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250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250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13893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341662</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1048694</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3569531</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407307</v>
      </c>
      <c r="C1105" s="2" t="s">
        <v>593</v>
      </c>
      <c r="D1105" s="2" t="str">
        <f t="shared" si="16"/>
        <v>Error?</v>
      </c>
    </row>
    <row r="1106" spans="1:4" x14ac:dyDescent="0.2">
      <c r="A1106" s="5">
        <v>1045</v>
      </c>
      <c r="B1106" s="138">
        <f>'Expenditures 15-22'!K14</f>
        <v>254120</v>
      </c>
      <c r="C1106" s="2" t="s">
        <v>593</v>
      </c>
      <c r="D1106" s="2" t="str">
        <f t="shared" si="16"/>
        <v>Error?</v>
      </c>
    </row>
    <row r="1107" spans="1:4" x14ac:dyDescent="0.2">
      <c r="A1107" s="5">
        <v>1046</v>
      </c>
      <c r="B1107" s="138">
        <f>'Expenditures 15-22'!K15</f>
        <v>2486</v>
      </c>
      <c r="C1107" s="2" t="s">
        <v>593</v>
      </c>
      <c r="D1107" s="2" t="str">
        <f t="shared" si="16"/>
        <v>Error?</v>
      </c>
    </row>
    <row r="1108" spans="1:4" x14ac:dyDescent="0.2">
      <c r="A1108" s="5">
        <v>1047</v>
      </c>
      <c r="B1108" s="138">
        <f>'Expenditures 15-22'!K33</f>
        <v>5996179</v>
      </c>
      <c r="C1108" s="2" t="s">
        <v>593</v>
      </c>
      <c r="D1108" s="2" t="str">
        <f t="shared" si="16"/>
        <v>Error?</v>
      </c>
    </row>
    <row r="1109" spans="1:4" x14ac:dyDescent="0.2">
      <c r="A1109" s="5">
        <v>1048</v>
      </c>
      <c r="B1109" s="138">
        <f>'Expenditures 15-22'!K36</f>
        <v>72447</v>
      </c>
      <c r="C1109" s="2" t="s">
        <v>593</v>
      </c>
      <c r="D1109" s="2" t="str">
        <f t="shared" si="16"/>
        <v>Error?</v>
      </c>
    </row>
    <row r="1110" spans="1:4" x14ac:dyDescent="0.2">
      <c r="A1110" s="5">
        <v>1049</v>
      </c>
      <c r="B1110" s="138">
        <f>'Expenditures 15-22'!K37</f>
        <v>82323</v>
      </c>
      <c r="C1110" s="2" t="s">
        <v>593</v>
      </c>
      <c r="D1110" s="2" t="str">
        <f t="shared" si="16"/>
        <v>Error?</v>
      </c>
    </row>
    <row r="1111" spans="1:4" x14ac:dyDescent="0.2">
      <c r="A1111" s="5">
        <v>1050</v>
      </c>
      <c r="B1111" s="138">
        <f>'Expenditures 15-22'!K38</f>
        <v>20480</v>
      </c>
      <c r="C1111" s="2" t="s">
        <v>593</v>
      </c>
      <c r="D1111" s="2" t="str">
        <f t="shared" si="16"/>
        <v>Error?</v>
      </c>
    </row>
    <row r="1112" spans="1:4" x14ac:dyDescent="0.2">
      <c r="A1112" s="5">
        <v>1051</v>
      </c>
      <c r="B1112" s="138">
        <f>'Expenditures 15-22'!K39</f>
        <v>7494</v>
      </c>
      <c r="C1112" s="2" t="s">
        <v>593</v>
      </c>
      <c r="D1112" s="2" t="str">
        <f t="shared" si="16"/>
        <v>Error?</v>
      </c>
    </row>
    <row r="1113" spans="1:4" x14ac:dyDescent="0.2">
      <c r="A1113" s="5">
        <v>1052</v>
      </c>
      <c r="B1113" s="138">
        <f>'Expenditures 15-22'!K40</f>
        <v>164321</v>
      </c>
      <c r="C1113" s="2" t="s">
        <v>593</v>
      </c>
      <c r="D1113" s="2" t="str">
        <f t="shared" si="16"/>
        <v>Error?</v>
      </c>
    </row>
    <row r="1114" spans="1:4" x14ac:dyDescent="0.2">
      <c r="A1114" s="5">
        <v>1053</v>
      </c>
      <c r="B1114" s="138">
        <f>'Expenditures 15-22'!K41</f>
        <v>19</v>
      </c>
      <c r="C1114" s="2" t="s">
        <v>593</v>
      </c>
      <c r="D1114" s="2" t="str">
        <f t="shared" si="16"/>
        <v>Error?</v>
      </c>
    </row>
    <row r="1115" spans="1:4" x14ac:dyDescent="0.2">
      <c r="A1115" s="5">
        <v>1054</v>
      </c>
      <c r="B1115" s="138">
        <f>'Expenditures 15-22'!K42</f>
        <v>347084</v>
      </c>
      <c r="C1115" s="2" t="s">
        <v>593</v>
      </c>
      <c r="D1115" s="2" t="str">
        <f t="shared" si="16"/>
        <v>Error?</v>
      </c>
    </row>
    <row r="1116" spans="1:4" x14ac:dyDescent="0.2">
      <c r="A1116" s="5">
        <v>1055</v>
      </c>
      <c r="B1116" s="138">
        <f>'Expenditures 15-22'!K44</f>
        <v>49962</v>
      </c>
      <c r="C1116" s="2" t="s">
        <v>593</v>
      </c>
      <c r="D1116" s="2" t="str">
        <f t="shared" si="16"/>
        <v>Error?</v>
      </c>
    </row>
    <row r="1117" spans="1:4" x14ac:dyDescent="0.2">
      <c r="A1117" s="5">
        <v>1056</v>
      </c>
      <c r="B1117" s="138">
        <f>'Expenditures 15-22'!K45</f>
        <v>434450</v>
      </c>
      <c r="C1117" s="2" t="s">
        <v>593</v>
      </c>
      <c r="D1117" s="2" t="str">
        <f t="shared" si="16"/>
        <v>Error?</v>
      </c>
    </row>
    <row r="1118" spans="1:4" x14ac:dyDescent="0.2">
      <c r="A1118" s="5">
        <v>1057</v>
      </c>
      <c r="B1118" s="138">
        <f>'Expenditures 15-22'!K46</f>
        <v>8876</v>
      </c>
      <c r="C1118" s="2" t="s">
        <v>593</v>
      </c>
      <c r="D1118" s="2" t="str">
        <f t="shared" si="16"/>
        <v>Error?</v>
      </c>
    </row>
    <row r="1119" spans="1:4" x14ac:dyDescent="0.2">
      <c r="A1119" s="5">
        <v>1058</v>
      </c>
      <c r="B1119" s="138">
        <f>'Expenditures 15-22'!K47</f>
        <v>493288</v>
      </c>
      <c r="C1119" s="2" t="s">
        <v>593</v>
      </c>
      <c r="D1119" s="2" t="str">
        <f t="shared" si="16"/>
        <v>Error?</v>
      </c>
    </row>
    <row r="1120" spans="1:4" x14ac:dyDescent="0.2">
      <c r="A1120" s="5">
        <v>1059</v>
      </c>
      <c r="B1120" s="138">
        <f>'Expenditures 15-22'!K49</f>
        <v>32972</v>
      </c>
      <c r="C1120" s="2" t="s">
        <v>593</v>
      </c>
      <c r="D1120" s="2" t="str">
        <f t="shared" si="16"/>
        <v>Error?</v>
      </c>
    </row>
    <row r="1121" spans="1:4" x14ac:dyDescent="0.2">
      <c r="A1121" s="5">
        <v>1060</v>
      </c>
      <c r="B1121" s="138">
        <f>'Expenditures 15-22'!K50</f>
        <v>225563</v>
      </c>
      <c r="C1121" s="2" t="s">
        <v>593</v>
      </c>
      <c r="D1121" s="2" t="str">
        <f t="shared" si="16"/>
        <v>Error?</v>
      </c>
    </row>
    <row r="1122" spans="1:4" x14ac:dyDescent="0.2">
      <c r="A1122" s="5">
        <v>1061</v>
      </c>
      <c r="B1122" s="138">
        <f>'Expenditures 15-22'!K53</f>
        <v>399304</v>
      </c>
      <c r="C1122" s="2" t="s">
        <v>593</v>
      </c>
      <c r="D1122" s="2" t="str">
        <f t="shared" si="16"/>
        <v>Error?</v>
      </c>
    </row>
    <row r="1123" spans="1:4" x14ac:dyDescent="0.2">
      <c r="A1123" s="5">
        <v>1062</v>
      </c>
      <c r="B1123" s="138">
        <f>'Expenditures 15-22'!K55</f>
        <v>539960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539960</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53856</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412042</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465898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0</v>
      </c>
      <c r="C1139" s="2" t="s">
        <v>593</v>
      </c>
      <c r="D1139" s="2" t="str">
        <f t="shared" si="16"/>
        <v>Error?</v>
      </c>
    </row>
    <row r="1140" spans="1:4" x14ac:dyDescent="0.2">
      <c r="A1140" s="10">
        <v>1079</v>
      </c>
      <c r="D1140" s="2" t="str">
        <f t="shared" si="16"/>
        <v>OK</v>
      </c>
    </row>
    <row r="1141" spans="1:4" x14ac:dyDescent="0.2">
      <c r="A1141" s="5">
        <v>1080</v>
      </c>
      <c r="B1141" s="138">
        <f>'Expenditures 15-22'!K72</f>
        <v>0</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2245534</v>
      </c>
      <c r="C1143" s="2" t="s">
        <v>593</v>
      </c>
      <c r="D1143" s="2" t="str">
        <f t="shared" si="16"/>
        <v>Error?</v>
      </c>
    </row>
    <row r="1144" spans="1:4" x14ac:dyDescent="0.2">
      <c r="A1144" s="5">
        <v>1083</v>
      </c>
      <c r="B1144" s="138">
        <f>'Expenditures 15-22'!K75</f>
        <v>45075</v>
      </c>
      <c r="C1144" s="2" t="s">
        <v>593</v>
      </c>
      <c r="D1144" s="2" t="str">
        <f t="shared" si="16"/>
        <v>Error?</v>
      </c>
    </row>
    <row r="1145" spans="1:4" x14ac:dyDescent="0.2">
      <c r="A1145" s="5">
        <v>1084</v>
      </c>
      <c r="B1145" s="138">
        <f>'Expenditures 15-22'!K102</f>
        <v>343186</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8629974</v>
      </c>
      <c r="C1152" s="2" t="s">
        <v>593</v>
      </c>
      <c r="D1152" s="2" t="str">
        <f t="shared" si="17"/>
        <v>Error?</v>
      </c>
    </row>
    <row r="1153" spans="1:4" x14ac:dyDescent="0.2">
      <c r="A1153" s="5">
        <v>1092</v>
      </c>
      <c r="B1153" s="138">
        <f>'Expenditures 15-22'!K115</f>
        <v>461745</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366709</v>
      </c>
      <c r="D1221" s="2" t="str">
        <f t="shared" si="18"/>
        <v>Error?</v>
      </c>
    </row>
    <row r="1222" spans="1:4" x14ac:dyDescent="0.2">
      <c r="A1222" s="10">
        <v>1161</v>
      </c>
      <c r="D1222" s="2" t="str">
        <f t="shared" si="18"/>
        <v>OK</v>
      </c>
    </row>
    <row r="1223" spans="1:4" x14ac:dyDescent="0.2">
      <c r="A1223" s="5">
        <v>1162</v>
      </c>
      <c r="B1223" s="138">
        <f>'Expenditures 15-22'!C127</f>
        <v>366709</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366709</v>
      </c>
      <c r="C1225" s="2" t="s">
        <v>593</v>
      </c>
      <c r="D1225" s="2" t="str">
        <f t="shared" si="18"/>
        <v>Error?</v>
      </c>
    </row>
    <row r="1226" spans="1:4" x14ac:dyDescent="0.2">
      <c r="A1226" s="5">
        <v>1165</v>
      </c>
      <c r="B1226" s="138">
        <f>'Expenditures 15-22'!C151</f>
        <v>366709</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61630</v>
      </c>
      <c r="D1229" s="2" t="str">
        <f t="shared" si="18"/>
        <v>Error?</v>
      </c>
    </row>
    <row r="1230" spans="1:4" x14ac:dyDescent="0.2">
      <c r="A1230" s="10">
        <v>1169</v>
      </c>
      <c r="D1230" s="2" t="str">
        <f t="shared" si="18"/>
        <v>OK</v>
      </c>
    </row>
    <row r="1231" spans="1:4" x14ac:dyDescent="0.2">
      <c r="A1231" s="5">
        <v>1170</v>
      </c>
      <c r="B1231" s="138">
        <f>'Expenditures 15-22'!D127</f>
        <v>61630</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61630</v>
      </c>
      <c r="C1233" s="2" t="s">
        <v>593</v>
      </c>
      <c r="D1233" s="2" t="str">
        <f t="shared" si="18"/>
        <v>Error?</v>
      </c>
    </row>
    <row r="1234" spans="1:4" x14ac:dyDescent="0.2">
      <c r="A1234" s="5">
        <v>1173</v>
      </c>
      <c r="B1234" s="138">
        <f>'Expenditures 15-22'!D151</f>
        <v>61630</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151794</v>
      </c>
      <c r="D1237" s="2" t="str">
        <f t="shared" si="18"/>
        <v>Error?</v>
      </c>
    </row>
    <row r="1238" spans="1:4" x14ac:dyDescent="0.2">
      <c r="A1238" s="10">
        <v>1177</v>
      </c>
      <c r="D1238" s="2" t="str">
        <f t="shared" si="18"/>
        <v>OK</v>
      </c>
    </row>
    <row r="1239" spans="1:4" x14ac:dyDescent="0.2">
      <c r="A1239" s="5">
        <v>1178</v>
      </c>
      <c r="B1239" s="138">
        <f>'Expenditures 15-22'!E127</f>
        <v>151794</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151794</v>
      </c>
      <c r="C1241" s="2" t="s">
        <v>593</v>
      </c>
      <c r="D1241" s="2" t="str">
        <f t="shared" si="18"/>
        <v>Error?</v>
      </c>
    </row>
    <row r="1242" spans="1:4" x14ac:dyDescent="0.2">
      <c r="A1242" s="5">
        <v>1181</v>
      </c>
      <c r="B1242" s="138">
        <f>'Expenditures 15-22'!E151</f>
        <v>151794</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283098</v>
      </c>
      <c r="D1245" s="2" t="str">
        <f t="shared" si="18"/>
        <v>Error?</v>
      </c>
    </row>
    <row r="1246" spans="1:4" x14ac:dyDescent="0.2">
      <c r="A1246" s="10">
        <v>1185</v>
      </c>
      <c r="D1246" s="2" t="str">
        <f t="shared" si="18"/>
        <v>OK</v>
      </c>
    </row>
    <row r="1247" spans="1:4" x14ac:dyDescent="0.2">
      <c r="A1247" s="5">
        <v>1186</v>
      </c>
      <c r="B1247" s="138">
        <f>'Expenditures 15-22'!F127</f>
        <v>283098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283098</v>
      </c>
      <c r="C1249" s="2" t="s">
        <v>593</v>
      </c>
      <c r="D1249" s="2" t="str">
        <f t="shared" si="18"/>
        <v>Error?</v>
      </c>
    </row>
    <row r="1250" spans="1:4" x14ac:dyDescent="0.2">
      <c r="A1250" s="5">
        <v>1189</v>
      </c>
      <c r="B1250" s="138">
        <f>'Expenditures 15-22'!F151</f>
        <v>283098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114628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114628</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114628</v>
      </c>
      <c r="C1258" s="2" t="s">
        <v>593</v>
      </c>
      <c r="D1258" s="2" t="str">
        <f t="shared" si="18"/>
        <v>Error?</v>
      </c>
    </row>
    <row r="1259" spans="1:4" x14ac:dyDescent="0.2">
      <c r="A1259" s="5">
        <v>1198</v>
      </c>
      <c r="B1259" s="138">
        <f>'Expenditures 15-22'!G151</f>
        <v>114628</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290</v>
      </c>
      <c r="D1262" s="2" t="str">
        <f t="shared" si="18"/>
        <v>Error?</v>
      </c>
    </row>
    <row r="1263" spans="1:4" x14ac:dyDescent="0.2">
      <c r="A1263" s="10">
        <v>1202</v>
      </c>
      <c r="D1263" s="2" t="str">
        <f t="shared" si="18"/>
        <v>OK</v>
      </c>
    </row>
    <row r="1264" spans="1:4" x14ac:dyDescent="0.2">
      <c r="A1264" s="5">
        <v>1203</v>
      </c>
      <c r="B1264" s="138">
        <f>'Expenditures 15-22'!H127</f>
        <v>290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290</v>
      </c>
      <c r="C1266" s="2" t="s">
        <v>593</v>
      </c>
      <c r="D1266" s="2" t="str">
        <f t="shared" si="18"/>
        <v>Error?</v>
      </c>
    </row>
    <row r="1267" spans="1:4" x14ac:dyDescent="0.2">
      <c r="A1267" s="5">
        <v>1206</v>
      </c>
      <c r="B1267" s="138">
        <f>'Expenditures 15-22'!H139</f>
        <v>64989</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65279</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982126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982126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982126</v>
      </c>
      <c r="C1281" s="2" t="s">
        <v>593</v>
      </c>
      <c r="D1281" s="2" t="str">
        <f t="shared" si="19"/>
        <v>Error?</v>
      </c>
    </row>
    <row r="1282" spans="1:4" x14ac:dyDescent="0.2">
      <c r="A1282" s="5">
        <v>1221</v>
      </c>
      <c r="B1282" s="138">
        <f>'Expenditures 15-22'!K139</f>
        <v>64989</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1047115</v>
      </c>
      <c r="C1288" s="2" t="s">
        <v>593</v>
      </c>
      <c r="D1288" s="2" t="str">
        <f t="shared" si="19"/>
        <v>Error?</v>
      </c>
    </row>
    <row r="1289" spans="1:4" x14ac:dyDescent="0.2">
      <c r="A1289" s="5">
        <v>1228</v>
      </c>
      <c r="B1289" s="138">
        <f>'Expenditures 15-22'!K152</f>
        <v>6024</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230603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510000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740603</v>
      </c>
      <c r="C1317" s="2" t="s">
        <v>593</v>
      </c>
      <c r="D1317" s="2" t="str">
        <f t="shared" si="19"/>
        <v>Error?</v>
      </c>
    </row>
    <row r="1318" spans="1:4" x14ac:dyDescent="0.2">
      <c r="A1318" s="5">
        <v>1257</v>
      </c>
      <c r="B1318" s="138">
        <f>'Expenditures 15-22'!H174</f>
        <v>740603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230603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510000</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740603</v>
      </c>
      <c r="C1331" s="2" t="s">
        <v>593</v>
      </c>
      <c r="D1331" s="2" t="str">
        <f t="shared" si="19"/>
        <v>Error?</v>
      </c>
    </row>
    <row r="1332" spans="1:4" x14ac:dyDescent="0.2">
      <c r="A1332" s="5">
        <v>1271</v>
      </c>
      <c r="B1332" s="138">
        <f>'Expenditures 15-22'!K174</f>
        <v>740603</v>
      </c>
      <c r="C1332" s="2" t="s">
        <v>593</v>
      </c>
      <c r="D1332" s="2" t="str">
        <f t="shared" si="19"/>
        <v>Error?</v>
      </c>
    </row>
    <row r="1333" spans="1:4" x14ac:dyDescent="0.2">
      <c r="A1333" s="5">
        <v>1272</v>
      </c>
      <c r="B1333" s="138">
        <f>'Expenditures 15-22'!K175</f>
        <v>1808</v>
      </c>
      <c r="C1333" s="2" t="s">
        <v>593</v>
      </c>
      <c r="D1333" s="2" t="str">
        <f t="shared" si="19"/>
        <v>Error?</v>
      </c>
    </row>
    <row r="1334" spans="1:4" x14ac:dyDescent="0.2">
      <c r="A1334" s="10">
        <v>1273</v>
      </c>
      <c r="D1334" s="2" t="str">
        <f t="shared" si="19"/>
        <v>OK</v>
      </c>
    </row>
    <row r="1335" spans="1:4" x14ac:dyDescent="0.2">
      <c r="A1335" s="5">
        <v>1274</v>
      </c>
      <c r="B1335" s="138">
        <f>'Expenditures 15-22'!C182</f>
        <v>791698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791698</v>
      </c>
      <c r="C1339" s="2" t="s">
        <v>593</v>
      </c>
      <c r="D1339" s="2" t="str">
        <f t="shared" si="19"/>
        <v>Error?</v>
      </c>
    </row>
    <row r="1340" spans="1:4" x14ac:dyDescent="0.2">
      <c r="A1340" s="5">
        <v>1279</v>
      </c>
      <c r="B1340" s="138">
        <f>'Expenditures 15-22'!C210</f>
        <v>791698</v>
      </c>
      <c r="C1340" s="2" t="s">
        <v>593</v>
      </c>
      <c r="D1340" s="2" t="str">
        <f t="shared" si="19"/>
        <v>Error?</v>
      </c>
    </row>
    <row r="1341" spans="1:4" x14ac:dyDescent="0.2">
      <c r="A1341" s="5">
        <v>1280</v>
      </c>
      <c r="B1341" s="138">
        <f>'Expenditures 15-22'!D182</f>
        <v>165614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165614</v>
      </c>
      <c r="C1345" s="2" t="s">
        <v>593</v>
      </c>
      <c r="D1345" s="2" t="str">
        <f t="shared" si="20"/>
        <v>Error?</v>
      </c>
    </row>
    <row r="1346" spans="1:4" x14ac:dyDescent="0.2">
      <c r="A1346" s="5">
        <v>1285</v>
      </c>
      <c r="B1346" s="138">
        <f>'Expenditures 15-22'!D210</f>
        <v>165614</v>
      </c>
      <c r="C1346" s="2" t="s">
        <v>593</v>
      </c>
      <c r="D1346" s="2" t="str">
        <f t="shared" si="20"/>
        <v>Error?</v>
      </c>
    </row>
    <row r="1347" spans="1:4" x14ac:dyDescent="0.2">
      <c r="A1347" s="5">
        <v>1286</v>
      </c>
      <c r="B1347" s="138">
        <f>'Expenditures 15-22'!E182</f>
        <v>55556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55556</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55556</v>
      </c>
      <c r="C1353" s="2" t="s">
        <v>593</v>
      </c>
      <c r="D1353" s="2" t="str">
        <f t="shared" si="20"/>
        <v>Error?</v>
      </c>
    </row>
    <row r="1354" spans="1:4" x14ac:dyDescent="0.2">
      <c r="A1354" s="5">
        <v>1293</v>
      </c>
      <c r="B1354" s="138">
        <f>'Expenditures 15-22'!F182</f>
        <v>222610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222610</v>
      </c>
      <c r="C1358" s="2" t="s">
        <v>593</v>
      </c>
      <c r="D1358" s="2" t="str">
        <f t="shared" si="20"/>
        <v>Error?</v>
      </c>
    </row>
    <row r="1359" spans="1:4" x14ac:dyDescent="0.2">
      <c r="A1359" s="5">
        <v>1298</v>
      </c>
      <c r="B1359" s="138">
        <f>'Expenditures 15-22'!F210</f>
        <v>222610</v>
      </c>
      <c r="C1359" s="2" t="s">
        <v>593</v>
      </c>
      <c r="D1359" s="2" t="str">
        <f t="shared" si="20"/>
        <v>Error?</v>
      </c>
    </row>
    <row r="1360" spans="1:4" x14ac:dyDescent="0.2">
      <c r="A1360" s="5">
        <v>1299</v>
      </c>
      <c r="B1360" s="138">
        <f>'Expenditures 15-22'!G182</f>
        <v>657849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657849</v>
      </c>
      <c r="C1364" s="2" t="s">
        <v>593</v>
      </c>
      <c r="D1364" s="2" t="str">
        <f t="shared" si="20"/>
        <v>Error?</v>
      </c>
    </row>
    <row r="1365" spans="1:4" x14ac:dyDescent="0.2">
      <c r="A1365" s="5">
        <v>1304</v>
      </c>
      <c r="B1365" s="138">
        <f>'Expenditures 15-22'!G210</f>
        <v>657849</v>
      </c>
      <c r="C1365" s="2" t="s">
        <v>593</v>
      </c>
      <c r="D1365" s="2" t="str">
        <f t="shared" si="20"/>
        <v>Error?</v>
      </c>
    </row>
    <row r="1366" spans="1:4" x14ac:dyDescent="0.2">
      <c r="A1366" s="5">
        <v>1305</v>
      </c>
      <c r="B1366" s="138">
        <f>'Expenditures 15-22'!H182</f>
        <v>522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522</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39288</v>
      </c>
      <c r="C1376" s="2" t="s">
        <v>593</v>
      </c>
      <c r="D1376" s="2" t="str">
        <f t="shared" si="20"/>
        <v>Error?</v>
      </c>
    </row>
    <row r="1377" spans="1:4" x14ac:dyDescent="0.2">
      <c r="A1377" s="5">
        <v>1316</v>
      </c>
      <c r="B1377" s="138">
        <f>'Expenditures 15-22'!K182</f>
        <v>1897449</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1897449</v>
      </c>
      <c r="C1381" s="2" t="s">
        <v>593</v>
      </c>
      <c r="D1381" s="2" t="str">
        <f t="shared" si="20"/>
        <v>Error?</v>
      </c>
    </row>
    <row r="1382" spans="1:4" x14ac:dyDescent="0.2">
      <c r="A1382" s="5">
        <v>1321</v>
      </c>
      <c r="B1382" s="138">
        <f>'Expenditures 15-22'!K196</f>
        <v>38766</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1936215</v>
      </c>
      <c r="C1388" s="2" t="s">
        <v>593</v>
      </c>
      <c r="D1388" s="2" t="str">
        <f t="shared" si="20"/>
        <v>Error?</v>
      </c>
    </row>
    <row r="1389" spans="1:4" x14ac:dyDescent="0.2">
      <c r="A1389" s="5">
        <v>1328</v>
      </c>
      <c r="B1389" s="138">
        <f>'Expenditures 15-22'!K211</f>
        <v>-410318</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7667</v>
      </c>
      <c r="D1407" s="2" t="str">
        <f t="shared" ref="D1407:D1470" si="21">IF(ISBLANK(B1407),"OK",IF(A1407-B1407=0,"OK","Error?"))</f>
        <v>Error?</v>
      </c>
    </row>
    <row r="1408" spans="1:4" x14ac:dyDescent="0.2">
      <c r="A1408" s="5">
        <v>1347</v>
      </c>
      <c r="B1408" s="138">
        <f>'Expenditures 15-22'!D223</f>
        <v>4627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180726</v>
      </c>
      <c r="C1410" s="2" t="s">
        <v>593</v>
      </c>
      <c r="D1410" s="2" t="str">
        <f t="shared" si="21"/>
        <v>Error?</v>
      </c>
    </row>
    <row r="1411" spans="1:4" x14ac:dyDescent="0.2">
      <c r="A1411" s="5">
        <v>1350</v>
      </c>
      <c r="B1411" s="138">
        <f>'Expenditures 15-22'!D232</f>
        <v>540</v>
      </c>
      <c r="D1411" s="2" t="str">
        <f t="shared" si="21"/>
        <v>Error?</v>
      </c>
    </row>
    <row r="1412" spans="1:4" x14ac:dyDescent="0.2">
      <c r="A1412" s="5">
        <v>1351</v>
      </c>
      <c r="B1412" s="138">
        <f>'Expenditures 15-22'!D233</f>
        <v>1151</v>
      </c>
      <c r="D1412" s="2" t="str">
        <f t="shared" si="21"/>
        <v>Error?</v>
      </c>
    </row>
    <row r="1413" spans="1:4" x14ac:dyDescent="0.2">
      <c r="A1413" s="5">
        <v>1352</v>
      </c>
      <c r="B1413" s="138">
        <f>'Expenditures 15-22'!D234</f>
        <v>14740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1903</v>
      </c>
      <c r="D1415" s="2" t="str">
        <f t="shared" si="21"/>
        <v>Error?</v>
      </c>
    </row>
    <row r="1416" spans="1:4" x14ac:dyDescent="0.2">
      <c r="A1416" s="5">
        <v>1355</v>
      </c>
      <c r="B1416" s="138">
        <f>'Expenditures 15-22'!D237</f>
        <v>4774</v>
      </c>
      <c r="D1416" s="2" t="str">
        <f t="shared" si="21"/>
        <v>Error?</v>
      </c>
    </row>
    <row r="1417" spans="1:4" x14ac:dyDescent="0.2">
      <c r="A1417" s="5">
        <v>1356</v>
      </c>
      <c r="B1417" s="138">
        <f>'Expenditures 15-22'!D238</f>
        <v>23108</v>
      </c>
      <c r="C1417" s="2" t="s">
        <v>593</v>
      </c>
      <c r="D1417" s="2" t="str">
        <f t="shared" si="21"/>
        <v>Error?</v>
      </c>
    </row>
    <row r="1418" spans="1:4" x14ac:dyDescent="0.2">
      <c r="A1418" s="5">
        <v>1357</v>
      </c>
      <c r="B1418" s="138">
        <f>'Expenditures 15-22'!D240</f>
        <v>208</v>
      </c>
      <c r="D1418" s="2" t="str">
        <f t="shared" si="21"/>
        <v>Error?</v>
      </c>
    </row>
    <row r="1419" spans="1:4" x14ac:dyDescent="0.2">
      <c r="A1419" s="5">
        <v>1358</v>
      </c>
      <c r="B1419" s="138">
        <f>'Expenditures 15-22'!D241</f>
        <v>26220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26428</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16528</v>
      </c>
      <c r="D1423" s="2" t="str">
        <f t="shared" si="21"/>
        <v>Error?</v>
      </c>
    </row>
    <row r="1424" spans="1:4" x14ac:dyDescent="0.2">
      <c r="A1424" s="5">
        <v>1363</v>
      </c>
      <c r="B1424" s="138">
        <f>'Expenditures 15-22'!D257</f>
        <v>24836</v>
      </c>
      <c r="C1424" s="2" t="s">
        <v>593</v>
      </c>
      <c r="D1424" s="2" t="str">
        <f t="shared" si="21"/>
        <v>Error?</v>
      </c>
    </row>
    <row r="1425" spans="1:4" x14ac:dyDescent="0.2">
      <c r="A1425" s="5">
        <v>1364</v>
      </c>
      <c r="B1425" s="138">
        <f>'Expenditures 15-22'!D259</f>
        <v>53318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53318</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14284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114583</v>
      </c>
      <c r="D1431" s="2" t="str">
        <f t="shared" si="21"/>
        <v>Error?</v>
      </c>
    </row>
    <row r="1432" spans="1:4" x14ac:dyDescent="0.2">
      <c r="A1432" s="5">
        <v>1371</v>
      </c>
      <c r="B1432" s="138">
        <f>'Expenditures 15-22'!D267</f>
        <v>217035</v>
      </c>
      <c r="D1432" s="2" t="str">
        <f t="shared" si="21"/>
        <v>Error?</v>
      </c>
    </row>
    <row r="1433" spans="1:4" x14ac:dyDescent="0.2">
      <c r="A1433" s="5">
        <v>1372</v>
      </c>
      <c r="B1433" s="138">
        <f>'Expenditures 15-22'!D268</f>
        <v>48537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394439</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522129</v>
      </c>
      <c r="C1446" s="2" t="s">
        <v>593</v>
      </c>
      <c r="D1446" s="2" t="str">
        <f t="shared" si="21"/>
        <v>Error?</v>
      </c>
    </row>
    <row r="1447" spans="1:4" x14ac:dyDescent="0.2">
      <c r="A1447" s="5">
        <v>1386</v>
      </c>
      <c r="B1447" s="138">
        <f>'Expenditures 15-22'!D280</f>
        <v>335</v>
      </c>
      <c r="D1447" s="2" t="str">
        <f t="shared" si="21"/>
        <v>Error?</v>
      </c>
    </row>
    <row r="1448" spans="1:4" x14ac:dyDescent="0.2">
      <c r="A1448" s="5">
        <v>1387</v>
      </c>
      <c r="B1448" s="138">
        <f>'Expenditures 15-22'!D295</f>
        <v>710538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7667</v>
      </c>
      <c r="C1471" s="2" t="s">
        <v>593</v>
      </c>
      <c r="D1471" s="2" t="str">
        <f t="shared" ref="D1471:D1534" si="22">IF(ISBLANK(B1471),"OK",IF(A1471-B1471=0,"OK","Error?"))</f>
        <v>Error?</v>
      </c>
    </row>
    <row r="1472" spans="1:4" x14ac:dyDescent="0.2">
      <c r="A1472" s="5">
        <v>1411</v>
      </c>
      <c r="B1472" s="138">
        <f>'Expenditures 15-22'!K223</f>
        <v>4627</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180726</v>
      </c>
      <c r="C1474" s="2" t="s">
        <v>593</v>
      </c>
      <c r="D1474" s="2" t="str">
        <f t="shared" si="22"/>
        <v>Error?</v>
      </c>
    </row>
    <row r="1475" spans="1:4" x14ac:dyDescent="0.2">
      <c r="A1475" s="5">
        <v>1414</v>
      </c>
      <c r="B1475" s="138">
        <f>'Expenditures 15-22'!K232</f>
        <v>540</v>
      </c>
      <c r="C1475" s="2" t="s">
        <v>593</v>
      </c>
      <c r="D1475" s="2" t="str">
        <f t="shared" si="22"/>
        <v>Error?</v>
      </c>
    </row>
    <row r="1476" spans="1:4" x14ac:dyDescent="0.2">
      <c r="A1476" s="5">
        <v>1415</v>
      </c>
      <c r="B1476" s="138">
        <f>'Expenditures 15-22'!K233</f>
        <v>1151</v>
      </c>
      <c r="C1476" s="2" t="s">
        <v>593</v>
      </c>
      <c r="D1476" s="2" t="str">
        <f t="shared" si="22"/>
        <v>Error?</v>
      </c>
    </row>
    <row r="1477" spans="1:4" x14ac:dyDescent="0.2">
      <c r="A1477" s="5">
        <v>1416</v>
      </c>
      <c r="B1477" s="138">
        <f>'Expenditures 15-22'!K234</f>
        <v>14740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1903</v>
      </c>
      <c r="C1479" s="2" t="s">
        <v>593</v>
      </c>
      <c r="D1479" s="2" t="str">
        <f t="shared" si="22"/>
        <v>Error?</v>
      </c>
    </row>
    <row r="1480" spans="1:4" x14ac:dyDescent="0.2">
      <c r="A1480" s="5">
        <v>1419</v>
      </c>
      <c r="B1480" s="138">
        <f>'Expenditures 15-22'!K237</f>
        <v>4774</v>
      </c>
      <c r="C1480" s="2" t="s">
        <v>593</v>
      </c>
      <c r="D1480" s="2" t="str">
        <f t="shared" si="22"/>
        <v>Error?</v>
      </c>
    </row>
    <row r="1481" spans="1:4" x14ac:dyDescent="0.2">
      <c r="A1481" s="5">
        <v>1420</v>
      </c>
      <c r="B1481" s="138">
        <f>'Expenditures 15-22'!K238</f>
        <v>23108</v>
      </c>
      <c r="C1481" s="2" t="s">
        <v>593</v>
      </c>
      <c r="D1481" s="2" t="str">
        <f t="shared" si="22"/>
        <v>Error?</v>
      </c>
    </row>
    <row r="1482" spans="1:4" x14ac:dyDescent="0.2">
      <c r="A1482" s="5">
        <v>1421</v>
      </c>
      <c r="B1482" s="138">
        <f>'Expenditures 15-22'!K240</f>
        <v>208</v>
      </c>
      <c r="C1482" s="2" t="s">
        <v>593</v>
      </c>
      <c r="D1482" s="2" t="str">
        <f t="shared" si="22"/>
        <v>Error?</v>
      </c>
    </row>
    <row r="1483" spans="1:4" x14ac:dyDescent="0.2">
      <c r="A1483" s="5">
        <v>1422</v>
      </c>
      <c r="B1483" s="138">
        <f>'Expenditures 15-22'!K241</f>
        <v>26220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26428</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16528</v>
      </c>
      <c r="C1487" s="2" t="s">
        <v>593</v>
      </c>
      <c r="D1487" s="2" t="str">
        <f t="shared" si="22"/>
        <v>Error?</v>
      </c>
    </row>
    <row r="1488" spans="1:4" x14ac:dyDescent="0.2">
      <c r="A1488" s="5">
        <v>1427</v>
      </c>
      <c r="B1488" s="138">
        <f>'Expenditures 15-22'!K257</f>
        <v>24836</v>
      </c>
      <c r="C1488" s="2" t="s">
        <v>593</v>
      </c>
      <c r="D1488" s="2" t="str">
        <f t="shared" si="22"/>
        <v>Error?</v>
      </c>
    </row>
    <row r="1489" spans="1:4" x14ac:dyDescent="0.2">
      <c r="A1489" s="5">
        <v>1428</v>
      </c>
      <c r="B1489" s="138">
        <f>'Expenditures 15-22'!K259</f>
        <v>53318</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53318</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14284</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114583</v>
      </c>
      <c r="C1495" s="2" t="s">
        <v>593</v>
      </c>
      <c r="D1495" s="2" t="str">
        <f t="shared" si="22"/>
        <v>Error?</v>
      </c>
    </row>
    <row r="1496" spans="1:4" x14ac:dyDescent="0.2">
      <c r="A1496" s="5">
        <v>1435</v>
      </c>
      <c r="B1496" s="138">
        <f>'Expenditures 15-22'!K267</f>
        <v>217035</v>
      </c>
      <c r="C1496" s="2" t="s">
        <v>593</v>
      </c>
      <c r="D1496" s="2" t="str">
        <f t="shared" si="22"/>
        <v>Error?</v>
      </c>
    </row>
    <row r="1497" spans="1:4" x14ac:dyDescent="0.2">
      <c r="A1497" s="5">
        <v>1436</v>
      </c>
      <c r="B1497" s="138">
        <f>'Expenditures 15-22'!K268</f>
        <v>48537</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394439</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522129</v>
      </c>
      <c r="C1510" s="2" t="s">
        <v>593</v>
      </c>
      <c r="D1510" s="2" t="str">
        <f t="shared" si="22"/>
        <v>Error?</v>
      </c>
    </row>
    <row r="1511" spans="1:4" x14ac:dyDescent="0.2">
      <c r="A1511" s="5">
        <v>1450</v>
      </c>
      <c r="B1511" s="138">
        <f>'Expenditures 15-22'!K280</f>
        <v>335</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710538</v>
      </c>
      <c r="C1517" s="2" t="s">
        <v>593</v>
      </c>
      <c r="D1517" s="2" t="str">
        <f t="shared" si="22"/>
        <v>Error?</v>
      </c>
    </row>
    <row r="1518" spans="1:4" x14ac:dyDescent="0.2">
      <c r="A1518" s="5">
        <v>1457</v>
      </c>
      <c r="B1518" s="138">
        <f>'Expenditures 15-22'!K296</f>
        <v>-78829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593</v>
      </c>
      <c r="D1535" s="2" t="str">
        <f t="shared" ref="D1535:D1598" si="23">IF(ISBLANK(B1535),"OK",IF(A1535-B1535=0,"OK","Error?"))</f>
        <v>Error?</v>
      </c>
    </row>
    <row r="1536" spans="1:4" x14ac:dyDescent="0.2">
      <c r="A1536" s="5">
        <v>1475</v>
      </c>
      <c r="B1536" s="138">
        <f>'Expenditures 15-22'!E312</f>
        <v>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0</v>
      </c>
      <c r="C1559" s="2" t="s">
        <v>593</v>
      </c>
      <c r="D1559" s="2" t="str">
        <f t="shared" si="23"/>
        <v>Error?</v>
      </c>
    </row>
    <row r="1560" spans="1:4" x14ac:dyDescent="0.2">
      <c r="A1560" s="5">
        <v>1499</v>
      </c>
      <c r="B1560" s="138">
        <f>'Expenditures 15-22'!K312</f>
        <v>0</v>
      </c>
      <c r="C1560" s="2" t="s">
        <v>593</v>
      </c>
      <c r="D1560" s="2" t="str">
        <f t="shared" si="23"/>
        <v>Error?</v>
      </c>
    </row>
    <row r="1561" spans="1:4" x14ac:dyDescent="0.2">
      <c r="A1561" s="5">
        <v>1500</v>
      </c>
      <c r="B1561" s="138">
        <f>'Expenditures 15-22'!K313</f>
        <v>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771507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1320252</v>
      </c>
      <c r="C1630" s="2" t="s">
        <v>593</v>
      </c>
      <c r="D1630" s="2" t="str">
        <f t="shared" si="24"/>
        <v>Error?</v>
      </c>
    </row>
    <row r="1631" spans="1:4" x14ac:dyDescent="0.2">
      <c r="A1631" s="5">
        <v>1570</v>
      </c>
      <c r="B1631" s="138">
        <f>'Acct Summary 7-8'!D79</f>
        <v>986788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992812</v>
      </c>
      <c r="C1644" s="2" t="s">
        <v>593</v>
      </c>
      <c r="D1644" s="2" t="str">
        <f t="shared" si="24"/>
        <v>Error?</v>
      </c>
    </row>
    <row r="1645" spans="1:4" x14ac:dyDescent="0.2">
      <c r="A1645" s="5">
        <v>1584</v>
      </c>
      <c r="B1645" s="138">
        <f>'Acct Summary 7-8'!E79</f>
        <v>192699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194507</v>
      </c>
      <c r="C1658" s="2" t="s">
        <v>593</v>
      </c>
      <c r="D1658" s="2" t="str">
        <f t="shared" si="24"/>
        <v>Error?</v>
      </c>
    </row>
    <row r="1659" spans="1:4" x14ac:dyDescent="0.2">
      <c r="A1659" s="5">
        <v>1598</v>
      </c>
      <c r="B1659" s="138">
        <f>'Acct Summary 7-8'!F79</f>
        <v>-399809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85531</v>
      </c>
      <c r="C1672" s="2" t="s">
        <v>593</v>
      </c>
      <c r="D1672" s="2" t="str">
        <f t="shared" si="25"/>
        <v>Error?</v>
      </c>
    </row>
    <row r="1673" spans="1:4" x14ac:dyDescent="0.2">
      <c r="A1673" s="5">
        <v>1612</v>
      </c>
      <c r="B1673" s="138">
        <f>'Acct Summary 7-8'!G79</f>
        <v>753791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674962</v>
      </c>
      <c r="C1686" s="2" t="s">
        <v>593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3921204</v>
      </c>
      <c r="C1744" s="2" t="s">
        <v>593</v>
      </c>
      <c r="D1744" s="2" t="str">
        <f t="shared" si="26"/>
        <v>Error?</v>
      </c>
    </row>
    <row r="1745" spans="1:5" x14ac:dyDescent="0.2">
      <c r="A1745" s="5">
        <v>1684</v>
      </c>
      <c r="B1745" s="138">
        <f>'Tax Sched 23'!B5</f>
        <v>980314</v>
      </c>
      <c r="C1745" s="2" t="s">
        <v>593</v>
      </c>
      <c r="D1745" s="2" t="str">
        <f t="shared" si="26"/>
        <v>Error?</v>
      </c>
    </row>
    <row r="1746" spans="1:5" x14ac:dyDescent="0.2">
      <c r="A1746" s="5">
        <v>1685</v>
      </c>
      <c r="B1746" s="138">
        <f>'Tax Sched 23'!B6</f>
        <v>739979</v>
      </c>
      <c r="C1746" s="2" t="s">
        <v>593</v>
      </c>
      <c r="D1746" s="2" t="str">
        <f t="shared" si="26"/>
        <v>Error?</v>
      </c>
    </row>
    <row r="1747" spans="1:5" x14ac:dyDescent="0.2">
      <c r="A1747" s="5">
        <v>1686</v>
      </c>
      <c r="B1747" s="138">
        <f>'Tax Sched 23'!B7</f>
        <v>392129</v>
      </c>
      <c r="C1747" s="2" t="s">
        <v>593</v>
      </c>
      <c r="D1747" s="2" t="str">
        <f t="shared" si="26"/>
        <v>Error?</v>
      </c>
    </row>
    <row r="1748" spans="1:5" x14ac:dyDescent="0.2">
      <c r="A1748" s="5">
        <v>1687</v>
      </c>
      <c r="B1748" s="138">
        <f>'Tax Sched 23'!B8</f>
        <v>199819</v>
      </c>
      <c r="C1748" s="2" t="s">
        <v>593</v>
      </c>
      <c r="D1748" s="2" t="str">
        <f t="shared" si="26"/>
        <v>Error?</v>
      </c>
    </row>
    <row r="1749" spans="1:5" x14ac:dyDescent="0.2">
      <c r="A1749" s="5">
        <v>1688</v>
      </c>
      <c r="B1749" s="138">
        <f>'Tax Sched 23'!B10</f>
        <v>98032</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1198809</v>
      </c>
      <c r="C1752" s="2" t="s">
        <v>593</v>
      </c>
      <c r="D1752" s="2" t="str">
        <f t="shared" si="26"/>
        <v>Error?</v>
      </c>
    </row>
    <row r="1753" spans="1:5" x14ac:dyDescent="0.2">
      <c r="A1753" s="5">
        <v>1692</v>
      </c>
      <c r="B1753" s="138">
        <f>'Tax Sched 23'!B12</f>
        <v>98032</v>
      </c>
      <c r="C1753" s="2" t="s">
        <v>593</v>
      </c>
      <c r="D1753" s="2" t="str">
        <f t="shared" si="26"/>
        <v>Error?</v>
      </c>
    </row>
    <row r="1754" spans="1:5" x14ac:dyDescent="0.2">
      <c r="A1754" s="5">
        <v>1693</v>
      </c>
      <c r="B1754" s="138">
        <f>'Tax Sched 23'!B14</f>
        <v>78429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8044538</v>
      </c>
      <c r="C1759" s="2" t="s">
        <v>593</v>
      </c>
      <c r="D1759" s="2" t="str">
        <f t="shared" si="26"/>
        <v>Error?</v>
      </c>
    </row>
    <row r="1760" spans="1:5" x14ac:dyDescent="0.2">
      <c r="A1760" s="5">
        <v>1699</v>
      </c>
      <c r="B1760" s="138">
        <f>'Tax Sched 23'!D4</f>
        <v>3921204</v>
      </c>
      <c r="C1760" s="2" t="s">
        <v>593</v>
      </c>
      <c r="D1760" s="2" t="str">
        <f t="shared" si="26"/>
        <v>Error?</v>
      </c>
    </row>
    <row r="1761" spans="1:5" x14ac:dyDescent="0.2">
      <c r="A1761" s="5">
        <v>1700</v>
      </c>
      <c r="B1761" s="138">
        <f>'Tax Sched 23'!D5</f>
        <v>980314</v>
      </c>
      <c r="C1761" s="2" t="s">
        <v>593</v>
      </c>
      <c r="D1761" s="2" t="str">
        <f t="shared" si="26"/>
        <v>Error?</v>
      </c>
    </row>
    <row r="1762" spans="1:5" s="8" customFormat="1" x14ac:dyDescent="0.2">
      <c r="A1762" s="5">
        <v>1701</v>
      </c>
      <c r="B1762" s="138">
        <f>'Tax Sched 23'!D6</f>
        <v>739979</v>
      </c>
      <c r="C1762" s="2" t="s">
        <v>593</v>
      </c>
      <c r="D1762" s="2" t="str">
        <f t="shared" si="26"/>
        <v>Error?</v>
      </c>
      <c r="E1762" s="9"/>
    </row>
    <row r="1763" spans="1:5" x14ac:dyDescent="0.2">
      <c r="A1763" s="5">
        <v>1702</v>
      </c>
      <c r="B1763" s="138">
        <f>'Tax Sched 23'!D7</f>
        <v>392129</v>
      </c>
      <c r="C1763" s="2" t="s">
        <v>593</v>
      </c>
      <c r="D1763" s="2" t="str">
        <f t="shared" si="26"/>
        <v>Error?</v>
      </c>
    </row>
    <row r="1764" spans="1:5" x14ac:dyDescent="0.2">
      <c r="A1764" s="5">
        <v>1703</v>
      </c>
      <c r="B1764" s="138">
        <f>'Tax Sched 23'!D8</f>
        <v>199819</v>
      </c>
      <c r="C1764" s="2" t="s">
        <v>593</v>
      </c>
      <c r="D1764" s="2" t="str">
        <f t="shared" si="26"/>
        <v>Error?</v>
      </c>
    </row>
    <row r="1765" spans="1:5" x14ac:dyDescent="0.2">
      <c r="A1765" s="5">
        <v>1704</v>
      </c>
      <c r="B1765" s="138">
        <f>'Tax Sched 23'!D10</f>
        <v>98032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1198809</v>
      </c>
      <c r="C1768" s="2" t="s">
        <v>593</v>
      </c>
      <c r="D1768" s="2" t="str">
        <f t="shared" si="26"/>
        <v>Error?</v>
      </c>
    </row>
    <row r="1769" spans="1:5" x14ac:dyDescent="0.2">
      <c r="A1769" s="5">
        <v>1708</v>
      </c>
      <c r="B1769" s="138">
        <f>'Tax Sched 23'!D12</f>
        <v>98032</v>
      </c>
      <c r="C1769" s="2" t="s">
        <v>593</v>
      </c>
      <c r="D1769" s="2" t="str">
        <f t="shared" si="26"/>
        <v>Error?</v>
      </c>
    </row>
    <row r="1770" spans="1:5" x14ac:dyDescent="0.2">
      <c r="A1770" s="5">
        <v>1709</v>
      </c>
      <c r="B1770" s="138">
        <f>'Tax Sched 23'!D14</f>
        <v>78429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8044538</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3398047</v>
      </c>
      <c r="C1792" s="2" t="s">
        <v>593</v>
      </c>
      <c r="D1792" s="2" t="str">
        <f t="shared" si="27"/>
        <v>Error?</v>
      </c>
    </row>
    <row r="1793" spans="1:4" x14ac:dyDescent="0.2">
      <c r="A1793" s="5">
        <v>1732</v>
      </c>
      <c r="B1793" s="138">
        <f>'Tax Sched 23'!F5</f>
        <v>849512</v>
      </c>
      <c r="C1793" s="2" t="s">
        <v>593</v>
      </c>
      <c r="D1793" s="2" t="str">
        <f t="shared" si="27"/>
        <v>Error?</v>
      </c>
    </row>
    <row r="1794" spans="1:4" x14ac:dyDescent="0.2">
      <c r="A1794" s="5">
        <v>1733</v>
      </c>
      <c r="B1794" s="138">
        <f>'Tax Sched 23'!F6</f>
        <v>740333</v>
      </c>
      <c r="C1794" s="2" t="s">
        <v>593</v>
      </c>
      <c r="D1794" s="2" t="str">
        <f t="shared" si="27"/>
        <v>Error?</v>
      </c>
    </row>
    <row r="1795" spans="1:4" x14ac:dyDescent="0.2">
      <c r="A1795" s="5">
        <v>1734</v>
      </c>
      <c r="B1795" s="138">
        <f>'Tax Sched 23'!F7</f>
        <v>339805</v>
      </c>
      <c r="C1795" s="2" t="s">
        <v>593</v>
      </c>
      <c r="D1795" s="2" t="str">
        <f t="shared" si="27"/>
        <v>Error?</v>
      </c>
    </row>
    <row r="1796" spans="1:4" x14ac:dyDescent="0.2">
      <c r="A1796" s="5">
        <v>1735</v>
      </c>
      <c r="B1796" s="138">
        <f>'Tax Sched 23'!F8</f>
        <v>250147</v>
      </c>
      <c r="C1796" s="2" t="s">
        <v>593</v>
      </c>
      <c r="D1796" s="2" t="str">
        <f t="shared" si="27"/>
        <v>Error?</v>
      </c>
    </row>
    <row r="1797" spans="1:4" x14ac:dyDescent="0.2">
      <c r="A1797" s="5">
        <v>1736</v>
      </c>
      <c r="B1797" s="138">
        <f>'Tax Sched 23'!F10</f>
        <v>84951</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1400760</v>
      </c>
      <c r="C1800" s="2" t="s">
        <v>593</v>
      </c>
      <c r="D1800" s="2" t="str">
        <f t="shared" si="27"/>
        <v>Error?</v>
      </c>
    </row>
    <row r="1801" spans="1:4" x14ac:dyDescent="0.2">
      <c r="A1801" s="5">
        <v>1740</v>
      </c>
      <c r="B1801" s="138">
        <f>'Tax Sched 23'!F12</f>
        <v>84951</v>
      </c>
      <c r="C1801" s="2" t="s">
        <v>593</v>
      </c>
      <c r="D1801" s="2" t="str">
        <f t="shared" si="27"/>
        <v>Error?</v>
      </c>
    </row>
    <row r="1802" spans="1:4" x14ac:dyDescent="0.2">
      <c r="A1802" s="5">
        <v>1741</v>
      </c>
      <c r="B1802" s="138">
        <f>'Tax Sched 23'!F14</f>
        <v>67961</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7576575</v>
      </c>
      <c r="C1807" s="2" t="s">
        <v>593</v>
      </c>
      <c r="D1807" s="2" t="str">
        <f t="shared" si="27"/>
        <v>Error?</v>
      </c>
    </row>
    <row r="1808" spans="1:4" x14ac:dyDescent="0.2">
      <c r="A1808" s="5">
        <v>1747</v>
      </c>
      <c r="B1808" s="138">
        <f>'Tax Sched 23'!E4</f>
        <v>3398047</v>
      </c>
      <c r="D1808" s="2" t="str">
        <f t="shared" si="27"/>
        <v>Error?</v>
      </c>
    </row>
    <row r="1809" spans="1:4" x14ac:dyDescent="0.2">
      <c r="A1809" s="5">
        <v>1748</v>
      </c>
      <c r="B1809" s="138">
        <f>'Tax Sched 23'!E5</f>
        <v>849512</v>
      </c>
      <c r="D1809" s="2" t="str">
        <f t="shared" si="27"/>
        <v>Error?</v>
      </c>
    </row>
    <row r="1810" spans="1:4" x14ac:dyDescent="0.2">
      <c r="A1810" s="5">
        <v>1749</v>
      </c>
      <c r="B1810" s="138">
        <f>'Tax Sched 23'!E6</f>
        <v>740333</v>
      </c>
      <c r="D1810" s="2" t="str">
        <f t="shared" si="27"/>
        <v>Error?</v>
      </c>
    </row>
    <row r="1811" spans="1:4" x14ac:dyDescent="0.2">
      <c r="A1811" s="5">
        <v>1750</v>
      </c>
      <c r="B1811" s="138">
        <f>'Tax Sched 23'!E7</f>
        <v>339805</v>
      </c>
      <c r="D1811" s="2" t="str">
        <f t="shared" si="27"/>
        <v>Error?</v>
      </c>
    </row>
    <row r="1812" spans="1:4" x14ac:dyDescent="0.2">
      <c r="A1812" s="5">
        <v>1751</v>
      </c>
      <c r="B1812" s="138">
        <f>'Tax Sched 23'!E8</f>
        <v>250147</v>
      </c>
      <c r="D1812" s="2" t="str">
        <f t="shared" si="27"/>
        <v>Error?</v>
      </c>
    </row>
    <row r="1813" spans="1:4" x14ac:dyDescent="0.2">
      <c r="A1813" s="5">
        <v>1752</v>
      </c>
      <c r="B1813" s="138">
        <f>'Tax Sched 23'!E10</f>
        <v>84951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1400760</v>
      </c>
      <c r="D1816" s="2" t="str">
        <f t="shared" si="27"/>
        <v>Error?</v>
      </c>
    </row>
    <row r="1817" spans="1:4" x14ac:dyDescent="0.2">
      <c r="A1817" s="5">
        <v>1756</v>
      </c>
      <c r="B1817" s="138">
        <f>'Tax Sched 23'!E12</f>
        <v>84951</v>
      </c>
      <c r="D1817" s="2" t="str">
        <f t="shared" si="27"/>
        <v>Error?</v>
      </c>
    </row>
    <row r="1818" spans="1:4" x14ac:dyDescent="0.2">
      <c r="A1818" s="5">
        <v>1757</v>
      </c>
      <c r="B1818" s="138">
        <f>'Tax Sched 23'!E14</f>
        <v>67961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7576575</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7236213</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78429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78429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78429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98019</v>
      </c>
      <c r="D2008" s="2" t="str">
        <f t="shared" si="30"/>
        <v>Error?</v>
      </c>
    </row>
    <row r="2009" spans="1:4" x14ac:dyDescent="0.2">
      <c r="A2009" s="5">
        <v>1948</v>
      </c>
      <c r="B2009" s="138">
        <f>'Cap Outlay Deprec 26'!C8</f>
        <v>30105756</v>
      </c>
      <c r="D2009" s="2" t="str">
        <f t="shared" si="30"/>
        <v>Error?</v>
      </c>
    </row>
    <row r="2010" spans="1:4" x14ac:dyDescent="0.2">
      <c r="A2010" s="5">
        <v>1949</v>
      </c>
      <c r="B2010" s="138">
        <f>'Cap Outlay Deprec 26'!C10</f>
        <v>3124176</v>
      </c>
      <c r="D2010" s="2" t="str">
        <f t="shared" si="30"/>
        <v>Error?</v>
      </c>
    </row>
    <row r="2011" spans="1:4" x14ac:dyDescent="0.2">
      <c r="A2011" s="5">
        <v>1950</v>
      </c>
      <c r="B2011" s="138">
        <f>'Cap Outlay Deprec 26'!C12</f>
        <v>1099596</v>
      </c>
      <c r="D2011" s="2" t="str">
        <f t="shared" si="30"/>
        <v>Error?</v>
      </c>
    </row>
    <row r="2012" spans="1:4" x14ac:dyDescent="0.2">
      <c r="A2012" s="5">
        <v>1951</v>
      </c>
      <c r="B2012" s="138">
        <f>'Cap Outlay Deprec 26'!C13</f>
        <v>3108859</v>
      </c>
      <c r="D2012" s="2" t="str">
        <f t="shared" si="30"/>
        <v>Error?</v>
      </c>
    </row>
    <row r="2013" spans="1:4" x14ac:dyDescent="0.2">
      <c r="A2013" s="5">
        <v>1952</v>
      </c>
      <c r="B2013" s="138">
        <f>'Cap Outlay Deprec 26'!C16</f>
        <v>38091769</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33918</v>
      </c>
      <c r="D2015" s="2" t="str">
        <f t="shared" si="30"/>
        <v>Error?</v>
      </c>
    </row>
    <row r="2016" spans="1:4" x14ac:dyDescent="0.2">
      <c r="A2016" s="5">
        <v>1955</v>
      </c>
      <c r="B2016" s="138">
        <f>'Cap Outlay Deprec 26'!D10</f>
        <v>14186</v>
      </c>
      <c r="D2016" s="2" t="str">
        <f t="shared" si="30"/>
        <v>Error?</v>
      </c>
    </row>
    <row r="2017" spans="1:4" x14ac:dyDescent="0.2">
      <c r="A2017" s="5">
        <v>1956</v>
      </c>
      <c r="B2017" s="138">
        <f>'Cap Outlay Deprec 26'!D12</f>
        <v>78093</v>
      </c>
      <c r="D2017" s="2" t="str">
        <f t="shared" si="30"/>
        <v>Error?</v>
      </c>
    </row>
    <row r="2018" spans="1:4" x14ac:dyDescent="0.2">
      <c r="A2018" s="5">
        <v>1957</v>
      </c>
      <c r="B2018" s="138">
        <f>'Cap Outlay Deprec 26'!D13</f>
        <v>645658</v>
      </c>
      <c r="D2018" s="2" t="str">
        <f t="shared" si="30"/>
        <v>Error?</v>
      </c>
    </row>
    <row r="2019" spans="1:4" x14ac:dyDescent="0.2">
      <c r="A2019" s="5">
        <v>1958</v>
      </c>
      <c r="B2019" s="138">
        <f>'Cap Outlay Deprec 26'!D16</f>
        <v>875140</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413695</v>
      </c>
      <c r="D2024" s="2" t="str">
        <f t="shared" si="30"/>
        <v>Error?</v>
      </c>
    </row>
    <row r="2025" spans="1:4" x14ac:dyDescent="0.2">
      <c r="A2025" s="5">
        <v>1964</v>
      </c>
      <c r="B2025" s="138">
        <f>'Cap Outlay Deprec 26'!E16</f>
        <v>413695</v>
      </c>
      <c r="C2025" s="2" t="s">
        <v>593</v>
      </c>
      <c r="D2025" s="2" t="str">
        <f t="shared" si="30"/>
        <v>Error?</v>
      </c>
    </row>
    <row r="2026" spans="1:4" x14ac:dyDescent="0.2">
      <c r="A2026" s="5">
        <v>1965</v>
      </c>
      <c r="B2026" s="138">
        <f>'Cap Outlay Deprec 26'!F5</f>
        <v>98019</v>
      </c>
      <c r="C2026" s="2" t="s">
        <v>593</v>
      </c>
      <c r="D2026" s="2" t="str">
        <f t="shared" si="30"/>
        <v>Error?</v>
      </c>
    </row>
    <row r="2027" spans="1:4" x14ac:dyDescent="0.2">
      <c r="A2027" s="5">
        <v>1966</v>
      </c>
      <c r="B2027" s="138">
        <f>'Cap Outlay Deprec 26'!F8</f>
        <v>30139674</v>
      </c>
      <c r="C2027" s="2" t="s">
        <v>593</v>
      </c>
      <c r="D2027" s="2" t="str">
        <f t="shared" si="30"/>
        <v>Error?</v>
      </c>
    </row>
    <row r="2028" spans="1:4" x14ac:dyDescent="0.2">
      <c r="A2028" s="5">
        <v>1967</v>
      </c>
      <c r="B2028" s="138">
        <f>'Cap Outlay Deprec 26'!F10</f>
        <v>3138362</v>
      </c>
      <c r="C2028" s="2" t="s">
        <v>593</v>
      </c>
      <c r="D2028" s="2" t="str">
        <f t="shared" si="30"/>
        <v>Error?</v>
      </c>
    </row>
    <row r="2029" spans="1:4" x14ac:dyDescent="0.2">
      <c r="A2029" s="5">
        <v>1968</v>
      </c>
      <c r="B2029" s="138">
        <f>'Cap Outlay Deprec 26'!F12</f>
        <v>1177689</v>
      </c>
      <c r="C2029" s="2" t="s">
        <v>593</v>
      </c>
      <c r="D2029" s="2" t="str">
        <f t="shared" si="30"/>
        <v>Error?</v>
      </c>
    </row>
    <row r="2030" spans="1:4" x14ac:dyDescent="0.2">
      <c r="A2030" s="5">
        <v>1969</v>
      </c>
      <c r="B2030" s="138">
        <f>'Cap Outlay Deprec 26'!F13</f>
        <v>3340822</v>
      </c>
      <c r="C2030" s="2" t="s">
        <v>593</v>
      </c>
      <c r="D2030" s="2" t="str">
        <f t="shared" si="30"/>
        <v>Error?</v>
      </c>
    </row>
    <row r="2031" spans="1:4" x14ac:dyDescent="0.2">
      <c r="A2031" s="5">
        <v>1970</v>
      </c>
      <c r="B2031" s="138">
        <f>'Cap Outlay Deprec 26'!F16</f>
        <v>38553214</v>
      </c>
      <c r="C2031" s="2" t="s">
        <v>593</v>
      </c>
      <c r="D2031" s="2" t="str">
        <f t="shared" si="30"/>
        <v>Error?</v>
      </c>
    </row>
    <row r="2032" spans="1:4" x14ac:dyDescent="0.2">
      <c r="A2032" s="10">
        <v>1971</v>
      </c>
      <c r="D2032" s="2" t="str">
        <f t="shared" si="30"/>
        <v>OK</v>
      </c>
    </row>
    <row r="2033" spans="1:4" x14ac:dyDescent="0.2">
      <c r="A2033" s="5">
        <v>1972</v>
      </c>
      <c r="B2033" s="138">
        <f>'Cap Outlay Deprec 26'!H8</f>
        <v>7667750</v>
      </c>
      <c r="D2033" s="2" t="str">
        <f t="shared" si="30"/>
        <v>Error?</v>
      </c>
    </row>
    <row r="2034" spans="1:4" x14ac:dyDescent="0.2">
      <c r="A2034" s="5">
        <v>1973</v>
      </c>
      <c r="B2034" s="138">
        <f>'Cap Outlay Deprec 26'!H10</f>
        <v>1082152</v>
      </c>
      <c r="D2034" s="2" t="str">
        <f t="shared" si="30"/>
        <v>Error?</v>
      </c>
    </row>
    <row r="2035" spans="1:4" x14ac:dyDescent="0.2">
      <c r="A2035" s="5">
        <v>1974</v>
      </c>
      <c r="B2035" s="138">
        <f>'Cap Outlay Deprec 26'!H12</f>
        <v>842129</v>
      </c>
      <c r="D2035" s="2" t="str">
        <f t="shared" si="30"/>
        <v>Error?</v>
      </c>
    </row>
    <row r="2036" spans="1:4" x14ac:dyDescent="0.2">
      <c r="A2036" s="5">
        <v>1975</v>
      </c>
      <c r="B2036" s="138">
        <f>'Cap Outlay Deprec 26'!H13</f>
        <v>2952725</v>
      </c>
      <c r="D2036" s="2" t="str">
        <f t="shared" si="30"/>
        <v>Error?</v>
      </c>
    </row>
    <row r="2037" spans="1:4" x14ac:dyDescent="0.2">
      <c r="A2037" s="5">
        <v>1976</v>
      </c>
      <c r="B2037" s="138">
        <f>'Cap Outlay Deprec 26'!H16</f>
        <v>13006219</v>
      </c>
      <c r="C2037" s="2" t="s">
        <v>593</v>
      </c>
      <c r="D2037" s="2" t="str">
        <f t="shared" si="30"/>
        <v>Error?</v>
      </c>
    </row>
    <row r="2038" spans="1:4" x14ac:dyDescent="0.2">
      <c r="A2038" s="10">
        <v>1977</v>
      </c>
      <c r="D2038" s="2" t="str">
        <f t="shared" si="30"/>
        <v>OK</v>
      </c>
    </row>
    <row r="2039" spans="1:4" x14ac:dyDescent="0.2">
      <c r="A2039" s="5">
        <v>1978</v>
      </c>
      <c r="B2039" s="138">
        <f>'Cap Outlay Deprec 26'!I8</f>
        <v>633320</v>
      </c>
      <c r="D2039" s="2" t="str">
        <f t="shared" si="30"/>
        <v>Error?</v>
      </c>
    </row>
    <row r="2040" spans="1:4" x14ac:dyDescent="0.2">
      <c r="A2040" s="5">
        <v>1979</v>
      </c>
      <c r="B2040" s="138">
        <f>'Cap Outlay Deprec 26'!I10</f>
        <v>157364</v>
      </c>
      <c r="D2040" s="2" t="str">
        <f t="shared" si="30"/>
        <v>Error?</v>
      </c>
    </row>
    <row r="2041" spans="1:4" x14ac:dyDescent="0.2">
      <c r="A2041" s="5">
        <v>1980</v>
      </c>
      <c r="B2041" s="138">
        <f>'Cap Outlay Deprec 26'!I12</f>
        <v>41434</v>
      </c>
      <c r="D2041" s="2" t="str">
        <f t="shared" si="30"/>
        <v>Error?</v>
      </c>
    </row>
    <row r="2042" spans="1:4" x14ac:dyDescent="0.2">
      <c r="A2042" s="5">
        <v>1981</v>
      </c>
      <c r="B2042" s="138">
        <f>'Cap Outlay Deprec 26'!I13</f>
        <v>200357</v>
      </c>
      <c r="D2042" s="2" t="str">
        <f t="shared" si="30"/>
        <v>Error?</v>
      </c>
    </row>
    <row r="2043" spans="1:4" x14ac:dyDescent="0.2">
      <c r="A2043" s="5">
        <v>1982</v>
      </c>
      <c r="B2043" s="138">
        <f>'Cap Outlay Deprec 26'!I16</f>
        <v>1114999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413695</v>
      </c>
      <c r="D2048" s="2" t="str">
        <f t="shared" si="31"/>
        <v>Error?</v>
      </c>
    </row>
    <row r="2049" spans="1:4" x14ac:dyDescent="0.2">
      <c r="A2049" s="5">
        <v>1988</v>
      </c>
      <c r="B2049" s="138">
        <f>'Cap Outlay Deprec 26'!J16</f>
        <v>413695</v>
      </c>
      <c r="C2049" s="2" t="s">
        <v>593</v>
      </c>
      <c r="D2049" s="2" t="str">
        <f t="shared" si="31"/>
        <v>Error?</v>
      </c>
    </row>
    <row r="2050" spans="1:4" x14ac:dyDescent="0.2">
      <c r="A2050" s="10">
        <v>1989</v>
      </c>
      <c r="D2050" s="2" t="str">
        <f t="shared" si="31"/>
        <v>OK</v>
      </c>
    </row>
    <row r="2051" spans="1:4" x14ac:dyDescent="0.2">
      <c r="A2051" s="5">
        <v>1990</v>
      </c>
      <c r="B2051" s="138">
        <f>'Cap Outlay Deprec 26'!K8</f>
        <v>8301070</v>
      </c>
      <c r="C2051" s="2" t="s">
        <v>593</v>
      </c>
      <c r="D2051" s="2" t="str">
        <f t="shared" si="31"/>
        <v>Error?</v>
      </c>
    </row>
    <row r="2052" spans="1:4" x14ac:dyDescent="0.2">
      <c r="A2052" s="5">
        <v>1991</v>
      </c>
      <c r="B2052" s="138">
        <f>'Cap Outlay Deprec 26'!K10</f>
        <v>1239516</v>
      </c>
      <c r="C2052" s="2" t="s">
        <v>593</v>
      </c>
      <c r="D2052" s="2" t="str">
        <f t="shared" si="31"/>
        <v>Error?</v>
      </c>
    </row>
    <row r="2053" spans="1:4" x14ac:dyDescent="0.2">
      <c r="A2053" s="5">
        <v>1992</v>
      </c>
      <c r="B2053" s="138">
        <f>'Cap Outlay Deprec 26'!K12</f>
        <v>883563</v>
      </c>
      <c r="C2053" s="2" t="s">
        <v>593</v>
      </c>
      <c r="D2053" s="2" t="str">
        <f t="shared" si="31"/>
        <v>Error?</v>
      </c>
    </row>
    <row r="2054" spans="1:4" x14ac:dyDescent="0.2">
      <c r="A2054" s="5">
        <v>1993</v>
      </c>
      <c r="B2054" s="138">
        <f>'Cap Outlay Deprec 26'!K13</f>
        <v>2739387</v>
      </c>
      <c r="C2054" s="2" t="s">
        <v>593</v>
      </c>
      <c r="D2054" s="2" t="str">
        <f t="shared" si="31"/>
        <v>Error?</v>
      </c>
    </row>
    <row r="2055" spans="1:4" x14ac:dyDescent="0.2">
      <c r="A2055" s="5">
        <v>1994</v>
      </c>
      <c r="B2055" s="138">
        <f>'Cap Outlay Deprec 26'!K16</f>
        <v>13707523</v>
      </c>
      <c r="C2055" s="2" t="s">
        <v>593</v>
      </c>
      <c r="D2055" s="2" t="str">
        <f t="shared" si="31"/>
        <v>Error?</v>
      </c>
    </row>
    <row r="2056" spans="1:4" x14ac:dyDescent="0.2">
      <c r="A2056" s="5">
        <v>1995</v>
      </c>
      <c r="B2056" s="138">
        <f>'Cap Outlay Deprec 26'!L5</f>
        <v>98019</v>
      </c>
      <c r="C2056" s="2" t="s">
        <v>593</v>
      </c>
      <c r="D2056" s="2" t="str">
        <f t="shared" si="31"/>
        <v>Error?</v>
      </c>
    </row>
    <row r="2057" spans="1:4" x14ac:dyDescent="0.2">
      <c r="A2057" s="5">
        <v>1996</v>
      </c>
      <c r="B2057" s="138">
        <f>'Cap Outlay Deprec 26'!L8</f>
        <v>21838604</v>
      </c>
      <c r="C2057" s="2" t="s">
        <v>593</v>
      </c>
      <c r="D2057" s="2" t="str">
        <f t="shared" si="31"/>
        <v>Error?</v>
      </c>
    </row>
    <row r="2058" spans="1:4" x14ac:dyDescent="0.2">
      <c r="A2058" s="5">
        <v>1997</v>
      </c>
      <c r="B2058" s="138">
        <f>'Cap Outlay Deprec 26'!L10</f>
        <v>1898846</v>
      </c>
      <c r="C2058" s="2" t="s">
        <v>593</v>
      </c>
      <c r="D2058" s="2" t="str">
        <f t="shared" si="31"/>
        <v>Error?</v>
      </c>
    </row>
    <row r="2059" spans="1:4" x14ac:dyDescent="0.2">
      <c r="A2059" s="5">
        <v>1998</v>
      </c>
      <c r="B2059" s="138">
        <f>'Cap Outlay Deprec 26'!L12</f>
        <v>294126</v>
      </c>
      <c r="C2059" s="2" t="s">
        <v>593</v>
      </c>
      <c r="D2059" s="2" t="str">
        <f t="shared" si="31"/>
        <v>Error?</v>
      </c>
    </row>
    <row r="2060" spans="1:4" x14ac:dyDescent="0.2">
      <c r="A2060" s="5">
        <v>1999</v>
      </c>
      <c r="B2060" s="138">
        <f>'Cap Outlay Deprec 26'!L13</f>
        <v>601435</v>
      </c>
      <c r="C2060" s="2" t="s">
        <v>593</v>
      </c>
      <c r="D2060" s="2" t="str">
        <f t="shared" si="31"/>
        <v>Error?</v>
      </c>
    </row>
    <row r="2061" spans="1:4" x14ac:dyDescent="0.2">
      <c r="A2061" s="5">
        <v>2000</v>
      </c>
      <c r="B2061" s="138">
        <f>'Cap Outlay Deprec 26'!L16</f>
        <v>24845691</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199600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201124</v>
      </c>
      <c r="C2088" s="2" t="s">
        <v>593</v>
      </c>
      <c r="D2088" s="2" t="str">
        <f t="shared" si="31"/>
        <v>Error?</v>
      </c>
    </row>
    <row r="2089" spans="1:4" x14ac:dyDescent="0.2">
      <c r="A2089" s="5">
        <v>2028</v>
      </c>
      <c r="B2089" s="138">
        <f>'Expenditures 15-22'!K92</f>
        <v>142062</v>
      </c>
      <c r="C2089" s="2" t="s">
        <v>593</v>
      </c>
      <c r="D2089" s="2" t="str">
        <f t="shared" si="31"/>
        <v>Error?</v>
      </c>
    </row>
    <row r="2090" spans="1:4" x14ac:dyDescent="0.2">
      <c r="A2090" s="10">
        <v>2029</v>
      </c>
      <c r="D2090" s="2" t="str">
        <f t="shared" si="31"/>
        <v>OK</v>
      </c>
    </row>
    <row r="2091" spans="1:4" x14ac:dyDescent="0.2">
      <c r="A2091" s="5">
        <v>2030</v>
      </c>
      <c r="B2091" s="138">
        <f>'Expenditures 15-22'!H137</f>
        <v>64989</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64989</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29166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5277496</v>
      </c>
      <c r="C2551" s="2" t="s">
        <v>593</v>
      </c>
      <c r="D2551" s="2" t="str">
        <f t="shared" si="38"/>
        <v>Error?</v>
      </c>
    </row>
    <row r="2552" spans="1:4" x14ac:dyDescent="0.2">
      <c r="A2552" s="10">
        <v>2491</v>
      </c>
      <c r="D2552" s="2" t="str">
        <f t="shared" si="38"/>
        <v>OK</v>
      </c>
    </row>
    <row r="2553" spans="1:4" x14ac:dyDescent="0.2">
      <c r="A2553" s="5">
        <v>2492</v>
      </c>
      <c r="B2553" s="138">
        <f>'Acct Summary 7-8'!C6</f>
        <v>2579711</v>
      </c>
      <c r="C2553" s="2" t="s">
        <v>593</v>
      </c>
      <c r="D2553" s="2" t="str">
        <f t="shared" si="38"/>
        <v>Error?</v>
      </c>
    </row>
    <row r="2554" spans="1:4" x14ac:dyDescent="0.2">
      <c r="A2554" s="5">
        <v>2493</v>
      </c>
      <c r="B2554" s="138">
        <f>'Acct Summary 7-8'!C7</f>
        <v>1231250</v>
      </c>
      <c r="C2554" s="2" t="s">
        <v>593</v>
      </c>
      <c r="D2554" s="2" t="str">
        <f t="shared" si="38"/>
        <v>Error?</v>
      </c>
    </row>
    <row r="2555" spans="1:4" x14ac:dyDescent="0.2">
      <c r="A2555" s="5">
        <v>2494</v>
      </c>
      <c r="B2555" s="138">
        <f>'Acct Summary 7-8'!C8</f>
        <v>9091719</v>
      </c>
      <c r="C2555" s="2" t="s">
        <v>593</v>
      </c>
      <c r="D2555" s="2" t="str">
        <f t="shared" si="38"/>
        <v>Error?</v>
      </c>
    </row>
    <row r="2556" spans="1:4" x14ac:dyDescent="0.2">
      <c r="A2556" s="5">
        <v>2495</v>
      </c>
      <c r="B2556" s="138">
        <f>'Acct Summary 7-8'!C12</f>
        <v>5996179</v>
      </c>
      <c r="C2556" s="2" t="s">
        <v>593</v>
      </c>
      <c r="D2556" s="2" t="str">
        <f t="shared" si="38"/>
        <v>Error?</v>
      </c>
    </row>
    <row r="2557" spans="1:4" x14ac:dyDescent="0.2">
      <c r="A2557" s="5">
        <v>2496</v>
      </c>
      <c r="B2557" s="138">
        <f>'Acct Summary 7-8'!C13</f>
        <v>2245534</v>
      </c>
      <c r="C2557" s="2" t="s">
        <v>593</v>
      </c>
      <c r="D2557" s="2" t="str">
        <f t="shared" si="38"/>
        <v>Error?</v>
      </c>
    </row>
    <row r="2558" spans="1:4" x14ac:dyDescent="0.2">
      <c r="A2558" s="5">
        <v>2497</v>
      </c>
      <c r="B2558" s="138">
        <f>'Acct Summary 7-8'!C14</f>
        <v>45075</v>
      </c>
      <c r="C2558" s="2" t="s">
        <v>593</v>
      </c>
      <c r="D2558" s="2" t="str">
        <f t="shared" si="38"/>
        <v>Error?</v>
      </c>
    </row>
    <row r="2559" spans="1:4" x14ac:dyDescent="0.2">
      <c r="A2559" s="5">
        <v>2498</v>
      </c>
      <c r="B2559" s="138">
        <f>'Acct Summary 7-8'!C15</f>
        <v>343186</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8629974</v>
      </c>
      <c r="C2561" s="2" t="s">
        <v>593</v>
      </c>
      <c r="D2561" s="2" t="str">
        <f t="shared" si="39"/>
        <v>Error?</v>
      </c>
    </row>
    <row r="2562" spans="1:4" x14ac:dyDescent="0.2">
      <c r="A2562" s="5">
        <v>2501</v>
      </c>
      <c r="B2562" s="138">
        <f>'Acct Summary 7-8'!C20</f>
        <v>461745</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1053139</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1053139</v>
      </c>
      <c r="C2568" s="2" t="s">
        <v>593</v>
      </c>
      <c r="D2568" s="2" t="str">
        <f t="shared" si="39"/>
        <v>Error?</v>
      </c>
    </row>
    <row r="2569" spans="1:4" x14ac:dyDescent="0.2">
      <c r="A2569" s="5">
        <v>2508</v>
      </c>
      <c r="B2569" s="138">
        <f>'Acct Summary 7-8'!D13</f>
        <v>982126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64989</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1047115</v>
      </c>
      <c r="C2573" s="2" t="s">
        <v>593</v>
      </c>
      <c r="D2573" s="2" t="str">
        <f t="shared" si="39"/>
        <v>Error?</v>
      </c>
    </row>
    <row r="2574" spans="1:4" x14ac:dyDescent="0.2">
      <c r="A2574" s="5">
        <v>2513</v>
      </c>
      <c r="B2574" s="138">
        <f>'Acct Summary 7-8'!D20</f>
        <v>6024</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426629</v>
      </c>
      <c r="C2591" s="2" t="s">
        <v>593</v>
      </c>
      <c r="D2591" s="2" t="str">
        <f t="shared" si="39"/>
        <v>Error?</v>
      </c>
    </row>
    <row r="2592" spans="1:4" x14ac:dyDescent="0.2">
      <c r="A2592" s="10">
        <v>2531</v>
      </c>
      <c r="D2592" s="2" t="str">
        <f t="shared" si="39"/>
        <v>OK</v>
      </c>
    </row>
    <row r="2593" spans="1:4" x14ac:dyDescent="0.2">
      <c r="A2593" s="5">
        <v>2532</v>
      </c>
      <c r="B2593" s="138">
        <f>'Acct Summary 7-8'!F6</f>
        <v>1099268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1525897</v>
      </c>
      <c r="C2595" s="2" t="s">
        <v>593</v>
      </c>
      <c r="D2595" s="2" t="str">
        <f t="shared" si="39"/>
        <v>Error?</v>
      </c>
    </row>
    <row r="2596" spans="1:4" x14ac:dyDescent="0.2">
      <c r="A2596" s="5">
        <v>2535</v>
      </c>
      <c r="B2596" s="138">
        <f>'Acct Summary 7-8'!F13</f>
        <v>1897449</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38766</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1936215</v>
      </c>
      <c r="C2600" s="2" t="s">
        <v>593</v>
      </c>
      <c r="D2600" s="2" t="str">
        <f t="shared" si="39"/>
        <v>Error?</v>
      </c>
    </row>
    <row r="2601" spans="1:4" x14ac:dyDescent="0.2">
      <c r="A2601" s="5">
        <v>2540</v>
      </c>
      <c r="B2601" s="138">
        <f>'Acct Summary 7-8'!F20</f>
        <v>-410318</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631709</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631709</v>
      </c>
      <c r="C2606" s="2" t="s">
        <v>593</v>
      </c>
      <c r="D2606" s="2" t="str">
        <f t="shared" si="39"/>
        <v>Error?</v>
      </c>
    </row>
    <row r="2607" spans="1:4" x14ac:dyDescent="0.2">
      <c r="A2607" s="5">
        <v>2546</v>
      </c>
      <c r="B2607" s="138">
        <f>'Acct Summary 7-8'!G12</f>
        <v>180726</v>
      </c>
      <c r="C2607" s="2" t="s">
        <v>593</v>
      </c>
      <c r="D2607" s="2" t="str">
        <f t="shared" si="39"/>
        <v>Error?</v>
      </c>
    </row>
    <row r="2608" spans="1:4" x14ac:dyDescent="0.2">
      <c r="A2608" s="5">
        <v>2547</v>
      </c>
      <c r="B2608" s="138">
        <f>'Acct Summary 7-8'!G13</f>
        <v>522129</v>
      </c>
      <c r="C2608" s="2" t="s">
        <v>593</v>
      </c>
      <c r="D2608" s="2" t="str">
        <f t="shared" si="39"/>
        <v>Error?</v>
      </c>
    </row>
    <row r="2609" spans="1:4" x14ac:dyDescent="0.2">
      <c r="A2609" s="5">
        <v>2548</v>
      </c>
      <c r="B2609" s="138">
        <f>'Acct Summary 7-8'!G14</f>
        <v>335</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710538</v>
      </c>
      <c r="C2612" s="2" t="s">
        <v>593</v>
      </c>
      <c r="D2612" s="2" t="str">
        <f t="shared" si="39"/>
        <v>Error?</v>
      </c>
    </row>
    <row r="2613" spans="1:4" x14ac:dyDescent="0.2">
      <c r="A2613" s="5">
        <v>2552</v>
      </c>
      <c r="B2613" s="138">
        <f>'Acct Summary 7-8'!G20</f>
        <v>-78829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742411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742411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740603</v>
      </c>
      <c r="C2634" s="2" t="s">
        <v>593</v>
      </c>
      <c r="D2634" s="2" t="str">
        <f t="shared" si="40"/>
        <v>Error?</v>
      </c>
    </row>
    <row r="2635" spans="1:4" x14ac:dyDescent="0.2">
      <c r="A2635" s="5">
        <v>2574</v>
      </c>
      <c r="B2635" s="138">
        <f>'Acct Summary 7-8'!E17</f>
        <v>740603</v>
      </c>
      <c r="C2635" s="2" t="s">
        <v>593</v>
      </c>
      <c r="D2635" s="2" t="str">
        <f t="shared" si="40"/>
        <v>Error?</v>
      </c>
    </row>
    <row r="2636" spans="1:4" x14ac:dyDescent="0.2">
      <c r="A2636" s="5">
        <v>2575</v>
      </c>
      <c r="B2636" s="138">
        <f>'Acct Summary 7-8'!E20</f>
        <v>1808</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0</v>
      </c>
      <c r="C2661" s="2" t="s">
        <v>593</v>
      </c>
      <c r="D2661" s="2" t="str">
        <f t="shared" si="40"/>
        <v>Error?</v>
      </c>
    </row>
    <row r="2662" spans="1:4" x14ac:dyDescent="0.2">
      <c r="A2662" s="5">
        <v>2601</v>
      </c>
      <c r="B2662" s="138">
        <f>'Acct Summary 7-8'!H20</f>
        <v>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76513</v>
      </c>
      <c r="D2718" s="2" t="str">
        <f t="shared" si="41"/>
        <v>Error?</v>
      </c>
    </row>
    <row r="2719" spans="1:4" x14ac:dyDescent="0.2">
      <c r="A2719" s="5">
        <v>2658</v>
      </c>
      <c r="B2719" s="138">
        <f>'Expenditures 15-22'!D51</f>
        <v>16048</v>
      </c>
      <c r="D2719" s="2" t="str">
        <f t="shared" si="41"/>
        <v>Error?</v>
      </c>
    </row>
    <row r="2720" spans="1:4" x14ac:dyDescent="0.2">
      <c r="A2720" s="5">
        <v>2659</v>
      </c>
      <c r="B2720" s="138">
        <f>'Expenditures 15-22'!E51</f>
        <v>3986</v>
      </c>
      <c r="D2720" s="2" t="str">
        <f t="shared" si="41"/>
        <v>Error?</v>
      </c>
    </row>
    <row r="2721" spans="1:4" x14ac:dyDescent="0.2">
      <c r="A2721" s="5">
        <v>2660</v>
      </c>
      <c r="B2721" s="138">
        <f>'Expenditures 15-22'!F51</f>
        <v>38785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107</v>
      </c>
      <c r="D2723" s="2" t="str">
        <f t="shared" si="41"/>
        <v>Error?</v>
      </c>
    </row>
    <row r="2724" spans="1:4" x14ac:dyDescent="0.2">
      <c r="A2724" s="5">
        <v>2663</v>
      </c>
      <c r="B2724" s="138">
        <f>'Expenditures 15-22'!K51</f>
        <v>140769</v>
      </c>
      <c r="C2724" s="2" t="s">
        <v>593</v>
      </c>
      <c r="D2724" s="2" t="str">
        <f t="shared" si="41"/>
        <v>Error?</v>
      </c>
    </row>
    <row r="2725" spans="1:4" x14ac:dyDescent="0.2">
      <c r="A2725" s="5">
        <v>2664</v>
      </c>
      <c r="B2725" s="138">
        <f>'Expenditures 15-22'!D247</f>
        <v>8308</v>
      </c>
      <c r="D2725" s="2" t="str">
        <f t="shared" si="41"/>
        <v>Error?</v>
      </c>
    </row>
    <row r="2726" spans="1:4" x14ac:dyDescent="0.2">
      <c r="A2726" s="5">
        <v>2665</v>
      </c>
      <c r="B2726" s="138">
        <f>'Expenditures 15-22'!K247</f>
        <v>8308</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1524</v>
      </c>
      <c r="C2789" s="2" t="s">
        <v>593</v>
      </c>
      <c r="D2789" s="2" t="str">
        <f t="shared" si="42"/>
        <v>Error?</v>
      </c>
    </row>
    <row r="2790" spans="1:4" x14ac:dyDescent="0.2">
      <c r="A2790" s="5">
        <v>2729</v>
      </c>
      <c r="B2790" s="138">
        <f>'Expenditures 15-22'!E102</f>
        <v>1524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38766</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38766</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38766</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4094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355903</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314465</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355903</v>
      </c>
      <c r="D2912" s="2" t="str">
        <f t="shared" si="44"/>
        <v>Error?</v>
      </c>
    </row>
    <row r="2913" spans="1:4" x14ac:dyDescent="0.2">
      <c r="A2913" s="5">
        <v>2852</v>
      </c>
      <c r="B2913" s="138">
        <f>'Assets-Liab 5-6'!I41</f>
        <v>355903</v>
      </c>
      <c r="C2913" s="2" t="s">
        <v>593</v>
      </c>
      <c r="D2913" s="2" t="str">
        <f t="shared" si="44"/>
        <v>Error?</v>
      </c>
    </row>
    <row r="2914" spans="1:4" x14ac:dyDescent="0.2">
      <c r="A2914" s="5">
        <v>2853</v>
      </c>
      <c r="B2914" s="138">
        <f>'Assets-Liab 5-6'!L33</f>
        <v>314465</v>
      </c>
      <c r="D2914" s="2" t="str">
        <f t="shared" si="44"/>
        <v>Error?</v>
      </c>
    </row>
    <row r="2915" spans="1:4" x14ac:dyDescent="0.2">
      <c r="A2915" s="10">
        <v>2854</v>
      </c>
      <c r="D2915" s="2" t="str">
        <f t="shared" si="44"/>
        <v>OK</v>
      </c>
    </row>
    <row r="2916" spans="1:4" x14ac:dyDescent="0.2">
      <c r="A2916" s="5">
        <v>2855</v>
      </c>
      <c r="B2916" s="138">
        <f>'Assets-Liab 5-6'!L34</f>
        <v>314465</v>
      </c>
      <c r="C2916" s="2" t="s">
        <v>593</v>
      </c>
      <c r="D2916" s="2" t="str">
        <f t="shared" si="44"/>
        <v>Error?</v>
      </c>
    </row>
    <row r="2917" spans="1:4" x14ac:dyDescent="0.2">
      <c r="A2917" s="5">
        <v>2856</v>
      </c>
      <c r="B2917" s="138">
        <f>'Assets-Liab 5-6'!L41</f>
        <v>314465</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1524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199600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1524</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199600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64989</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64989</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38766</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38766</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97942</v>
      </c>
      <c r="D3055" s="2" t="str">
        <f t="shared" si="46"/>
        <v>Error?</v>
      </c>
    </row>
    <row r="3056" spans="1:4" x14ac:dyDescent="0.2">
      <c r="A3056" s="5">
        <v>2995</v>
      </c>
      <c r="B3056" s="138">
        <f>'Expenditures 15-22'!D10</f>
        <v>8544</v>
      </c>
      <c r="D3056" s="2" t="str">
        <f t="shared" si="46"/>
        <v>Error?</v>
      </c>
    </row>
    <row r="3057" spans="1:4" x14ac:dyDescent="0.2">
      <c r="A3057" s="5">
        <v>2996</v>
      </c>
      <c r="B3057" s="138">
        <f>'Expenditures 15-22'!E10</f>
        <v>6163</v>
      </c>
      <c r="D3057" s="2" t="str">
        <f t="shared" si="46"/>
        <v>Error?</v>
      </c>
    </row>
    <row r="3058" spans="1:4" x14ac:dyDescent="0.2">
      <c r="A3058" s="5">
        <v>2997</v>
      </c>
      <c r="B3058" s="138">
        <f>'Expenditures 15-22'!F10</f>
        <v>90453</v>
      </c>
      <c r="D3058" s="2" t="str">
        <f t="shared" si="46"/>
        <v>Error?</v>
      </c>
    </row>
    <row r="3059" spans="1:4" x14ac:dyDescent="0.2">
      <c r="A3059" s="5">
        <v>2998</v>
      </c>
      <c r="B3059" s="138">
        <f>'Expenditures 15-22'!G10</f>
        <v>2573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209106</v>
      </c>
      <c r="C3062" s="2" t="s">
        <v>593</v>
      </c>
      <c r="D3062" s="2" t="str">
        <f t="shared" si="46"/>
        <v>Error?</v>
      </c>
    </row>
    <row r="3063" spans="1:4" x14ac:dyDescent="0.2">
      <c r="A3063" s="10">
        <v>3002</v>
      </c>
      <c r="D3063" s="2" t="str">
        <f t="shared" si="46"/>
        <v>OK</v>
      </c>
    </row>
    <row r="3064" spans="1:4" x14ac:dyDescent="0.2">
      <c r="A3064" s="5">
        <v>3003</v>
      </c>
      <c r="B3064" s="138">
        <f>'Expenditures 15-22'!D219</f>
        <v>24281</v>
      </c>
      <c r="D3064" s="2" t="str">
        <f t="shared" si="46"/>
        <v>Error?</v>
      </c>
    </row>
    <row r="3065" spans="1:4" x14ac:dyDescent="0.2">
      <c r="A3065" s="5">
        <v>3004</v>
      </c>
      <c r="B3065" s="138">
        <f>'Expenditures 15-22'!K219</f>
        <v>24281</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100361</v>
      </c>
      <c r="C3225" s="2" t="s">
        <v>593</v>
      </c>
      <c r="D3225" s="2" t="str">
        <f t="shared" si="49"/>
        <v>Error?</v>
      </c>
    </row>
    <row r="3226" spans="1:4" x14ac:dyDescent="0.2">
      <c r="A3226" s="5">
        <v>3165</v>
      </c>
      <c r="B3226" s="138">
        <f>'Acct Summary 7-8'!I8</f>
        <v>100361</v>
      </c>
      <c r="C3226" s="2" t="s">
        <v>593</v>
      </c>
      <c r="D3226" s="2" t="str">
        <f t="shared" si="49"/>
        <v>Error?</v>
      </c>
    </row>
    <row r="3227" spans="1:4" x14ac:dyDescent="0.2">
      <c r="A3227" s="5">
        <v>3166</v>
      </c>
      <c r="B3227" s="138">
        <f>'Acct Summary 7-8'!I20</f>
        <v>100361</v>
      </c>
      <c r="C3227" s="2" t="s">
        <v>593</v>
      </c>
      <c r="D3227" s="2" t="str">
        <f t="shared" si="49"/>
        <v>Error?</v>
      </c>
    </row>
    <row r="3228" spans="1:4" x14ac:dyDescent="0.2">
      <c r="A3228" s="5">
        <v>3167</v>
      </c>
      <c r="B3228" s="138">
        <f>'Acct Summary 7-8'!C43</f>
        <v>87000</v>
      </c>
      <c r="D3228" s="2" t="str">
        <f t="shared" si="49"/>
        <v>Error?</v>
      </c>
    </row>
    <row r="3229" spans="1:4" x14ac:dyDescent="0.2">
      <c r="A3229" s="5">
        <v>3168</v>
      </c>
      <c r="B3229" s="138">
        <f>'Acct Summary 7-8'!C44</f>
        <v>87000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87000</v>
      </c>
      <c r="C3232" s="2" t="s">
        <v>593</v>
      </c>
      <c r="D3232" s="2" t="str">
        <f t="shared" si="49"/>
        <v>Error?</v>
      </c>
    </row>
    <row r="3233" spans="1:4" x14ac:dyDescent="0.2">
      <c r="A3233" s="5">
        <v>3172</v>
      </c>
      <c r="B3233" s="138">
        <f>'Acct Summary 7-8'!C78</f>
        <v>548745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6024</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645658</v>
      </c>
      <c r="D3251" s="2" t="str">
        <f t="shared" si="49"/>
        <v>Error?</v>
      </c>
    </row>
    <row r="3252" spans="1:4" x14ac:dyDescent="0.2">
      <c r="A3252" s="5">
        <v>3191</v>
      </c>
      <c r="B3252" s="138">
        <f>'Acct Summary 7-8'!F44</f>
        <v>895658</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895658</v>
      </c>
      <c r="C3255" s="2" t="s">
        <v>593</v>
      </c>
      <c r="D3255" s="2" t="str">
        <f t="shared" si="49"/>
        <v>Error?</v>
      </c>
    </row>
    <row r="3256" spans="1:4" x14ac:dyDescent="0.2">
      <c r="A3256" s="5">
        <v>3195</v>
      </c>
      <c r="B3256" s="138">
        <f>'Acct Summary 7-8'!F78</f>
        <v>485340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-78829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1808</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250000</v>
      </c>
      <c r="C3318" s="2" t="s">
        <v>593</v>
      </c>
      <c r="D3318" s="2" t="str">
        <f t="shared" si="50"/>
        <v>Error?</v>
      </c>
    </row>
    <row r="3319" spans="1:4" x14ac:dyDescent="0.2">
      <c r="A3319" s="5">
        <v>3258</v>
      </c>
      <c r="B3319" s="138">
        <f>'Acct Summary 7-8'!I77</f>
        <v>-250000</v>
      </c>
      <c r="C3319" s="2" t="s">
        <v>593</v>
      </c>
      <c r="D3319" s="2" t="str">
        <f t="shared" si="50"/>
        <v>Error?</v>
      </c>
    </row>
    <row r="3320" spans="1:4" x14ac:dyDescent="0.2">
      <c r="A3320" s="5">
        <v>3259</v>
      </c>
      <c r="B3320" s="138">
        <f>'Acct Summary 7-8'!I78</f>
        <v>-149639</v>
      </c>
      <c r="C3320" s="2" t="s">
        <v>593</v>
      </c>
      <c r="D3320" s="2" t="str">
        <f t="shared" si="50"/>
        <v>Error?</v>
      </c>
    </row>
    <row r="3321" spans="1:4" x14ac:dyDescent="0.2">
      <c r="A3321" s="5">
        <v>3260</v>
      </c>
      <c r="B3321" s="138">
        <f>'Acct Summary 7-8'!I79</f>
        <v>505542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355903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686478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57811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4272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748971</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75591</v>
      </c>
      <c r="D3387" s="2" t="str">
        <f t="shared" si="51"/>
        <v>Error?</v>
      </c>
    </row>
    <row r="3388" spans="1:4" x14ac:dyDescent="0.2">
      <c r="A3388" s="5">
        <v>3327</v>
      </c>
      <c r="B3388" s="138">
        <f>'Expenditures 15-22'!D217</f>
        <v>62943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75591</v>
      </c>
      <c r="C3390" s="2" t="s">
        <v>593</v>
      </c>
      <c r="D3390" s="2" t="str">
        <f t="shared" si="51"/>
        <v>Error?</v>
      </c>
    </row>
    <row r="3391" spans="1:4" x14ac:dyDescent="0.2">
      <c r="A3391" s="5">
        <v>3330</v>
      </c>
      <c r="B3391" s="138">
        <f>'Expenditures 15-22'!K217</f>
        <v>62943</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3262</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1299174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742852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194507</v>
      </c>
      <c r="D3417" s="2" t="str">
        <f t="shared" si="52"/>
        <v>Error?</v>
      </c>
    </row>
    <row r="3418" spans="1:4" x14ac:dyDescent="0.2">
      <c r="A3418" s="10">
        <v>3357</v>
      </c>
      <c r="D3418" s="2" t="str">
        <f t="shared" si="52"/>
        <v>OK</v>
      </c>
    </row>
    <row r="3419" spans="1:4" x14ac:dyDescent="0.2">
      <c r="A3419" s="5">
        <v>3358</v>
      </c>
      <c r="B3419" s="138">
        <f>'Assets-Liab 5-6'!F4</f>
        <v>335433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674962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355903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314465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239759</v>
      </c>
      <c r="C3446" s="2" t="s">
        <v>593</v>
      </c>
      <c r="D3446" s="2" t="str">
        <f t="shared" si="52"/>
        <v>Error?</v>
      </c>
    </row>
    <row r="3447" spans="1:4" x14ac:dyDescent="0.2">
      <c r="A3447" s="5">
        <v>3386</v>
      </c>
      <c r="B3447" s="138">
        <f>'Tax Sched 23'!D16</f>
        <v>239759</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275157</v>
      </c>
      <c r="C3449" s="2" t="s">
        <v>593</v>
      </c>
      <c r="D3449" s="2" t="str">
        <f t="shared" si="52"/>
        <v>Error?</v>
      </c>
    </row>
    <row r="3450" spans="1:4" x14ac:dyDescent="0.2">
      <c r="A3450" s="5">
        <v>3389</v>
      </c>
      <c r="B3450" s="138">
        <f>'Tax Sched 23'!E16</f>
        <v>275157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4094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4094</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4094</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205159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205159</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205159</v>
      </c>
      <c r="D3567" s="2" t="str">
        <f t="shared" si="54"/>
        <v>Error?</v>
      </c>
    </row>
    <row r="3568" spans="1:4" x14ac:dyDescent="0.2">
      <c r="A3568" s="5">
        <v>3507</v>
      </c>
      <c r="B3568" s="138">
        <f>'Assets-Liab 5-6'!K41</f>
        <v>205159</v>
      </c>
      <c r="C3568" s="2" t="s">
        <v>593</v>
      </c>
      <c r="D3568" s="2" t="str">
        <f t="shared" si="54"/>
        <v>Error?</v>
      </c>
    </row>
    <row r="3569" spans="1:4" x14ac:dyDescent="0.2">
      <c r="A3569" s="5">
        <v>3508</v>
      </c>
      <c r="B3569" s="138">
        <f>'Acct Summary 7-8'!K4</f>
        <v>99484</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99484</v>
      </c>
      <c r="C3571" s="2" t="s">
        <v>593</v>
      </c>
      <c r="D3571" s="2" t="str">
        <f t="shared" si="54"/>
        <v>Error?</v>
      </c>
    </row>
    <row r="3572" spans="1:4" x14ac:dyDescent="0.2">
      <c r="A3572" s="5">
        <v>3511</v>
      </c>
      <c r="B3572" s="138">
        <f>'Acct Summary 7-8'!K13</f>
        <v>35350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35350</v>
      </c>
      <c r="C3575" s="2" t="s">
        <v>593</v>
      </c>
      <c r="D3575" s="2" t="str">
        <f t="shared" si="54"/>
        <v>Error?</v>
      </c>
    </row>
    <row r="3576" spans="1:4" x14ac:dyDescent="0.2">
      <c r="A3576" s="5">
        <v>3515</v>
      </c>
      <c r="B3576" s="138">
        <f>'Acct Summary 7-8'!K20</f>
        <v>64134</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64134</v>
      </c>
      <c r="C3588" s="2" t="s">
        <v>593</v>
      </c>
      <c r="D3588" s="2" t="str">
        <f t="shared" si="55"/>
        <v>Error?</v>
      </c>
    </row>
    <row r="3589" spans="1:4" x14ac:dyDescent="0.2">
      <c r="A3589" s="5">
        <v>3528</v>
      </c>
      <c r="B3589" s="138">
        <f>'Acct Summary 7-8'!K79</f>
        <v>141025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205159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35350</v>
      </c>
      <c r="D3632" s="2" t="str">
        <f t="shared" si="55"/>
        <v>Error?</v>
      </c>
    </row>
    <row r="3633" spans="1:4" x14ac:dyDescent="0.2">
      <c r="A3633" s="5">
        <v>3572</v>
      </c>
      <c r="B3633" s="138">
        <f>'Expenditures 15-22'!E350</f>
        <v>35350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35350</v>
      </c>
      <c r="C3635" s="2" t="s">
        <v>593</v>
      </c>
      <c r="D3635" s="2" t="str">
        <f t="shared" si="55"/>
        <v>Error?</v>
      </c>
    </row>
    <row r="3636" spans="1:4" x14ac:dyDescent="0.2">
      <c r="A3636" s="5">
        <v>3575</v>
      </c>
      <c r="B3636" s="138">
        <f>'Expenditures 15-22'!E367</f>
        <v>35350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35350</v>
      </c>
      <c r="C3669" s="2" t="s">
        <v>593</v>
      </c>
      <c r="D3669" s="2" t="str">
        <f t="shared" si="56"/>
        <v>Error?</v>
      </c>
    </row>
    <row r="3670" spans="1:4" x14ac:dyDescent="0.2">
      <c r="A3670" s="5">
        <v>3609</v>
      </c>
      <c r="B3670" s="138">
        <f>'Expenditures 15-22'!K350</f>
        <v>35350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35350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35350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64134</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7348</v>
      </c>
      <c r="D3721" s="2" t="str">
        <f t="shared" si="57"/>
        <v>Error?</v>
      </c>
    </row>
    <row r="3722" spans="1:4" x14ac:dyDescent="0.2">
      <c r="A3722" s="5">
        <v>3661</v>
      </c>
      <c r="B3722" s="138">
        <f>'Expenditures 15-22'!D285</f>
        <v>7348</v>
      </c>
      <c r="C3722" s="2" t="s">
        <v>593</v>
      </c>
      <c r="D3722" s="2" t="str">
        <f t="shared" si="57"/>
        <v>Error?</v>
      </c>
    </row>
    <row r="3723" spans="1:4" x14ac:dyDescent="0.2">
      <c r="A3723" s="5">
        <v>3662</v>
      </c>
      <c r="B3723" s="138">
        <f>'Expenditures 15-22'!K283</f>
        <v>7348</v>
      </c>
      <c r="C3723" s="2" t="s">
        <v>593</v>
      </c>
      <c r="D3723" s="2" t="str">
        <f t="shared" si="57"/>
        <v>Error?</v>
      </c>
    </row>
    <row r="3724" spans="1:4" x14ac:dyDescent="0.2">
      <c r="A3724" s="5">
        <v>3663</v>
      </c>
      <c r="B3724" s="138">
        <f>'Expenditures 15-22'!K285</f>
        <v>7348</v>
      </c>
      <c r="C3724" s="2" t="s">
        <v>593</v>
      </c>
      <c r="D3724" s="2" t="str">
        <f t="shared" si="57"/>
        <v>Error?</v>
      </c>
    </row>
    <row r="3725" spans="1:4" x14ac:dyDescent="0.2">
      <c r="A3725" s="5">
        <v>3664</v>
      </c>
      <c r="B3725" s="138">
        <f>'Tax Sched 23'!B13</f>
        <v>98032</v>
      </c>
      <c r="C3725" s="2" t="s">
        <v>593</v>
      </c>
      <c r="D3725" s="2" t="str">
        <f t="shared" si="57"/>
        <v>Error?</v>
      </c>
    </row>
    <row r="3726" spans="1:4" x14ac:dyDescent="0.2">
      <c r="A3726" s="5">
        <v>3665</v>
      </c>
      <c r="B3726" s="138">
        <f>'Tax Sched 23'!D13</f>
        <v>98032</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84951</v>
      </c>
      <c r="C3728" s="2" t="s">
        <v>593</v>
      </c>
      <c r="D3728" s="2" t="str">
        <f t="shared" si="57"/>
        <v>Error?</v>
      </c>
    </row>
    <row r="3729" spans="1:4" x14ac:dyDescent="0.2">
      <c r="A3729" s="5">
        <v>3668</v>
      </c>
      <c r="B3729" s="138">
        <f>'Tax Sched 23'!E13</f>
        <v>84951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3627037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12718756</v>
      </c>
      <c r="C4122" s="2" t="s">
        <v>593</v>
      </c>
      <c r="D4122" s="2" t="str">
        <f t="shared" si="63"/>
        <v>Error?</v>
      </c>
    </row>
    <row r="4123" spans="1:4" x14ac:dyDescent="0.2">
      <c r="A4123" s="5">
        <v>4062</v>
      </c>
      <c r="B4123" s="138">
        <f>'Acct Summary 7-8'!D10</f>
        <v>1053139</v>
      </c>
      <c r="C4123" s="2" t="s">
        <v>593</v>
      </c>
      <c r="D4123" s="2" t="str">
        <f t="shared" si="63"/>
        <v>Error?</v>
      </c>
    </row>
    <row r="4124" spans="1:4" x14ac:dyDescent="0.2">
      <c r="A4124" s="5">
        <v>4063</v>
      </c>
      <c r="B4124" s="138">
        <f>'Acct Summary 7-8'!E10</f>
        <v>742411</v>
      </c>
      <c r="C4124" s="2" t="s">
        <v>593</v>
      </c>
      <c r="D4124" s="2" t="str">
        <f t="shared" si="63"/>
        <v>Error?</v>
      </c>
    </row>
    <row r="4125" spans="1:4" x14ac:dyDescent="0.2">
      <c r="A4125" s="5">
        <v>4064</v>
      </c>
      <c r="B4125" s="138">
        <f>'Acct Summary 7-8'!F10</f>
        <v>1525897</v>
      </c>
      <c r="C4125" s="2" t="s">
        <v>593</v>
      </c>
      <c r="D4125" s="2" t="str">
        <f t="shared" si="63"/>
        <v>Error?</v>
      </c>
    </row>
    <row r="4126" spans="1:4" x14ac:dyDescent="0.2">
      <c r="A4126" s="5">
        <v>4065</v>
      </c>
      <c r="B4126" s="138">
        <f>'Acct Summary 7-8'!G10</f>
        <v>631709</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100361</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99484</v>
      </c>
      <c r="C4130" s="2" t="s">
        <v>593</v>
      </c>
      <c r="D4130" s="2" t="str">
        <f t="shared" si="63"/>
        <v>Error?</v>
      </c>
    </row>
    <row r="4131" spans="1:4" x14ac:dyDescent="0.2">
      <c r="A4131" s="5">
        <v>4070</v>
      </c>
      <c r="B4131" s="138">
        <f>'Acct Summary 7-8'!C18</f>
        <v>3627037</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12257011</v>
      </c>
      <c r="C4136" s="2" t="s">
        <v>593</v>
      </c>
      <c r="D4136" s="2" t="str">
        <f t="shared" si="63"/>
        <v>Error?</v>
      </c>
    </row>
    <row r="4137" spans="1:4" x14ac:dyDescent="0.2">
      <c r="A4137" s="5">
        <v>4076</v>
      </c>
      <c r="B4137" s="138">
        <f>'Acct Summary 7-8'!D19</f>
        <v>1047115</v>
      </c>
      <c r="C4137" s="2" t="s">
        <v>593</v>
      </c>
      <c r="D4137" s="2" t="str">
        <f t="shared" si="63"/>
        <v>Error?</v>
      </c>
    </row>
    <row r="4138" spans="1:4" x14ac:dyDescent="0.2">
      <c r="A4138" s="5">
        <v>4077</v>
      </c>
      <c r="B4138" s="138">
        <f>'Acct Summary 7-8'!E19</f>
        <v>740603</v>
      </c>
      <c r="C4138" s="2" t="s">
        <v>593</v>
      </c>
      <c r="D4138" s="2" t="str">
        <f t="shared" si="63"/>
        <v>Error?</v>
      </c>
    </row>
    <row r="4139" spans="1:4" x14ac:dyDescent="0.2">
      <c r="A4139" s="5">
        <v>4078</v>
      </c>
      <c r="B4139" s="138">
        <f>'Acct Summary 7-8'!F19</f>
        <v>1936215</v>
      </c>
      <c r="C4139" s="2" t="s">
        <v>593</v>
      </c>
      <c r="D4139" s="2" t="str">
        <f t="shared" si="63"/>
        <v>Error?</v>
      </c>
    </row>
    <row r="4140" spans="1:4" x14ac:dyDescent="0.2">
      <c r="A4140" s="5">
        <v>4079</v>
      </c>
      <c r="B4140" s="138">
        <f>'Acct Summary 7-8'!G19</f>
        <v>710538</v>
      </c>
      <c r="C4140" s="2" t="s">
        <v>593</v>
      </c>
      <c r="D4140" s="2" t="str">
        <f t="shared" si="63"/>
        <v>Error?</v>
      </c>
    </row>
    <row r="4141" spans="1:4" x14ac:dyDescent="0.2">
      <c r="A4141" s="5">
        <v>4080</v>
      </c>
      <c r="B4141" s="138">
        <f>'Acct Summary 7-8'!H19</f>
        <v>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35350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7076570</v>
      </c>
      <c r="C4171" s="2" t="s">
        <v>593</v>
      </c>
      <c r="D4171" s="2" t="str">
        <f t="shared" si="64"/>
        <v>Error?</v>
      </c>
    </row>
    <row r="4172" spans="1:4" x14ac:dyDescent="0.2">
      <c r="A4172" s="5">
        <v>4111</v>
      </c>
      <c r="B4172" s="138">
        <f>'Short-Term Long-Term Debt 24'!J49</f>
        <v>6882063</v>
      </c>
      <c r="C4172" s="2" t="s">
        <v>593</v>
      </c>
      <c r="D4172" s="2" t="str">
        <f t="shared" si="64"/>
        <v>Error?</v>
      </c>
    </row>
    <row r="4173" spans="1:4" x14ac:dyDescent="0.2">
      <c r="A4173" s="5">
        <v>4112</v>
      </c>
      <c r="B4173" s="138">
        <f>'Short-Term Long-Term Debt 24'!H49</f>
        <v>510000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350357</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2000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2700</v>
      </c>
      <c r="C4268" s="2" t="s">
        <v>593</v>
      </c>
      <c r="D4268" s="2" t="str">
        <f t="shared" si="65"/>
        <v>Error?</v>
      </c>
    </row>
    <row r="4269" spans="1:5" x14ac:dyDescent="0.2">
      <c r="A4269" s="12">
        <v>4208</v>
      </c>
      <c r="B4269" s="138">
        <f>'FP Info 3'!J16</f>
        <v>2754498</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17423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20820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8994</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52094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1681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4950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169902369</v>
      </c>
      <c r="D4995" s="2" t="str">
        <f t="shared" si="77"/>
        <v>Error?</v>
      </c>
    </row>
    <row r="4996" spans="1:4" x14ac:dyDescent="0.2">
      <c r="A4996" s="12">
        <v>4935</v>
      </c>
      <c r="B4996" s="138">
        <f>'FP Info 3'!H31</f>
        <v>23446526.922000002</v>
      </c>
      <c r="D4996" s="2" t="str">
        <f t="shared" si="77"/>
        <v>Error?</v>
      </c>
    </row>
    <row r="4997" spans="1:4" x14ac:dyDescent="0.2">
      <c r="A4997" s="12">
        <v>4936</v>
      </c>
      <c r="B4997" s="138">
        <f>'FP Info 3'!H37</f>
        <v>7076570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98032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3921204</v>
      </c>
      <c r="D5061" s="2" t="str">
        <f t="shared" si="78"/>
        <v>Error?</v>
      </c>
    </row>
    <row r="5062" spans="1:4" x14ac:dyDescent="0.2">
      <c r="A5062" s="10">
        <v>5001</v>
      </c>
      <c r="D5062" s="2" t="str">
        <f t="shared" si="78"/>
        <v>OK</v>
      </c>
    </row>
    <row r="5063" spans="1:4" x14ac:dyDescent="0.2">
      <c r="A5063" s="5">
        <v>5002</v>
      </c>
      <c r="B5063" s="138">
        <f>'Revenues 9-14'!C7</f>
        <v>78429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4097665</v>
      </c>
      <c r="C5066" s="2" t="s">
        <v>593</v>
      </c>
      <c r="D5066" s="2" t="str">
        <f t="shared" si="78"/>
        <v>Error?</v>
      </c>
    </row>
    <row r="5067" spans="1:4" x14ac:dyDescent="0.2">
      <c r="A5067" s="5">
        <v>5006</v>
      </c>
      <c r="B5067" s="138">
        <f>'Revenues 9-14'!C14</f>
        <v>6813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701630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708443</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9739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9739</v>
      </c>
      <c r="C5090" s="2" t="s">
        <v>593</v>
      </c>
      <c r="D5090" s="2" t="str">
        <f t="shared" si="78"/>
        <v>Error?</v>
      </c>
    </row>
    <row r="5091" spans="1:4" x14ac:dyDescent="0.2">
      <c r="A5091" s="5">
        <v>5030</v>
      </c>
      <c r="B5091" s="138">
        <f>'Revenues 9-14'!C70</f>
        <v>27155</v>
      </c>
      <c r="D5091" s="2" t="str">
        <f t="shared" si="78"/>
        <v>Error?</v>
      </c>
    </row>
    <row r="5092" spans="1:4" x14ac:dyDescent="0.2">
      <c r="A5092" s="5">
        <v>5031</v>
      </c>
      <c r="B5092" s="138">
        <f>'Revenues 9-14'!C71</f>
        <v>35245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13882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206420</v>
      </c>
      <c r="C5096" s="2" t="s">
        <v>593</v>
      </c>
      <c r="D5096" s="2" t="str">
        <f t="shared" si="78"/>
        <v>Error?</v>
      </c>
    </row>
    <row r="5097" spans="1:4" x14ac:dyDescent="0.2">
      <c r="A5097" s="5">
        <v>5036</v>
      </c>
      <c r="B5097" s="138">
        <f>'Revenues 9-14'!C77</f>
        <v>70737</v>
      </c>
      <c r="D5097" s="2" t="str">
        <f t="shared" si="78"/>
        <v>Error?</v>
      </c>
    </row>
    <row r="5098" spans="1:4" x14ac:dyDescent="0.2">
      <c r="A5098" s="5">
        <v>5037</v>
      </c>
      <c r="B5098" s="138">
        <f>'Revenues 9-14'!C78</f>
        <v>7090</v>
      </c>
      <c r="D5098" s="2" t="str">
        <f t="shared" si="78"/>
        <v>Error?</v>
      </c>
    </row>
    <row r="5099" spans="1:4" x14ac:dyDescent="0.2">
      <c r="A5099" s="5">
        <v>5038</v>
      </c>
      <c r="B5099" s="138">
        <f>'Revenues 9-14'!C79</f>
        <v>17590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95417</v>
      </c>
      <c r="C5102" s="2" t="s">
        <v>593</v>
      </c>
      <c r="D5102" s="2" t="str">
        <f t="shared" si="78"/>
        <v>Error?</v>
      </c>
    </row>
    <row r="5103" spans="1:4" x14ac:dyDescent="0.2">
      <c r="A5103" s="5">
        <v>5042</v>
      </c>
      <c r="B5103" s="138">
        <f>'Revenues 9-14'!C84</f>
        <v>81777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557</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82334</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16688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52745</v>
      </c>
      <c r="D5119" s="2" t="str">
        <f t="shared" ref="D5119:D5182" si="79">IF(ISBLANK(B5119),"OK",IF(A5119-B5119=0,"OK","Error?"))</f>
        <v>Error?</v>
      </c>
    </row>
    <row r="5120" spans="1:4" x14ac:dyDescent="0.2">
      <c r="A5120" s="5">
        <v>5059</v>
      </c>
      <c r="B5120" s="138">
        <f>'Revenues 9-14'!C108</f>
        <v>77478</v>
      </c>
      <c r="C5120" s="2" t="s">
        <v>593</v>
      </c>
      <c r="D5120" s="2" t="str">
        <f t="shared" si="79"/>
        <v>Error?</v>
      </c>
    </row>
    <row r="5121" spans="1:4" x14ac:dyDescent="0.2">
      <c r="A5121" s="5">
        <v>5060</v>
      </c>
      <c r="B5121" s="138">
        <f>'Revenues 9-14'!C109</f>
        <v>5277496</v>
      </c>
      <c r="C5121" s="2" t="s">
        <v>593</v>
      </c>
      <c r="D5121" s="2" t="str">
        <f t="shared" si="79"/>
        <v>Error?</v>
      </c>
    </row>
    <row r="5122" spans="1:4" x14ac:dyDescent="0.2">
      <c r="A5122" s="5">
        <v>5061</v>
      </c>
      <c r="B5122" s="138">
        <f>'Revenues 9-14'!C111</f>
        <v>3262</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3262</v>
      </c>
      <c r="C5125" s="2" t="s">
        <v>593</v>
      </c>
      <c r="D5125" s="2" t="str">
        <f t="shared" si="79"/>
        <v>Error?</v>
      </c>
    </row>
    <row r="5126" spans="1:4" x14ac:dyDescent="0.2">
      <c r="A5126" s="5">
        <v>5065</v>
      </c>
      <c r="B5126" s="138">
        <f>'Revenues 9-14'!C117</f>
        <v>2026781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2026781</v>
      </c>
      <c r="C5132" s="2" t="s">
        <v>593</v>
      </c>
      <c r="D5132" s="2" t="str">
        <f t="shared" si="79"/>
        <v>Error?</v>
      </c>
    </row>
    <row r="5133" spans="1:4" x14ac:dyDescent="0.2">
      <c r="A5133" s="5">
        <v>5072</v>
      </c>
      <c r="B5133" s="138">
        <f>'Revenues 9-14'!C124</f>
        <v>232921</v>
      </c>
      <c r="D5133" s="2" t="str">
        <f t="shared" si="79"/>
        <v>Error?</v>
      </c>
    </row>
    <row r="5134" spans="1:4" x14ac:dyDescent="0.2">
      <c r="A5134" s="5">
        <v>5073</v>
      </c>
      <c r="B5134" s="138">
        <f>'Revenues 9-14'!C125</f>
        <v>90072</v>
      </c>
      <c r="D5134" s="2" t="str">
        <f t="shared" si="79"/>
        <v>Error?</v>
      </c>
    </row>
    <row r="5135" spans="1:4" x14ac:dyDescent="0.2">
      <c r="A5135" s="5">
        <v>5074</v>
      </c>
      <c r="B5135" s="138">
        <f>'Revenues 9-14'!C126</f>
        <v>76466</v>
      </c>
      <c r="D5135" s="2" t="str">
        <f t="shared" si="79"/>
        <v>Error?</v>
      </c>
    </row>
    <row r="5136" spans="1:4" x14ac:dyDescent="0.2">
      <c r="A5136" s="10">
        <v>5075</v>
      </c>
      <c r="D5136" s="2" t="str">
        <f t="shared" si="79"/>
        <v>OK</v>
      </c>
    </row>
    <row r="5137" spans="1:4" x14ac:dyDescent="0.2">
      <c r="A5137" s="5">
        <v>5076</v>
      </c>
      <c r="B5137" s="138">
        <f>'Revenues 9-14'!C127</f>
        <v>12640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1104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413203</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4314</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3898</v>
      </c>
      <c r="D5167" s="2" t="str">
        <f t="shared" si="79"/>
        <v>Error?</v>
      </c>
    </row>
    <row r="5168" spans="1:4" x14ac:dyDescent="0.2">
      <c r="A5168" s="5">
        <v>5107</v>
      </c>
      <c r="B5168" s="138">
        <f>'Revenues 9-14'!C147</f>
        <v>19598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110236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552930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2579711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214367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66348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280715</v>
      </c>
      <c r="C5246" s="2" t="s">
        <v>593</v>
      </c>
      <c r="D5246" s="2" t="str">
        <f t="shared" si="80"/>
        <v>Error?</v>
      </c>
    </row>
    <row r="5247" spans="1:4" x14ac:dyDescent="0.2">
      <c r="A5247" s="5">
        <v>5186</v>
      </c>
      <c r="B5247" s="138">
        <f>'Revenues 9-14'!C203</f>
        <v>290621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8994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290621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26087</v>
      </c>
      <c r="D5278" s="2" t="str">
        <f t="shared" si="81"/>
        <v>Error?</v>
      </c>
    </row>
    <row r="5279" spans="1:4" x14ac:dyDescent="0.2">
      <c r="A5279" s="5">
        <v>5218</v>
      </c>
      <c r="B5279" s="138">
        <f>'Revenues 9-14'!C221</f>
        <v>439209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465296</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90337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90337</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1231250</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1231250</v>
      </c>
      <c r="C5326" s="2" t="s">
        <v>593</v>
      </c>
      <c r="D5326" s="2" t="str">
        <f t="shared" si="82"/>
        <v>Error?</v>
      </c>
    </row>
    <row r="5327" spans="1:4" x14ac:dyDescent="0.2">
      <c r="A5327" s="5">
        <v>5266</v>
      </c>
      <c r="B5327" s="138">
        <f>'Revenues 9-14'!C275</f>
        <v>9091719</v>
      </c>
      <c r="C5327" s="2" t="s">
        <v>593</v>
      </c>
      <c r="D5327" s="2" t="str">
        <f t="shared" si="82"/>
        <v>Error?</v>
      </c>
    </row>
    <row r="5328" spans="1:4" x14ac:dyDescent="0.2">
      <c r="A5328" s="5">
        <v>5267</v>
      </c>
      <c r="B5328" s="138">
        <f>'Revenues 9-14'!D5</f>
        <v>980314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980314</v>
      </c>
      <c r="C5334" s="2" t="s">
        <v>593</v>
      </c>
      <c r="D5334" s="2" t="str">
        <f t="shared" si="82"/>
        <v>Error?</v>
      </c>
    </row>
    <row r="5335" spans="1:4" x14ac:dyDescent="0.2">
      <c r="A5335" s="5">
        <v>5274</v>
      </c>
      <c r="B5335" s="138">
        <f>'Revenues 9-14'!D14</f>
        <v>1630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1630</v>
      </c>
      <c r="C5339" s="2" t="s">
        <v>593</v>
      </c>
      <c r="D5339" s="2" t="str">
        <f t="shared" si="82"/>
        <v>Error?</v>
      </c>
    </row>
    <row r="5340" spans="1:4" x14ac:dyDescent="0.2">
      <c r="A5340" s="5">
        <v>5279</v>
      </c>
      <c r="B5340" s="138">
        <f>'Revenues 9-14'!D65</f>
        <v>5853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5853</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3780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3780</v>
      </c>
      <c r="C5348" s="2" t="s">
        <v>593</v>
      </c>
      <c r="D5348" s="2" t="str">
        <f t="shared" si="82"/>
        <v>Error?</v>
      </c>
    </row>
    <row r="5349" spans="1:4" x14ac:dyDescent="0.2">
      <c r="A5349" s="5">
        <v>5288</v>
      </c>
      <c r="B5349" s="138">
        <f>'Revenues 9-14'!D95</f>
        <v>28050</v>
      </c>
      <c r="D5349" s="2" t="str">
        <f t="shared" si="82"/>
        <v>Error?</v>
      </c>
    </row>
    <row r="5350" spans="1:4" x14ac:dyDescent="0.2">
      <c r="A5350" s="5">
        <v>5289</v>
      </c>
      <c r="B5350" s="138">
        <f>'Revenues 9-14'!D96</f>
        <v>8000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25512</v>
      </c>
      <c r="D5354" s="2" t="str">
        <f t="shared" si="82"/>
        <v>Error?</v>
      </c>
    </row>
    <row r="5355" spans="1:4" x14ac:dyDescent="0.2">
      <c r="A5355" s="5">
        <v>5294</v>
      </c>
      <c r="B5355" s="138">
        <f>'Revenues 9-14'!D108</f>
        <v>61562</v>
      </c>
      <c r="C5355" s="2" t="s">
        <v>593</v>
      </c>
      <c r="D5355" s="2" t="str">
        <f t="shared" si="82"/>
        <v>Error?</v>
      </c>
    </row>
    <row r="5356" spans="1:4" x14ac:dyDescent="0.2">
      <c r="A5356" s="5">
        <v>5295</v>
      </c>
      <c r="B5356" s="138">
        <f>'Revenues 9-14'!D109</f>
        <v>1053139</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1053139</v>
      </c>
      <c r="C5508" s="2" t="s">
        <v>593</v>
      </c>
      <c r="D5508" s="2" t="str">
        <f t="shared" si="85"/>
        <v>Error?</v>
      </c>
    </row>
    <row r="5509" spans="1:4" x14ac:dyDescent="0.2">
      <c r="A5509" s="5">
        <v>5448</v>
      </c>
      <c r="B5509" s="138">
        <f>'Revenues 9-14'!E5</f>
        <v>739979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739979</v>
      </c>
      <c r="C5513" s="2" t="s">
        <v>593</v>
      </c>
      <c r="D5513" s="2" t="str">
        <f t="shared" si="85"/>
        <v>Error?</v>
      </c>
    </row>
    <row r="5514" spans="1:4" x14ac:dyDescent="0.2">
      <c r="A5514" s="5">
        <v>5453</v>
      </c>
      <c r="B5514" s="138">
        <f>'Revenues 9-14'!E14</f>
        <v>1230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1230</v>
      </c>
      <c r="C5518" s="2" t="s">
        <v>593</v>
      </c>
      <c r="D5518" s="2" t="str">
        <f t="shared" si="85"/>
        <v>Error?</v>
      </c>
    </row>
    <row r="5519" spans="1:4" x14ac:dyDescent="0.2">
      <c r="A5519" s="5">
        <v>5458</v>
      </c>
      <c r="B5519" s="138">
        <f>'Revenues 9-14'!E65</f>
        <v>1202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742411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742411</v>
      </c>
      <c r="C5552" s="2" t="s">
        <v>593</v>
      </c>
      <c r="D5552" s="2" t="str">
        <f t="shared" si="85"/>
        <v>Error?</v>
      </c>
    </row>
    <row r="5553" spans="1:4" x14ac:dyDescent="0.2">
      <c r="A5553" s="5">
        <v>5492</v>
      </c>
      <c r="B5553" s="138">
        <f>'Revenues 9-14'!F5</f>
        <v>392129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392129</v>
      </c>
      <c r="C5557" s="2" t="s">
        <v>593</v>
      </c>
      <c r="D5557" s="2" t="str">
        <f t="shared" si="85"/>
        <v>Error?</v>
      </c>
    </row>
    <row r="5558" spans="1:4" x14ac:dyDescent="0.2">
      <c r="A5558" s="5">
        <v>5497</v>
      </c>
      <c r="B5558" s="138">
        <f>'Revenues 9-14'!F14</f>
        <v>652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652</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2532</v>
      </c>
      <c r="D5565" s="2" t="str">
        <f t="shared" si="85"/>
        <v>Error?</v>
      </c>
    </row>
    <row r="5566" spans="1:4" x14ac:dyDescent="0.2">
      <c r="A5566" s="5">
        <v>5505</v>
      </c>
      <c r="B5566" s="138">
        <f>'Revenues 9-14'!F45</f>
        <v>3562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1993</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8087</v>
      </c>
      <c r="C5579" s="2" t="s">
        <v>593</v>
      </c>
      <c r="D5579" s="2" t="str">
        <f t="shared" si="86"/>
        <v>Error?</v>
      </c>
    </row>
    <row r="5580" spans="1:4" x14ac:dyDescent="0.2">
      <c r="A5580" s="5">
        <v>5519</v>
      </c>
      <c r="B5580" s="138">
        <f>'Revenues 9-14'!F65</f>
        <v>692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25069</v>
      </c>
      <c r="D5586" s="2" t="str">
        <f t="shared" si="86"/>
        <v>Error?</v>
      </c>
    </row>
    <row r="5587" spans="1:4" x14ac:dyDescent="0.2">
      <c r="A5587" s="5">
        <v>5526</v>
      </c>
      <c r="B5587" s="138">
        <f>'Revenues 9-14'!F108</f>
        <v>25069</v>
      </c>
      <c r="C5587" s="2" t="s">
        <v>593</v>
      </c>
      <c r="D5587" s="2" t="str">
        <f t="shared" si="86"/>
        <v>Error?</v>
      </c>
    </row>
    <row r="5588" spans="1:4" x14ac:dyDescent="0.2">
      <c r="A5588" s="5">
        <v>5527</v>
      </c>
      <c r="B5588" s="138">
        <f>'Revenues 9-14'!F109</f>
        <v>426629</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122500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122500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539801</v>
      </c>
      <c r="D5615" s="2" t="str">
        <f t="shared" si="86"/>
        <v>Error?</v>
      </c>
    </row>
    <row r="5616" spans="1:4" x14ac:dyDescent="0.2">
      <c r="A5616" s="10">
        <v>5555</v>
      </c>
      <c r="D5616" s="2" t="str">
        <f t="shared" si="86"/>
        <v>OK</v>
      </c>
    </row>
    <row r="5617" spans="1:4" x14ac:dyDescent="0.2">
      <c r="A5617" s="5">
        <v>5556</v>
      </c>
      <c r="B5617" s="138">
        <f>'Revenues 9-14'!F152</f>
        <v>344268</v>
      </c>
      <c r="D5617" s="2" t="str">
        <f t="shared" si="86"/>
        <v>Error?</v>
      </c>
    </row>
    <row r="5618" spans="1:4" x14ac:dyDescent="0.2">
      <c r="A5618" s="5">
        <v>5557</v>
      </c>
      <c r="B5618" s="138">
        <f>'Revenues 9-14'!F154</f>
        <v>884069</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92699</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976768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1099268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1525897</v>
      </c>
      <c r="C5720" s="2" t="s">
        <v>593</v>
      </c>
      <c r="D5720" s="2" t="str">
        <f t="shared" si="88"/>
        <v>Error?</v>
      </c>
    </row>
    <row r="5721" spans="1:4" x14ac:dyDescent="0.2">
      <c r="A5721" s="5">
        <v>5660</v>
      </c>
      <c r="B5721" s="138">
        <f>'Revenues 9-14'!G5</f>
        <v>199819</v>
      </c>
      <c r="D5721" s="2" t="str">
        <f t="shared" si="88"/>
        <v>Error?</v>
      </c>
    </row>
    <row r="5722" spans="1:4" x14ac:dyDescent="0.2">
      <c r="A5722" s="5">
        <v>5661</v>
      </c>
      <c r="B5722" s="138">
        <f>'Revenues 9-14'!G7</f>
        <v>0</v>
      </c>
      <c r="D5722" s="2" t="str">
        <f t="shared" si="88"/>
        <v>Error?</v>
      </c>
    </row>
    <row r="5723" spans="1:4" x14ac:dyDescent="0.2">
      <c r="A5723" s="5">
        <v>5662</v>
      </c>
      <c r="B5723" s="138">
        <f>'Revenues 9-14'!G8</f>
        <v>239759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439578</v>
      </c>
      <c r="C5725" s="2" t="s">
        <v>593</v>
      </c>
      <c r="D5725" s="2" t="str">
        <f t="shared" si="88"/>
        <v>Error?</v>
      </c>
    </row>
    <row r="5726" spans="1:4" x14ac:dyDescent="0.2">
      <c r="A5726" s="5">
        <v>5665</v>
      </c>
      <c r="B5726" s="138">
        <f>'Revenues 9-14'!G14</f>
        <v>731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188390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189121</v>
      </c>
      <c r="C5730" s="2" t="s">
        <v>593</v>
      </c>
      <c r="D5730" s="2" t="str">
        <f t="shared" si="88"/>
        <v>Error?</v>
      </c>
    </row>
    <row r="5731" spans="1:4" x14ac:dyDescent="0.2">
      <c r="A5731" s="5">
        <v>5670</v>
      </c>
      <c r="B5731" s="138">
        <f>'Revenues 9-14'!G65</f>
        <v>2687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2687</v>
      </c>
      <c r="C5733" s="2" t="s">
        <v>593</v>
      </c>
      <c r="D5733" s="2" t="str">
        <f t="shared" si="88"/>
        <v>Error?</v>
      </c>
    </row>
    <row r="5734" spans="1:4" x14ac:dyDescent="0.2">
      <c r="A5734" s="5">
        <v>5673</v>
      </c>
      <c r="B5734" s="138">
        <f>'Revenues 9-14'!G96</f>
        <v>323</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323</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631709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98032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98032</v>
      </c>
      <c r="C5918" s="2" t="s">
        <v>593</v>
      </c>
      <c r="D5918" s="2" t="str">
        <f t="shared" si="91"/>
        <v>Error?</v>
      </c>
    </row>
    <row r="5919" spans="1:4" x14ac:dyDescent="0.2">
      <c r="A5919" s="5">
        <v>5858</v>
      </c>
      <c r="B5919" s="138">
        <f>'Revenues 9-14'!I14</f>
        <v>163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163</v>
      </c>
      <c r="C5923" s="2" t="s">
        <v>593</v>
      </c>
      <c r="D5923" s="2" t="str">
        <f t="shared" si="91"/>
        <v>Error?</v>
      </c>
    </row>
    <row r="5924" spans="1:4" x14ac:dyDescent="0.2">
      <c r="A5924" s="5">
        <v>5863</v>
      </c>
      <c r="B5924" s="138">
        <f>'Revenues 9-14'!I65</f>
        <v>2166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2166</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100361</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98032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98032</v>
      </c>
      <c r="C5987" s="2" t="s">
        <v>593</v>
      </c>
      <c r="D5987" s="2" t="str">
        <f t="shared" si="92"/>
        <v>Error?</v>
      </c>
    </row>
    <row r="5988" spans="1:4" x14ac:dyDescent="0.2">
      <c r="A5988" s="5">
        <v>5927</v>
      </c>
      <c r="B5988" s="138">
        <f>'Revenues 9-14'!K14</f>
        <v>163</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163</v>
      </c>
      <c r="C5992" s="2" t="s">
        <v>593</v>
      </c>
      <c r="D5992" s="2" t="str">
        <f t="shared" si="92"/>
        <v>Error?</v>
      </c>
    </row>
    <row r="5993" spans="1:4" x14ac:dyDescent="0.2">
      <c r="A5993" s="5">
        <v>5932</v>
      </c>
      <c r="B5993" s="138">
        <f>'Revenues 9-14'!K65</f>
        <v>1289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1289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99484</v>
      </c>
      <c r="C6023" s="2" t="s">
        <v>593</v>
      </c>
      <c r="D6023" s="2" t="str">
        <f t="shared" si="93"/>
        <v>Error?</v>
      </c>
    </row>
    <row r="6024" spans="1:5" x14ac:dyDescent="0.2">
      <c r="A6024" s="5">
        <v>5963</v>
      </c>
      <c r="B6024" s="138">
        <f>'Revenues 9-14'!G109</f>
        <v>631709</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100361</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99484</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130138</v>
      </c>
      <c r="D6031" s="2" t="str">
        <f t="shared" si="93"/>
        <v>Error?</v>
      </c>
    </row>
    <row r="6032" spans="1:5" x14ac:dyDescent="0.2">
      <c r="A6032" s="5">
        <v>5971</v>
      </c>
      <c r="B6032" s="138">
        <f>'Acct Summary 7-8'!G15</f>
        <v>7348</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49430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1227.6500000000001</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250000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98</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231089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250000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231089</v>
      </c>
      <c r="D6215" s="2" t="str">
        <f t="shared" si="96"/>
        <v>Error?</v>
      </c>
      <c r="E6215" s="2" t="s">
        <v>199</v>
      </c>
    </row>
    <row r="6216" spans="1:5" x14ac:dyDescent="0.2">
      <c r="A6216">
        <v>6155</v>
      </c>
      <c r="B6216" s="138">
        <f>'Assets-Liab 5-6'!J41</f>
        <v>231089</v>
      </c>
      <c r="D6216" s="2" t="str">
        <f t="shared" si="96"/>
        <v>Error?</v>
      </c>
      <c r="E6216" s="2" t="s">
        <v>199</v>
      </c>
    </row>
    <row r="6217" spans="1:5" x14ac:dyDescent="0.2">
      <c r="A6217">
        <v>6156</v>
      </c>
      <c r="B6217" s="138">
        <f>'Assets-Liab 5-6'!J4</f>
        <v>231089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1209570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1209570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1209570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1061227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1061227</v>
      </c>
      <c r="D6229" s="2" t="str">
        <f t="shared" si="96"/>
        <v>Error?</v>
      </c>
      <c r="E6229" s="2" t="s">
        <v>199</v>
      </c>
    </row>
    <row r="6230" spans="1:5" x14ac:dyDescent="0.2">
      <c r="A6230">
        <v>6169</v>
      </c>
      <c r="B6230" s="138">
        <f>'Acct Summary 7-8'!J20</f>
        <v>148343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148343</v>
      </c>
      <c r="D6263" s="2" t="str">
        <f t="shared" si="96"/>
        <v>Error?</v>
      </c>
      <c r="E6263" s="2" t="s">
        <v>199</v>
      </c>
    </row>
    <row r="6264" spans="1:5" x14ac:dyDescent="0.2">
      <c r="A6264">
        <v>6203</v>
      </c>
      <c r="B6264" s="138">
        <f>'Acct Summary 7-8'!J79</f>
        <v>82746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231089</v>
      </c>
      <c r="D6266" s="2" t="str">
        <f t="shared" si="96"/>
        <v>Error?</v>
      </c>
      <c r="E6266" s="2" t="s">
        <v>199</v>
      </c>
    </row>
    <row r="6267" spans="1:5" x14ac:dyDescent="0.2">
      <c r="A6267">
        <v>6206</v>
      </c>
      <c r="B6267" s="138">
        <f>'Acct Summary 7-8'!C82</f>
        <v>548745</v>
      </c>
      <c r="D6267" s="2" t="str">
        <f t="shared" si="96"/>
        <v>Error?</v>
      </c>
      <c r="E6267" s="2" t="s">
        <v>199</v>
      </c>
    </row>
    <row r="6268" spans="1:5" x14ac:dyDescent="0.2">
      <c r="A6268">
        <v>6207</v>
      </c>
      <c r="B6268" s="138">
        <f>'Acct Summary 7-8'!D82</f>
        <v>6024</v>
      </c>
      <c r="D6268" s="2" t="str">
        <f t="shared" si="96"/>
        <v>Error?</v>
      </c>
      <c r="E6268" s="2" t="s">
        <v>199</v>
      </c>
    </row>
    <row r="6269" spans="1:5" x14ac:dyDescent="0.2">
      <c r="A6269">
        <v>6208</v>
      </c>
      <c r="B6269" s="138">
        <f>'Acct Summary 7-8'!E82</f>
        <v>1808</v>
      </c>
      <c r="D6269" s="2" t="str">
        <f t="shared" si="96"/>
        <v>Error?</v>
      </c>
      <c r="E6269" s="2" t="s">
        <v>199</v>
      </c>
    </row>
    <row r="6270" spans="1:5" x14ac:dyDescent="0.2">
      <c r="A6270">
        <v>6209</v>
      </c>
      <c r="B6270" s="138">
        <f>'Acct Summary 7-8'!F82</f>
        <v>485340</v>
      </c>
      <c r="D6270" s="2" t="str">
        <f t="shared" si="96"/>
        <v>Error?</v>
      </c>
      <c r="E6270" s="2" t="s">
        <v>199</v>
      </c>
    </row>
    <row r="6271" spans="1:5" x14ac:dyDescent="0.2">
      <c r="A6271">
        <v>6210</v>
      </c>
      <c r="B6271" s="138">
        <f>'Acct Summary 7-8'!G82</f>
        <v>-78829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-149639</v>
      </c>
      <c r="D6273" s="2" t="str">
        <f t="shared" si="97"/>
        <v>Error?</v>
      </c>
      <c r="E6273" s="2" t="s">
        <v>199</v>
      </c>
    </row>
    <row r="6274" spans="1:5" x14ac:dyDescent="0.2">
      <c r="A6274">
        <v>6213</v>
      </c>
      <c r="B6274" s="138">
        <f>'Acct Summary 7-8'!J82</f>
        <v>148343</v>
      </c>
      <c r="D6274" s="2" t="str">
        <f t="shared" si="97"/>
        <v>Error?</v>
      </c>
      <c r="E6274" s="2" t="s">
        <v>199</v>
      </c>
    </row>
    <row r="6275" spans="1:5" x14ac:dyDescent="0.2">
      <c r="A6275">
        <v>6214</v>
      </c>
      <c r="B6275" s="138">
        <f>'Acct Summary 7-8'!K82</f>
        <v>64134</v>
      </c>
      <c r="D6275" s="2" t="str">
        <f t="shared" si="97"/>
        <v>Error?</v>
      </c>
      <c r="E6275" s="2" t="s">
        <v>199</v>
      </c>
    </row>
    <row r="6276" spans="1:5" x14ac:dyDescent="0.2">
      <c r="A6276">
        <v>6215</v>
      </c>
      <c r="B6276" s="138">
        <f>'Acct Summary 7-8'!C83</f>
        <v>0.41563656029303497</v>
      </c>
      <c r="D6276" s="2" t="str">
        <f t="shared" si="97"/>
        <v>Error?</v>
      </c>
      <c r="E6276" s="2" t="s">
        <v>199</v>
      </c>
    </row>
    <row r="6277" spans="1:5" x14ac:dyDescent="0.2">
      <c r="A6277">
        <v>6216</v>
      </c>
      <c r="B6277" s="138">
        <f>'Acct Summary 7-8'!D83</f>
        <v>6.0676140095002884E-3</v>
      </c>
      <c r="D6277" s="2" t="str">
        <f t="shared" si="97"/>
        <v>Error?</v>
      </c>
      <c r="E6277" s="2" t="s">
        <v>199</v>
      </c>
    </row>
    <row r="6278" spans="1:5" x14ac:dyDescent="0.2">
      <c r="A6278">
        <v>6217</v>
      </c>
      <c r="B6278" s="138">
        <f>'Acct Summary 7-8'!E83</f>
        <v>9.2952952850025965E-3</v>
      </c>
      <c r="D6278" s="2" t="str">
        <f t="shared" si="97"/>
        <v>Error?</v>
      </c>
      <c r="E6278" s="2" t="s">
        <v>199</v>
      </c>
    </row>
    <row r="6279" spans="1:5" x14ac:dyDescent="0.2">
      <c r="A6279">
        <v>6218</v>
      </c>
      <c r="B6279" s="138">
        <f>'Acct Summary 7-8'!F83</f>
        <v>5.6744338310086402</v>
      </c>
      <c r="D6279" s="2" t="str">
        <f t="shared" si="97"/>
        <v>Error?</v>
      </c>
      <c r="E6279" s="2" t="s">
        <v>199</v>
      </c>
    </row>
    <row r="6280" spans="1:5" x14ac:dyDescent="0.2">
      <c r="A6280">
        <v>6219</v>
      </c>
      <c r="B6280" s="138">
        <f>'Acct Summary 7-8'!G83</f>
        <v>-0.11679027856383026</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-0.42044883015877921</v>
      </c>
      <c r="D6282" s="2" t="str">
        <f t="shared" si="97"/>
        <v>Error?</v>
      </c>
      <c r="E6282" s="2" t="s">
        <v>199</v>
      </c>
    </row>
    <row r="6283" spans="1:5" x14ac:dyDescent="0.2">
      <c r="A6283">
        <v>6222</v>
      </c>
      <c r="B6283" s="138">
        <f>'Acct Summary 7-8'!J83</f>
        <v>0.64193016543409687</v>
      </c>
      <c r="D6283" s="2" t="str">
        <f t="shared" si="97"/>
        <v>Error?</v>
      </c>
      <c r="E6283" s="2" t="s">
        <v>199</v>
      </c>
    </row>
    <row r="6284" spans="1:5" x14ac:dyDescent="0.2">
      <c r="A6284">
        <v>6223</v>
      </c>
      <c r="B6284" s="138">
        <f>'Acct Summary 7-8'!K83</f>
        <v>0.31260631997621358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1198809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1198809</v>
      </c>
      <c r="D6301" s="2" t="str">
        <f t="shared" si="97"/>
        <v>Error?</v>
      </c>
      <c r="E6301" s="2" t="s">
        <v>199</v>
      </c>
    </row>
    <row r="6302" spans="1:5" x14ac:dyDescent="0.2">
      <c r="A6302">
        <v>6241</v>
      </c>
      <c r="B6302" s="138">
        <f>'Revenues 9-14'!J14</f>
        <v>1993</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1993</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3073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3073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5695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7858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5695</v>
      </c>
      <c r="D6351" s="2" t="str">
        <f t="shared" si="98"/>
        <v>Error?</v>
      </c>
      <c r="E6351" s="2" t="s">
        <v>199</v>
      </c>
    </row>
    <row r="6352" spans="1:5" x14ac:dyDescent="0.2">
      <c r="A6352">
        <v>6291</v>
      </c>
      <c r="B6352" s="138">
        <f>'Revenues 9-14'!J109</f>
        <v>1209570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4314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70134</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89432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3431</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9825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87</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42776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672450</v>
      </c>
      <c r="D6880" s="2" t="str">
        <f t="shared" si="106"/>
        <v>Error?</v>
      </c>
    </row>
    <row r="6881" spans="1:4" x14ac:dyDescent="0.2">
      <c r="A6881">
        <v>6820</v>
      </c>
      <c r="B6881" s="138">
        <f>'Expenditures 15-22'!K22</f>
        <v>672450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13343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2249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5330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7579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7579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142062</v>
      </c>
      <c r="D6983" s="2" t="str">
        <f t="shared" si="108"/>
        <v>Error?</v>
      </c>
    </row>
    <row r="6984" spans="1:4" x14ac:dyDescent="0.2">
      <c r="A6984">
        <v>6923</v>
      </c>
      <c r="B6984" s="138">
        <f>'Expenditures 15-22'!K86</f>
        <v>142062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142062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20922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3977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3977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3977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1061227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3977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1209570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3600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3600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3600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4903</v>
      </c>
      <c r="D7073" s="2" t="str">
        <f t="shared" si="109"/>
        <v>Error?</v>
      </c>
    </row>
    <row r="7074" spans="1:4" x14ac:dyDescent="0.2">
      <c r="A7074">
        <v>7013</v>
      </c>
      <c r="B7074" s="138">
        <f>'Expenditures 15-22'!K216</f>
        <v>4903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714</v>
      </c>
      <c r="D7079" s="2" t="str">
        <f t="shared" si="109"/>
        <v>Error?</v>
      </c>
    </row>
    <row r="7080" spans="1:4" x14ac:dyDescent="0.2">
      <c r="A7080">
        <v>7019</v>
      </c>
      <c r="B7080" s="138">
        <f>'Expenditures 15-22'!K226</f>
        <v>714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95413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95413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593483</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235153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828636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109051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109051</v>
      </c>
      <c r="D7198" s="2" t="str">
        <f t="shared" si="111"/>
        <v>Error?</v>
      </c>
    </row>
    <row r="7199" spans="1:4" x14ac:dyDescent="0.2">
      <c r="A7199">
        <v>7138</v>
      </c>
      <c r="B7199" s="138">
        <f>'Expenditures 15-22'!C330</f>
        <v>593483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467744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1061227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593483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467744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1061227</v>
      </c>
      <c r="D7224" s="2" t="str">
        <f t="shared" si="111"/>
        <v>Error?</v>
      </c>
    </row>
    <row r="7225" spans="1:4" x14ac:dyDescent="0.2">
      <c r="A7225">
        <v>7164</v>
      </c>
      <c r="B7225" s="138">
        <f>'Expenditures 15-22'!K343</f>
        <v>148343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14897</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3523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34452</v>
      </c>
      <c r="D7263" s="2" t="str">
        <f t="shared" si="112"/>
        <v>Error?</v>
      </c>
    </row>
    <row r="7264" spans="1:4" x14ac:dyDescent="0.2">
      <c r="A7264">
        <f t="shared" si="113"/>
        <v>7203</v>
      </c>
      <c r="B7264" s="138">
        <f>'Expenditures 15-22'!D17</f>
        <v>1062</v>
      </c>
      <c r="D7264" s="2" t="str">
        <f t="shared" si="112"/>
        <v>Error?</v>
      </c>
    </row>
    <row r="7265" spans="1:5" x14ac:dyDescent="0.2">
      <c r="A7265">
        <f t="shared" si="113"/>
        <v>7204</v>
      </c>
      <c r="B7265" s="138">
        <f>'Expenditures 15-22'!E17</f>
        <v>6320</v>
      </c>
      <c r="D7265" s="2" t="str">
        <f t="shared" si="112"/>
        <v>Error?</v>
      </c>
    </row>
    <row r="7266" spans="1:5" x14ac:dyDescent="0.2">
      <c r="A7266">
        <f t="shared" si="113"/>
        <v>7205</v>
      </c>
      <c r="B7266" s="138">
        <f>'Expenditures 15-22'!F17</f>
        <v>942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555363</v>
      </c>
      <c r="D7615" s="2" t="str">
        <f t="shared" ref="D7615:D7678" si="124">IF(ISBLANK(B7615),"OK",IF(A7615-B7615=0,"OK","Error?"))</f>
        <v>Error?</v>
      </c>
      <c r="E7615" s="2" t="s">
        <v>19</v>
      </c>
    </row>
    <row r="7616" spans="1:5" x14ac:dyDescent="0.2">
      <c r="A7616">
        <f t="shared" si="123"/>
        <v>7555</v>
      </c>
      <c r="B7616" s="138">
        <f>'Cap Outlay Deprec 26'!D14</f>
        <v>99191</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654554</v>
      </c>
      <c r="D7618" s="2" t="str">
        <f t="shared" si="124"/>
        <v>Error?</v>
      </c>
      <c r="E7618" s="2" t="s">
        <v>19</v>
      </c>
    </row>
    <row r="7619" spans="1:5" x14ac:dyDescent="0.2">
      <c r="A7619">
        <f t="shared" si="123"/>
        <v>7558</v>
      </c>
      <c r="B7619" s="138">
        <f>'Cap Outlay Deprec 26'!H14</f>
        <v>461463</v>
      </c>
      <c r="D7619" s="2" t="str">
        <f t="shared" si="124"/>
        <v>Error?</v>
      </c>
      <c r="E7619" s="2" t="s">
        <v>19</v>
      </c>
    </row>
    <row r="7620" spans="1:5" x14ac:dyDescent="0.2">
      <c r="A7620">
        <f t="shared" si="123"/>
        <v>7559</v>
      </c>
      <c r="B7620" s="138">
        <f>'Cap Outlay Deprec 26'!I14</f>
        <v>82524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543987</v>
      </c>
      <c r="D7622" s="2" t="str">
        <f t="shared" si="124"/>
        <v>Error?</v>
      </c>
      <c r="E7622" s="2" t="s">
        <v>19</v>
      </c>
    </row>
    <row r="7623" spans="1:5" x14ac:dyDescent="0.2">
      <c r="A7623">
        <f t="shared" si="123"/>
        <v>7562</v>
      </c>
      <c r="B7623" s="138">
        <f>'Cap Outlay Deprec 26'!L14</f>
        <v>110567</v>
      </c>
      <c r="D7623" s="2" t="str">
        <f t="shared" si="124"/>
        <v>Error?</v>
      </c>
      <c r="E7623" s="2" t="s">
        <v>19</v>
      </c>
    </row>
    <row r="7624" spans="1:5" x14ac:dyDescent="0.2">
      <c r="A7624">
        <f t="shared" si="123"/>
        <v>7563</v>
      </c>
      <c r="B7624" s="138">
        <f>'Cap Outlay Deprec 26'!F17</f>
        <v>28499</v>
      </c>
      <c r="D7624" s="2" t="str">
        <f t="shared" si="124"/>
        <v>Error?</v>
      </c>
      <c r="E7624" s="2" t="s">
        <v>19</v>
      </c>
    </row>
    <row r="7625" spans="1:5" x14ac:dyDescent="0.2">
      <c r="A7625">
        <f t="shared" si="123"/>
        <v>7564</v>
      </c>
      <c r="B7625" s="138">
        <f>'Cap Outlay Deprec 26'!I17</f>
        <v>2849.9</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1117848.8999999999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28127</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28127</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7858</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19599</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27457</v>
      </c>
      <c r="D7719" s="2" t="str">
        <f t="shared" si="126"/>
        <v>Error?</v>
      </c>
      <c r="E7719" s="2" t="s">
        <v>880</v>
      </c>
    </row>
    <row r="7720" spans="1:6" x14ac:dyDescent="0.2">
      <c r="A7720">
        <v>7659</v>
      </c>
      <c r="B7720" s="138">
        <f>'Rest Tax Levies-Tort Im 25'!H14</f>
        <v>78429</v>
      </c>
      <c r="D7720" s="2" t="str">
        <f t="shared" si="126"/>
        <v>Error?</v>
      </c>
      <c r="E7720" s="2" t="s">
        <v>880</v>
      </c>
    </row>
    <row r="7721" spans="1:6" x14ac:dyDescent="0.2">
      <c r="A7721">
        <v>7660</v>
      </c>
      <c r="B7721" s="138">
        <f>'Rest Tax Levies-Tort Im 25'!K14</f>
        <v>27457</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250000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29'!D23</f>
        <v>11740</v>
      </c>
      <c r="D7797" s="2" t="str">
        <f t="shared" si="127"/>
        <v>Error?</v>
      </c>
      <c r="E7797" s="4" t="s">
        <v>2016</v>
      </c>
    </row>
    <row r="7798" spans="1:5" x14ac:dyDescent="0.2">
      <c r="A7798">
        <v>7737</v>
      </c>
      <c r="B7798" s="138">
        <f>'Contracts Paid in CY 29'!F23</f>
        <v>11740</v>
      </c>
      <c r="D7798" s="2" t="str">
        <f t="shared" si="127"/>
        <v>Error?</v>
      </c>
      <c r="E7798" s="4" t="s">
        <v>2016</v>
      </c>
    </row>
    <row r="7799" spans="1:5" x14ac:dyDescent="0.2">
      <c r="A7799">
        <v>7738</v>
      </c>
      <c r="B7799" s="138">
        <f>'Contracts Paid in CY 29'!G23</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J46" sqref="J46"/>
    </sheetView>
  </sheetViews>
  <sheetFormatPr defaultColWidth="9.140625" defaultRowHeight="12.75" x14ac:dyDescent="0.2"/>
  <cols>
    <col min="1" max="1" width="7.85546875" style="1181" customWidth="1"/>
    <col min="2" max="2" width="4.140625" style="1177" bestFit="1"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6" t="s">
        <v>1252</v>
      </c>
      <c r="B2" s="2406"/>
      <c r="C2" s="2406"/>
      <c r="D2" s="2406"/>
      <c r="E2" s="2406"/>
      <c r="F2" s="2406"/>
      <c r="G2" s="2406"/>
      <c r="H2" s="2406"/>
      <c r="I2" s="2406"/>
      <c r="J2" s="2406"/>
      <c r="K2" s="2406"/>
      <c r="L2" s="2406"/>
    </row>
    <row r="3" spans="1:29" ht="13.5" customHeight="1" x14ac:dyDescent="0.2">
      <c r="A3" s="2437" t="s">
        <v>1251</v>
      </c>
      <c r="B3" s="2437"/>
      <c r="C3" s="2437"/>
      <c r="D3" s="2437"/>
      <c r="E3" s="2437"/>
      <c r="F3" s="2437"/>
      <c r="G3" s="2437"/>
      <c r="H3" s="2437"/>
      <c r="I3" s="2437"/>
      <c r="J3" s="2437"/>
      <c r="K3" s="2437"/>
      <c r="L3" s="2437"/>
    </row>
    <row r="4" spans="1:29" ht="13.5" customHeight="1" x14ac:dyDescent="0.2">
      <c r="A4" s="2406" t="s">
        <v>1798</v>
      </c>
      <c r="B4" s="2427"/>
      <c r="C4" s="2427"/>
      <c r="D4" s="2427"/>
      <c r="E4" s="2427"/>
      <c r="F4" s="2427"/>
      <c r="G4" s="2427"/>
      <c r="H4" s="2427"/>
      <c r="I4" s="2427"/>
      <c r="J4" s="2427"/>
      <c r="K4" s="2427"/>
      <c r="L4" s="242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8" t="str">
        <f>COVER!A17</f>
        <v>Jasper County CUSD 1</v>
      </c>
      <c r="B7" s="2429"/>
      <c r="C7" s="2429"/>
      <c r="D7" s="2430"/>
      <c r="E7" s="2431" t="str">
        <f>COVER!A13</f>
        <v>12-040-0010-26</v>
      </c>
      <c r="F7" s="2432"/>
      <c r="G7" s="2438" t="str">
        <f>COVER!T23</f>
        <v>065-032563</v>
      </c>
      <c r="H7" s="2439"/>
      <c r="I7" s="2439"/>
      <c r="J7" s="2439"/>
      <c r="K7" s="2439"/>
      <c r="L7" s="244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1"/>
      <c r="B9" s="2442"/>
      <c r="C9" s="2442"/>
      <c r="D9" s="2442"/>
      <c r="E9" s="2442"/>
      <c r="F9" s="2443"/>
      <c r="G9" s="2412" t="str">
        <f>COVER!T13</f>
        <v>Kemper CPA Group LLP</v>
      </c>
      <c r="H9" s="2444"/>
      <c r="I9" s="2444"/>
      <c r="J9" s="2444"/>
      <c r="K9" s="2444"/>
      <c r="L9" s="2445"/>
    </row>
    <row r="10" spans="1:29" ht="13.5" customHeight="1" x14ac:dyDescent="0.2">
      <c r="A10" s="2418" t="str">
        <f>COVER!A38</f>
        <v>Andrew Johnson</v>
      </c>
      <c r="B10" s="2419"/>
      <c r="C10" s="2419"/>
      <c r="D10" s="2419"/>
      <c r="E10" s="2419"/>
      <c r="F10" s="2420"/>
      <c r="G10" s="2412" t="str">
        <f>COVER!T17</f>
        <v>703 W Main Street PO Box 447</v>
      </c>
      <c r="H10" s="2413"/>
      <c r="I10" s="2413"/>
      <c r="J10" s="2413"/>
      <c r="K10" s="2413"/>
      <c r="L10" s="2414"/>
    </row>
    <row r="11" spans="1:29" ht="13.5" customHeight="1" x14ac:dyDescent="0.2">
      <c r="A11" s="1185" t="s">
        <v>1598</v>
      </c>
      <c r="B11" s="1186"/>
      <c r="C11" s="1187"/>
      <c r="D11" s="1192"/>
      <c r="E11" s="1187"/>
      <c r="F11" s="1191"/>
      <c r="G11" s="2412" t="str">
        <f>COVER!T19</f>
        <v>Olney</v>
      </c>
      <c r="H11" s="2413"/>
      <c r="I11" s="2413"/>
      <c r="J11" s="2413"/>
      <c r="K11" s="2413"/>
      <c r="L11" s="2414"/>
    </row>
    <row r="12" spans="1:29" ht="13.5" customHeight="1" x14ac:dyDescent="0.2">
      <c r="A12" s="2421" t="s">
        <v>1597</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1599</v>
      </c>
      <c r="H13" s="2408"/>
      <c r="I13" s="2424" t="str">
        <f>COVER!T25</f>
        <v>kmclaren@kempercpa.com</v>
      </c>
      <c r="J13" s="2425"/>
      <c r="K13" s="2425"/>
      <c r="L13" s="2426"/>
    </row>
    <row r="14" spans="1:29" ht="13.5" customHeight="1" x14ac:dyDescent="0.2">
      <c r="A14" s="2412" t="str">
        <f>COVER!A19</f>
        <v>609 South Lafayette Street</v>
      </c>
      <c r="B14" s="2413"/>
      <c r="C14" s="2413"/>
      <c r="D14" s="2413"/>
      <c r="E14" s="2413"/>
      <c r="F14" s="2414"/>
      <c r="G14" s="1196" t="s">
        <v>1246</v>
      </c>
      <c r="H14" s="1194"/>
      <c r="I14" s="1194"/>
      <c r="J14" s="1194"/>
      <c r="K14" s="1194"/>
      <c r="L14" s="1195"/>
    </row>
    <row r="15" spans="1:29" ht="13.5" customHeight="1" x14ac:dyDescent="0.2">
      <c r="A15" s="2412" t="str">
        <f>COVER!A21</f>
        <v>Newton</v>
      </c>
      <c r="B15" s="2413"/>
      <c r="C15" s="2413"/>
      <c r="D15" s="2413"/>
      <c r="E15" s="2413"/>
      <c r="F15" s="2414"/>
      <c r="G15" s="2409" t="str">
        <f>COVER!T15</f>
        <v>Krista McLaren</v>
      </c>
      <c r="H15" s="2410"/>
      <c r="I15" s="2410"/>
      <c r="J15" s="2410"/>
      <c r="K15" s="2410"/>
      <c r="L15" s="2411"/>
    </row>
    <row r="16" spans="1:29" ht="12.2" customHeight="1" x14ac:dyDescent="0.2">
      <c r="A16" s="2434">
        <f>COVER!A25</f>
        <v>62448</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6" t="s">
        <v>1245</v>
      </c>
      <c r="H17" s="1194"/>
      <c r="I17" s="1194"/>
      <c r="J17" s="1194"/>
      <c r="K17" s="1198" t="s">
        <v>1244</v>
      </c>
      <c r="L17" s="1191"/>
      <c r="M17" s="1184"/>
    </row>
    <row r="18" spans="1:13" ht="12.2" customHeight="1" x14ac:dyDescent="0.2">
      <c r="A18" s="2418"/>
      <c r="B18" s="2419"/>
      <c r="C18" s="2419"/>
      <c r="D18" s="2419"/>
      <c r="E18" s="2419"/>
      <c r="F18" s="2420"/>
      <c r="G18" s="2428" t="str">
        <f>COVER!T21</f>
        <v>618-395-2105</v>
      </c>
      <c r="H18" s="2429"/>
      <c r="I18" s="2429"/>
      <c r="J18" s="2429"/>
      <c r="K18" s="2428" t="str">
        <f>COVER!X21</f>
        <v>618-395-7079</v>
      </c>
      <c r="L18" s="243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t="s">
        <v>2073</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2073</v>
      </c>
      <c r="C26" s="1203" t="s">
        <v>1800</v>
      </c>
    </row>
    <row r="27" spans="1:13" s="1199" customFormat="1" ht="9" customHeight="1" x14ac:dyDescent="0.2">
      <c r="B27" s="1204"/>
      <c r="C27" s="1203"/>
    </row>
    <row r="28" spans="1:13" s="1199" customFormat="1" ht="12.2" customHeight="1" x14ac:dyDescent="0.2">
      <c r="A28" s="1206"/>
      <c r="B28" s="1202" t="s">
        <v>2073</v>
      </c>
      <c r="C28" s="1203" t="s">
        <v>1801</v>
      </c>
    </row>
    <row r="29" spans="1:13" s="1199" customFormat="1" ht="9" customHeight="1" x14ac:dyDescent="0.2">
      <c r="A29" s="1206"/>
      <c r="B29" s="1204"/>
      <c r="C29" s="1203"/>
    </row>
    <row r="30" spans="1:13" s="1199" customFormat="1" ht="12.2" customHeight="1" x14ac:dyDescent="0.2">
      <c r="B30" s="1202" t="s">
        <v>2073</v>
      </c>
      <c r="C30" s="1203" t="s">
        <v>1642</v>
      </c>
      <c r="D30" s="1197"/>
      <c r="E30" s="1197"/>
    </row>
    <row r="31" spans="1:13" s="1199" customFormat="1" ht="9" customHeight="1" x14ac:dyDescent="0.2">
      <c r="B31" s="1204"/>
      <c r="C31" s="1203"/>
      <c r="D31" s="1197"/>
      <c r="E31" s="1197"/>
    </row>
    <row r="32" spans="1:13" s="1199" customFormat="1" ht="12.2" customHeight="1" x14ac:dyDescent="0.2">
      <c r="B32" s="1202" t="s">
        <v>2073</v>
      </c>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t="s">
        <v>2073</v>
      </c>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t="s">
        <v>2073</v>
      </c>
      <c r="C38" s="1203" t="s">
        <v>1646</v>
      </c>
    </row>
    <row r="39" spans="1:8" ht="9" customHeight="1" x14ac:dyDescent="0.2">
      <c r="B39" s="1204"/>
      <c r="C39" s="1207"/>
    </row>
    <row r="40" spans="1:8" s="1199" customFormat="1" ht="13.5" customHeight="1" x14ac:dyDescent="0.2">
      <c r="B40" s="1202" t="s">
        <v>2073</v>
      </c>
      <c r="C40" s="1203" t="s">
        <v>1647</v>
      </c>
    </row>
    <row r="41" spans="1:8" ht="9" customHeight="1" x14ac:dyDescent="0.2">
      <c r="A41" s="1208"/>
      <c r="B41" s="1204"/>
      <c r="C41" s="1207"/>
    </row>
    <row r="42" spans="1:8" s="1199" customFormat="1" ht="13.5" customHeight="1" x14ac:dyDescent="0.2">
      <c r="B42" s="1202" t="s">
        <v>2073</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t="s">
        <v>2073</v>
      </c>
      <c r="C46" s="1210" t="s">
        <v>1648</v>
      </c>
      <c r="D46" s="1197"/>
      <c r="E46" s="1197"/>
      <c r="F46" s="1197"/>
      <c r="G46" s="1197"/>
      <c r="H46" s="1197"/>
    </row>
    <row r="47" spans="1:8" ht="9" customHeight="1" x14ac:dyDescent="0.2"/>
    <row r="48" spans="1:8" ht="12.2" customHeight="1" x14ac:dyDescent="0.2">
      <c r="B48" s="1211" t="s">
        <v>2123</v>
      </c>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52" zoomScale="125" zoomScaleNormal="125" workbookViewId="0">
      <selection activeCell="J46" sqref="J4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Jasper County CUSD 1</v>
      </c>
      <c r="B1" s="2427"/>
      <c r="C1" s="2427"/>
      <c r="D1" s="2427"/>
    </row>
    <row r="2" spans="1:11" s="1215" customFormat="1" ht="12.75" x14ac:dyDescent="0.2">
      <c r="A2" s="2451" t="str">
        <f>'Single Audit Cover'!E7</f>
        <v>12-040-0010-26</v>
      </c>
      <c r="B2" s="2452"/>
      <c r="C2" s="2452"/>
      <c r="D2" s="2452"/>
    </row>
    <row r="3" spans="1:11" s="1215" customFormat="1" ht="12.75" x14ac:dyDescent="0.2">
      <c r="A3" s="2450" t="s">
        <v>1592</v>
      </c>
      <c r="B3" s="2427"/>
      <c r="C3" s="2427"/>
      <c r="D3" s="2427"/>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Jasper County CUSD 1</v>
      </c>
      <c r="B1" s="2454"/>
      <c r="C1" s="2454"/>
      <c r="D1" s="2454"/>
      <c r="E1" s="2454"/>
    </row>
    <row r="2" spans="1:5" x14ac:dyDescent="0.2">
      <c r="A2" s="2455" t="str">
        <f>'Single Audit Cover'!E7</f>
        <v>12-040-0010-26</v>
      </c>
      <c r="B2" s="2455"/>
      <c r="C2" s="2455"/>
      <c r="D2" s="2455"/>
      <c r="E2" s="2455"/>
    </row>
    <row r="3" spans="1:5" ht="4.5" customHeight="1" x14ac:dyDescent="0.2"/>
    <row r="4" spans="1:5" x14ac:dyDescent="0.2">
      <c r="A4" s="2454" t="s">
        <v>1306</v>
      </c>
      <c r="B4" s="2454"/>
      <c r="C4" s="2454"/>
      <c r="D4" s="2454"/>
      <c r="E4" s="2454"/>
    </row>
    <row r="5" spans="1:5" x14ac:dyDescent="0.2">
      <c r="A5" s="2457" t="str">
        <f>'Single Audit Cover'!A4</f>
        <v>Year Ending June 30, 2018</v>
      </c>
      <c r="B5" s="2457"/>
      <c r="C5" s="2457"/>
      <c r="D5" s="2457"/>
      <c r="E5" s="2457"/>
    </row>
    <row r="6" spans="1:5" x14ac:dyDescent="0.2">
      <c r="A6" s="2454" t="s">
        <v>1305</v>
      </c>
      <c r="B6" s="2454"/>
      <c r="C6" s="2454"/>
      <c r="D6" s="2454"/>
      <c r="E6" s="2454"/>
    </row>
    <row r="8" spans="1:5" x14ac:dyDescent="0.2">
      <c r="A8" s="1260" t="s">
        <v>1304</v>
      </c>
    </row>
    <row r="10" spans="1:5" x14ac:dyDescent="0.2">
      <c r="A10" s="1261" t="s">
        <v>1303</v>
      </c>
      <c r="B10" s="1262" t="s">
        <v>1302</v>
      </c>
      <c r="C10" s="1262"/>
      <c r="D10" s="1263">
        <f>SUM('Acct Summary 7-8'!C7:K7)</f>
        <v>1231250</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49430</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-20820</v>
      </c>
    </row>
    <row r="19" spans="1:4" ht="13.5" thickBot="1" x14ac:dyDescent="0.25">
      <c r="A19" s="1265" t="s">
        <v>1296</v>
      </c>
      <c r="D19" s="1266">
        <f>SUM(D10:D17)</f>
        <v>1259860</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6"/>
      <c r="B24" s="2456"/>
      <c r="D24" s="1268"/>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1294</v>
      </c>
      <c r="D32" s="1263">
        <f>SUM(D19:D30)</f>
        <v>1259860</v>
      </c>
    </row>
    <row r="33" spans="1:4" x14ac:dyDescent="0.2">
      <c r="D33" s="1269"/>
    </row>
    <row r="34" spans="1:4" x14ac:dyDescent="0.2">
      <c r="A34" s="317" t="s">
        <v>1293</v>
      </c>
    </row>
    <row r="35" spans="1:4" x14ac:dyDescent="0.2">
      <c r="A35" s="317" t="s">
        <v>1292</v>
      </c>
      <c r="B35" s="1258" t="s">
        <v>1291</v>
      </c>
      <c r="D35" s="1270">
        <v>1259860</v>
      </c>
    </row>
    <row r="37" spans="1:4" x14ac:dyDescent="0.2">
      <c r="A37" s="1260" t="s">
        <v>1290</v>
      </c>
    </row>
    <row r="39" spans="1:4" ht="13.35" customHeight="1" x14ac:dyDescent="0.2">
      <c r="A39" s="1267" t="s">
        <v>1289</v>
      </c>
    </row>
    <row r="40" spans="1:4" x14ac:dyDescent="0.2">
      <c r="A40" s="2453"/>
      <c r="B40" s="2453"/>
      <c r="D40" s="1268"/>
    </row>
    <row r="41" spans="1:4" x14ac:dyDescent="0.2">
      <c r="A41" s="2453"/>
      <c r="B41" s="2453"/>
      <c r="D41" s="1271"/>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1288</v>
      </c>
      <c r="C47" s="1272"/>
      <c r="D47" s="1273">
        <f>SUM(D35:D45)</f>
        <v>1259860</v>
      </c>
    </row>
    <row r="49" spans="2:4" x14ac:dyDescent="0.2">
      <c r="B49" s="1272" t="s">
        <v>1287</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5"/>
  <sheetViews>
    <sheetView showGridLines="0" topLeftCell="A7" zoomScaleNormal="100" workbookViewId="0">
      <selection activeCell="J46" sqref="J4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Jasper County CUSD 1</v>
      </c>
      <c r="C1" s="2458"/>
      <c r="D1" s="2458"/>
      <c r="E1" s="2458"/>
      <c r="F1" s="2458"/>
      <c r="G1" s="2458"/>
      <c r="H1" s="2458"/>
      <c r="I1" s="2458"/>
      <c r="J1" s="2458"/>
      <c r="K1" s="2458"/>
      <c r="L1" s="2458"/>
      <c r="M1" s="2458"/>
    </row>
    <row r="2" spans="2:14" ht="15" x14ac:dyDescent="0.2">
      <c r="B2" s="2459" t="str">
        <f>'Single Audit Cover'!E7</f>
        <v>12-040-0010-26</v>
      </c>
      <c r="C2" s="2459"/>
      <c r="D2" s="2459"/>
      <c r="E2" s="2459"/>
      <c r="F2" s="2459"/>
      <c r="G2" s="2459"/>
      <c r="H2" s="2459"/>
      <c r="I2" s="2459"/>
      <c r="J2" s="2459"/>
      <c r="K2" s="2459"/>
      <c r="L2" s="2459"/>
      <c r="M2" s="2459"/>
      <c r="N2" s="1302"/>
    </row>
    <row r="3" spans="2:14" ht="15" x14ac:dyDescent="0.2">
      <c r="B3" s="2460" t="s">
        <v>1280</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5"/>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5" t="s">
        <v>2124</v>
      </c>
      <c r="C11" s="1338"/>
      <c r="D11" s="1339"/>
      <c r="E11" s="1340"/>
      <c r="F11" s="1340"/>
      <c r="G11" s="1340"/>
      <c r="H11" s="1340"/>
      <c r="I11" s="1340"/>
      <c r="J11" s="1340"/>
      <c r="K11" s="1340"/>
      <c r="L11" s="1340"/>
      <c r="M11" s="1340"/>
    </row>
    <row r="12" spans="2:14" ht="20.100000000000001" customHeight="1" x14ac:dyDescent="0.2">
      <c r="B12" s="1956" t="s">
        <v>2125</v>
      </c>
      <c r="C12" s="1341"/>
      <c r="D12" s="1342"/>
      <c r="E12" s="1343"/>
      <c r="F12" s="1343"/>
      <c r="G12" s="1343"/>
      <c r="H12" s="1343"/>
      <c r="I12" s="1343"/>
      <c r="J12" s="1343"/>
      <c r="K12" s="1343"/>
      <c r="L12" s="1340"/>
      <c r="M12" s="1343"/>
    </row>
    <row r="13" spans="2:14" ht="20.100000000000001" customHeight="1" x14ac:dyDescent="0.2">
      <c r="B13" s="1957" t="s">
        <v>973</v>
      </c>
      <c r="C13" s="1341" t="s">
        <v>2127</v>
      </c>
      <c r="D13" s="1342" t="s">
        <v>2131</v>
      </c>
      <c r="E13" s="1958">
        <v>0</v>
      </c>
      <c r="F13" s="1958">
        <v>255704</v>
      </c>
      <c r="G13" s="1958">
        <v>0</v>
      </c>
      <c r="H13" s="1958">
        <v>0</v>
      </c>
      <c r="I13" s="1958">
        <v>289855</v>
      </c>
      <c r="J13" s="1958">
        <v>0</v>
      </c>
      <c r="K13" s="1958">
        <v>0</v>
      </c>
      <c r="L13" s="1959">
        <f t="shared" ref="L13:L30" si="0">+G13+I13+K13</f>
        <v>289855</v>
      </c>
      <c r="M13" s="1958">
        <v>401312</v>
      </c>
    </row>
    <row r="14" spans="2:14" ht="20.100000000000001" customHeight="1" x14ac:dyDescent="0.2">
      <c r="B14" s="1957" t="s">
        <v>973</v>
      </c>
      <c r="C14" s="1341" t="s">
        <v>2127</v>
      </c>
      <c r="D14" s="1342" t="s">
        <v>2132</v>
      </c>
      <c r="E14" s="1958">
        <v>274601</v>
      </c>
      <c r="F14" s="1958">
        <v>34917</v>
      </c>
      <c r="G14" s="1958">
        <v>302207</v>
      </c>
      <c r="H14" s="1958">
        <v>0</v>
      </c>
      <c r="I14" s="1958">
        <v>7311</v>
      </c>
      <c r="J14" s="1958">
        <v>0</v>
      </c>
      <c r="K14" s="1958">
        <v>0</v>
      </c>
      <c r="L14" s="1959">
        <f t="shared" si="0"/>
        <v>309518</v>
      </c>
      <c r="M14" s="1958">
        <v>406358</v>
      </c>
    </row>
    <row r="15" spans="2:14" ht="20.100000000000001" customHeight="1" x14ac:dyDescent="0.2">
      <c r="B15" s="1957" t="s">
        <v>781</v>
      </c>
      <c r="C15" s="1341">
        <v>84.367000000000004</v>
      </c>
      <c r="D15" s="1342" t="s">
        <v>2133</v>
      </c>
      <c r="E15" s="1958">
        <v>0</v>
      </c>
      <c r="F15" s="1958">
        <v>40482</v>
      </c>
      <c r="G15" s="1958">
        <v>0</v>
      </c>
      <c r="H15" s="1958">
        <v>0</v>
      </c>
      <c r="I15" s="1958">
        <v>44269</v>
      </c>
      <c r="J15" s="1958">
        <v>0</v>
      </c>
      <c r="K15" s="1958">
        <v>0</v>
      </c>
      <c r="L15" s="1959">
        <f t="shared" si="0"/>
        <v>44269</v>
      </c>
      <c r="M15" s="1958">
        <v>135602</v>
      </c>
    </row>
    <row r="16" spans="2:14" ht="20.100000000000001" customHeight="1" x14ac:dyDescent="0.2">
      <c r="B16" s="1957" t="s">
        <v>781</v>
      </c>
      <c r="C16" s="1341">
        <v>84.367000000000004</v>
      </c>
      <c r="D16" s="1342" t="s">
        <v>2134</v>
      </c>
      <c r="E16" s="1958">
        <v>19542</v>
      </c>
      <c r="F16" s="1958">
        <v>11612</v>
      </c>
      <c r="G16" s="1958">
        <v>31154</v>
      </c>
      <c r="H16" s="1958">
        <v>0</v>
      </c>
      <c r="I16" s="1958">
        <v>0</v>
      </c>
      <c r="J16" s="1958">
        <v>0</v>
      </c>
      <c r="K16" s="1958">
        <v>0</v>
      </c>
      <c r="L16" s="1959">
        <f t="shared" si="0"/>
        <v>31154</v>
      </c>
      <c r="M16" s="1958">
        <v>117815</v>
      </c>
    </row>
    <row r="17" spans="2:14" ht="20.100000000000001" customHeight="1" x14ac:dyDescent="0.2">
      <c r="B17" s="1957" t="s">
        <v>2129</v>
      </c>
      <c r="C17" s="1341">
        <v>84.027000000000001</v>
      </c>
      <c r="D17" s="1342" t="s">
        <v>2138</v>
      </c>
      <c r="E17" s="1958">
        <v>0</v>
      </c>
      <c r="F17" s="1958">
        <v>263987</v>
      </c>
      <c r="G17" s="1958">
        <v>0</v>
      </c>
      <c r="H17" s="1958">
        <v>0</v>
      </c>
      <c r="I17" s="1958">
        <v>263987</v>
      </c>
      <c r="J17" s="1958">
        <v>0</v>
      </c>
      <c r="K17" s="1958">
        <v>0</v>
      </c>
      <c r="L17" s="1959">
        <f t="shared" si="0"/>
        <v>263987</v>
      </c>
      <c r="M17" s="1958">
        <v>0</v>
      </c>
    </row>
    <row r="18" spans="2:14" ht="20.100000000000001" customHeight="1" x14ac:dyDescent="0.2">
      <c r="B18" s="1957" t="s">
        <v>2129</v>
      </c>
      <c r="C18" s="1341">
        <v>84.027000000000001</v>
      </c>
      <c r="D18" s="1964" t="s">
        <v>2139</v>
      </c>
      <c r="E18" s="1960">
        <v>304271</v>
      </c>
      <c r="F18" s="1960">
        <v>175222</v>
      </c>
      <c r="G18" s="1960">
        <v>304271</v>
      </c>
      <c r="H18" s="1960">
        <v>0</v>
      </c>
      <c r="I18" s="1960">
        <v>175222</v>
      </c>
      <c r="J18" s="1960">
        <v>0</v>
      </c>
      <c r="K18" s="1960">
        <v>0</v>
      </c>
      <c r="L18" s="1961">
        <f t="shared" si="0"/>
        <v>479493</v>
      </c>
      <c r="M18" s="1960">
        <v>0</v>
      </c>
    </row>
    <row r="19" spans="2:14" ht="20.100000000000001" customHeight="1" x14ac:dyDescent="0.2">
      <c r="B19" s="1957" t="s">
        <v>2154</v>
      </c>
      <c r="C19" s="1341">
        <v>84.424000000000007</v>
      </c>
      <c r="D19" s="1342" t="s">
        <v>2153</v>
      </c>
      <c r="E19" s="1958">
        <v>0</v>
      </c>
      <c r="F19" s="1958">
        <v>8994</v>
      </c>
      <c r="G19" s="1958">
        <v>0</v>
      </c>
      <c r="H19" s="1958">
        <v>0</v>
      </c>
      <c r="I19" s="1958">
        <v>9743</v>
      </c>
      <c r="J19" s="1958">
        <v>0</v>
      </c>
      <c r="K19" s="1958">
        <v>0</v>
      </c>
      <c r="L19" s="1958">
        <f t="shared" si="0"/>
        <v>9743</v>
      </c>
      <c r="M19" s="1958">
        <v>10000</v>
      </c>
    </row>
    <row r="20" spans="2:14" ht="20.100000000000001" customHeight="1" x14ac:dyDescent="0.2">
      <c r="B20" s="1956" t="s">
        <v>2182</v>
      </c>
      <c r="C20" s="1341"/>
      <c r="D20" s="1342"/>
      <c r="E20" s="1958"/>
      <c r="F20" s="1958"/>
      <c r="G20" s="1958"/>
      <c r="H20" s="1958"/>
      <c r="I20" s="1958"/>
      <c r="J20" s="1958"/>
      <c r="K20" s="1958"/>
      <c r="L20" s="1958"/>
      <c r="M20" s="1958"/>
    </row>
    <row r="21" spans="2:14" ht="20.100000000000001" customHeight="1" x14ac:dyDescent="0.2">
      <c r="B21" s="1957" t="s">
        <v>2128</v>
      </c>
      <c r="C21" s="1341">
        <v>84.173000000000002</v>
      </c>
      <c r="D21" s="1342" t="s">
        <v>2136</v>
      </c>
      <c r="E21" s="1958">
        <v>0</v>
      </c>
      <c r="F21" s="1958">
        <v>625</v>
      </c>
      <c r="G21" s="1958">
        <v>0</v>
      </c>
      <c r="H21" s="1958">
        <v>0</v>
      </c>
      <c r="I21" s="1958">
        <v>625</v>
      </c>
      <c r="J21" s="1958">
        <v>0</v>
      </c>
      <c r="K21" s="1958">
        <v>0</v>
      </c>
      <c r="L21" s="1958">
        <f>G21+I21+K21</f>
        <v>625</v>
      </c>
      <c r="M21" s="1958">
        <v>0</v>
      </c>
    </row>
    <row r="22" spans="2:14" ht="20.100000000000001" customHeight="1" x14ac:dyDescent="0.2">
      <c r="B22" s="1957" t="s">
        <v>2130</v>
      </c>
      <c r="C22" s="1341">
        <v>84.027000000000001</v>
      </c>
      <c r="D22" s="1342" t="s">
        <v>2137</v>
      </c>
      <c r="E22" s="1958">
        <v>0</v>
      </c>
      <c r="F22" s="1958">
        <v>25462</v>
      </c>
      <c r="G22" s="1958">
        <v>0</v>
      </c>
      <c r="H22" s="1958">
        <v>0</v>
      </c>
      <c r="I22" s="1958">
        <v>25462</v>
      </c>
      <c r="J22" s="1958">
        <v>0</v>
      </c>
      <c r="K22" s="1958">
        <v>0</v>
      </c>
      <c r="L22" s="1958">
        <f>G22+I22+K22</f>
        <v>25462</v>
      </c>
      <c r="M22" s="1958">
        <v>0</v>
      </c>
    </row>
    <row r="23" spans="2:14" ht="20.100000000000001" customHeight="1" x14ac:dyDescent="0.2">
      <c r="B23" s="1956" t="s">
        <v>2178</v>
      </c>
      <c r="C23" s="1341"/>
      <c r="D23" s="1342"/>
      <c r="E23" s="1958"/>
      <c r="F23" s="1958"/>
      <c r="G23" s="1958"/>
      <c r="H23" s="1958"/>
      <c r="I23" s="1958"/>
      <c r="J23" s="1958"/>
      <c r="K23" s="1958"/>
      <c r="L23" s="1958"/>
      <c r="M23" s="1958"/>
    </row>
    <row r="24" spans="2:14" ht="20.100000000000001" customHeight="1" x14ac:dyDescent="0.2">
      <c r="B24" s="1957" t="s">
        <v>2126</v>
      </c>
      <c r="C24" s="1341">
        <v>84.048000000000002</v>
      </c>
      <c r="D24" s="1339" t="s">
        <v>2135</v>
      </c>
      <c r="E24" s="1961">
        <v>0</v>
      </c>
      <c r="F24" s="1961">
        <v>90337</v>
      </c>
      <c r="G24" s="1961">
        <v>0</v>
      </c>
      <c r="H24" s="1961">
        <v>0</v>
      </c>
      <c r="I24" s="1961">
        <v>90337</v>
      </c>
      <c r="J24" s="1961">
        <v>0</v>
      </c>
      <c r="K24" s="1961">
        <v>0</v>
      </c>
      <c r="L24" s="1961">
        <f>G24+I24+K24</f>
        <v>90337</v>
      </c>
      <c r="M24" s="1961">
        <v>0</v>
      </c>
    </row>
    <row r="25" spans="2:14" ht="20.100000000000001" customHeight="1" x14ac:dyDescent="0.2">
      <c r="B25" s="1955" t="s">
        <v>2140</v>
      </c>
      <c r="C25" s="1341"/>
      <c r="D25" s="1342"/>
      <c r="E25" s="1962">
        <f t="shared" ref="E25:L25" si="1">SUM(E13:E24)</f>
        <v>598414</v>
      </c>
      <c r="F25" s="1962">
        <f t="shared" si="1"/>
        <v>907342</v>
      </c>
      <c r="G25" s="1962">
        <f t="shared" si="1"/>
        <v>637632</v>
      </c>
      <c r="H25" s="1962">
        <f t="shared" si="1"/>
        <v>0</v>
      </c>
      <c r="I25" s="1962">
        <f t="shared" si="1"/>
        <v>906811</v>
      </c>
      <c r="J25" s="1962">
        <f t="shared" si="1"/>
        <v>0</v>
      </c>
      <c r="K25" s="1962">
        <f t="shared" si="1"/>
        <v>0</v>
      </c>
      <c r="L25" s="1962">
        <f t="shared" si="1"/>
        <v>1544443</v>
      </c>
      <c r="M25" s="1962"/>
    </row>
    <row r="26" spans="2:14" ht="20.100000000000001" customHeight="1" x14ac:dyDescent="0.2">
      <c r="B26" s="1337"/>
      <c r="C26" s="1341"/>
      <c r="D26" s="1342"/>
      <c r="E26" s="1959"/>
      <c r="F26" s="1959"/>
      <c r="G26" s="1959"/>
      <c r="H26" s="1959"/>
      <c r="I26" s="1959"/>
      <c r="J26" s="1959"/>
      <c r="K26" s="1959"/>
      <c r="L26" s="1959"/>
      <c r="M26" s="1959"/>
    </row>
    <row r="27" spans="2:14" ht="20.100000000000001" customHeight="1" x14ac:dyDescent="0.2">
      <c r="B27" s="1955" t="s">
        <v>2141</v>
      </c>
      <c r="C27" s="1341"/>
      <c r="D27" s="1342"/>
      <c r="E27" s="1958"/>
      <c r="F27" s="1958"/>
      <c r="G27" s="1958"/>
      <c r="H27" s="1958"/>
      <c r="I27" s="1958"/>
      <c r="J27" s="1958"/>
      <c r="K27" s="1958"/>
      <c r="L27" s="1959"/>
      <c r="M27" s="1958"/>
    </row>
    <row r="28" spans="2:14" ht="20.100000000000001" customHeight="1" x14ac:dyDescent="0.2">
      <c r="B28" s="1956" t="s">
        <v>2142</v>
      </c>
      <c r="C28" s="1341"/>
      <c r="D28" s="1342"/>
      <c r="E28" s="1958"/>
      <c r="F28" s="1958"/>
      <c r="G28" s="1958"/>
      <c r="H28" s="1958"/>
      <c r="I28" s="1958"/>
      <c r="J28" s="1958"/>
      <c r="K28" s="1958"/>
      <c r="L28" s="1959"/>
      <c r="M28" s="1958"/>
    </row>
    <row r="29" spans="2:14" ht="20.100000000000001" customHeight="1" x14ac:dyDescent="0.2">
      <c r="B29" s="1957" t="s">
        <v>2143</v>
      </c>
      <c r="C29" s="1341">
        <v>93.778000000000006</v>
      </c>
      <c r="D29" s="1342" t="s">
        <v>2144</v>
      </c>
      <c r="E29" s="1960">
        <v>0</v>
      </c>
      <c r="F29" s="1960">
        <v>17423</v>
      </c>
      <c r="G29" s="1960">
        <v>0</v>
      </c>
      <c r="H29" s="1960">
        <v>0</v>
      </c>
      <c r="I29" s="1960">
        <v>17078</v>
      </c>
      <c r="J29" s="1960">
        <v>0</v>
      </c>
      <c r="K29" s="1960">
        <v>0</v>
      </c>
      <c r="L29" s="1961">
        <f t="shared" si="0"/>
        <v>17078</v>
      </c>
      <c r="M29" s="1960" t="s">
        <v>2123</v>
      </c>
    </row>
    <row r="30" spans="2:14" ht="20.100000000000001" customHeight="1" x14ac:dyDescent="0.2">
      <c r="B30" s="1955" t="s">
        <v>2145</v>
      </c>
      <c r="C30" s="1341"/>
      <c r="D30" s="1342"/>
      <c r="E30" s="1962">
        <f t="shared" ref="E30:K30" si="2">E29</f>
        <v>0</v>
      </c>
      <c r="F30" s="1962">
        <f t="shared" si="2"/>
        <v>17423</v>
      </c>
      <c r="G30" s="1962">
        <f t="shared" si="2"/>
        <v>0</v>
      </c>
      <c r="H30" s="1962">
        <f t="shared" si="2"/>
        <v>0</v>
      </c>
      <c r="I30" s="1962">
        <f t="shared" si="2"/>
        <v>17078</v>
      </c>
      <c r="J30" s="1962">
        <f t="shared" si="2"/>
        <v>0</v>
      </c>
      <c r="K30" s="1962">
        <f t="shared" si="2"/>
        <v>0</v>
      </c>
      <c r="L30" s="1962">
        <f t="shared" si="0"/>
        <v>17078</v>
      </c>
      <c r="M30" s="1962"/>
      <c r="N30" s="1344"/>
    </row>
    <row r="31" spans="2:14" ht="12.75" customHeight="1" x14ac:dyDescent="0.2">
      <c r="B31" s="1345"/>
      <c r="C31" s="1346"/>
      <c r="D31" s="1347"/>
      <c r="E31" s="1348"/>
      <c r="F31" s="1348"/>
      <c r="G31" s="1348"/>
      <c r="H31" s="1348"/>
      <c r="I31" s="1348"/>
      <c r="J31" s="1348"/>
      <c r="K31" s="1348"/>
      <c r="L31" s="1348"/>
      <c r="M31" s="1348"/>
      <c r="N31" s="1344"/>
    </row>
    <row r="32" spans="2:14" x14ac:dyDescent="0.2">
      <c r="B32" s="1257"/>
      <c r="C32" s="1349"/>
      <c r="D32" s="1350"/>
      <c r="E32" s="1257"/>
      <c r="F32" s="1257"/>
      <c r="G32" s="1250"/>
      <c r="H32" s="1250"/>
      <c r="I32" s="1250"/>
      <c r="J32" s="1250"/>
      <c r="K32" s="1250"/>
      <c r="L32" s="1250"/>
      <c r="M32" s="1257"/>
      <c r="N32" s="1344"/>
    </row>
    <row r="33" spans="2:14" ht="13.5" customHeight="1" x14ac:dyDescent="0.2">
      <c r="B33" s="1282" t="s">
        <v>1836</v>
      </c>
      <c r="C33" s="1349"/>
      <c r="D33" s="1350"/>
      <c r="E33" s="1257"/>
      <c r="F33" s="1257"/>
      <c r="G33" s="1250"/>
      <c r="H33" s="1250"/>
      <c r="I33" s="1250"/>
      <c r="J33" s="1250"/>
      <c r="K33" s="1250"/>
      <c r="L33" s="1250"/>
      <c r="M33" s="1257"/>
      <c r="N33" s="1344"/>
    </row>
    <row r="34" spans="2:14" ht="8.25" customHeight="1" x14ac:dyDescent="0.2">
      <c r="B34" s="1282"/>
      <c r="C34" s="1349"/>
      <c r="D34" s="1350"/>
      <c r="E34" s="1257"/>
      <c r="F34" s="1257"/>
      <c r="G34" s="1250"/>
      <c r="H34" s="1250"/>
      <c r="I34" s="1250"/>
      <c r="J34" s="1250"/>
      <c r="K34" s="1250"/>
      <c r="L34" s="1250"/>
      <c r="M34" s="1257"/>
      <c r="N34" s="1344"/>
    </row>
    <row r="35" spans="2:14" x14ac:dyDescent="0.2">
      <c r="B35" s="1351" t="s">
        <v>1947</v>
      </c>
      <c r="C35" s="1352"/>
      <c r="D35" s="1353"/>
      <c r="E35" s="1354"/>
      <c r="F35" s="1354"/>
      <c r="G35" s="1354"/>
      <c r="H35" s="1354"/>
      <c r="I35" s="317"/>
      <c r="J35" s="317"/>
    </row>
    <row r="36" spans="2:14" x14ac:dyDescent="0.2">
      <c r="B36" s="1277"/>
      <c r="C36" s="1355"/>
      <c r="D36" s="1356"/>
      <c r="E36" s="1278"/>
      <c r="F36" s="1278"/>
      <c r="G36" s="317"/>
      <c r="H36" s="317"/>
      <c r="I36" s="317"/>
      <c r="J36" s="317"/>
    </row>
    <row r="37" spans="2:14" ht="13.5" customHeight="1" x14ac:dyDescent="0.2">
      <c r="B37" s="1276" t="s">
        <v>1307</v>
      </c>
      <c r="G37" s="317"/>
      <c r="H37" s="317"/>
      <c r="I37" s="317"/>
      <c r="J37" s="317"/>
    </row>
    <row r="38" spans="2:14" ht="13.5" customHeight="1" x14ac:dyDescent="0.2">
      <c r="B38" s="1359"/>
      <c r="C38" s="1360"/>
      <c r="D38" s="1361"/>
      <c r="E38" s="1297"/>
      <c r="F38" s="1297"/>
      <c r="G38" s="1297"/>
      <c r="H38" s="1297"/>
      <c r="I38" s="1297"/>
      <c r="J38" s="1297"/>
      <c r="K38" s="1362"/>
      <c r="L38" s="1362"/>
      <c r="M38" s="1297"/>
    </row>
    <row r="39" spans="2:14" ht="9.6" customHeight="1" x14ac:dyDescent="0.2">
      <c r="B39" s="1363"/>
      <c r="G39" s="317"/>
      <c r="H39" s="317"/>
      <c r="I39" s="317"/>
      <c r="J39" s="317"/>
    </row>
    <row r="40" spans="2:14" ht="11.25" customHeight="1" x14ac:dyDescent="0.2">
      <c r="B40" s="1364" t="s">
        <v>1837</v>
      </c>
      <c r="C40" s="1365"/>
      <c r="D40" s="1365"/>
      <c r="E40" s="1365"/>
      <c r="F40" s="1365"/>
      <c r="G40" s="1365"/>
      <c r="H40" s="1365"/>
      <c r="I40" s="1366"/>
      <c r="J40" s="1366"/>
      <c r="K40" s="1366"/>
      <c r="L40" s="1366"/>
      <c r="M40" s="1366"/>
    </row>
    <row r="41" spans="2:14" ht="11.25" customHeight="1" x14ac:dyDescent="0.2">
      <c r="B41" s="1367" t="s">
        <v>1665</v>
      </c>
      <c r="C41" s="1366"/>
      <c r="D41" s="1366"/>
      <c r="E41" s="1366"/>
      <c r="F41" s="1366"/>
      <c r="G41" s="1366"/>
      <c r="H41" s="1366"/>
      <c r="I41" s="1366"/>
      <c r="J41" s="1366"/>
      <c r="K41" s="1366"/>
      <c r="L41" s="1366"/>
      <c r="M41" s="1366"/>
    </row>
    <row r="42" spans="2:14" ht="3.95" customHeight="1" x14ac:dyDescent="0.2">
      <c r="B42" s="1367"/>
      <c r="C42" s="1366"/>
      <c r="D42" s="1366"/>
      <c r="E42" s="1366"/>
      <c r="F42" s="1366"/>
      <c r="G42" s="1366"/>
      <c r="H42" s="1366"/>
      <c r="I42" s="1366"/>
      <c r="J42" s="1366"/>
      <c r="K42" s="1366"/>
      <c r="L42" s="1366"/>
      <c r="M42" s="1366"/>
    </row>
    <row r="43" spans="2:14" ht="11.25" customHeight="1" x14ac:dyDescent="0.2">
      <c r="B43" s="1364" t="s">
        <v>1838</v>
      </c>
      <c r="C43" s="1366"/>
      <c r="D43" s="1366"/>
      <c r="E43" s="1366"/>
      <c r="F43" s="1366"/>
      <c r="G43" s="1366"/>
      <c r="H43" s="1366"/>
      <c r="I43" s="1366"/>
      <c r="J43" s="1366"/>
      <c r="K43" s="1366"/>
      <c r="L43" s="1366"/>
      <c r="M43" s="1366"/>
    </row>
    <row r="44" spans="2:14" ht="11.25" customHeight="1" x14ac:dyDescent="0.2">
      <c r="B44" s="1300" t="s">
        <v>1666</v>
      </c>
      <c r="C44" s="1368"/>
      <c r="D44" s="1369"/>
      <c r="E44" s="1300"/>
      <c r="F44" s="1300"/>
      <c r="G44" s="1300"/>
      <c r="H44" s="1300"/>
      <c r="I44" s="1300"/>
      <c r="J44" s="1300"/>
      <c r="K44" s="1370"/>
      <c r="L44" s="1370"/>
      <c r="M44" s="1300"/>
    </row>
    <row r="45" spans="2:14" ht="3.95" customHeight="1" x14ac:dyDescent="0.2">
      <c r="B45" s="1300"/>
      <c r="C45" s="1368"/>
      <c r="D45" s="1369"/>
      <c r="E45" s="1300"/>
      <c r="F45" s="1300"/>
      <c r="G45" s="1300"/>
      <c r="H45" s="1300"/>
      <c r="I45" s="1300"/>
      <c r="J45" s="1300"/>
      <c r="K45" s="1370"/>
      <c r="L45" s="1370"/>
      <c r="M45" s="1300"/>
    </row>
    <row r="46" spans="2:14" ht="11.25" customHeight="1" x14ac:dyDescent="0.2">
      <c r="B46" s="1371" t="s">
        <v>1839</v>
      </c>
      <c r="C46" s="1368"/>
      <c r="D46" s="1369"/>
      <c r="E46" s="1300"/>
      <c r="F46" s="1300"/>
      <c r="G46" s="1300"/>
      <c r="H46" s="1300"/>
      <c r="I46" s="1300"/>
      <c r="J46" s="1300"/>
      <c r="K46" s="1370"/>
      <c r="L46" s="1370"/>
      <c r="M46" s="1300"/>
    </row>
    <row r="47" spans="2:14" ht="3.95" customHeight="1" x14ac:dyDescent="0.2">
      <c r="B47" s="1371"/>
      <c r="C47" s="1368"/>
      <c r="D47" s="1369"/>
      <c r="E47" s="1300"/>
      <c r="F47" s="1300"/>
      <c r="G47" s="1300"/>
      <c r="H47" s="1300"/>
      <c r="I47" s="1300"/>
      <c r="J47" s="1300"/>
      <c r="K47" s="1370"/>
      <c r="L47" s="1370"/>
      <c r="M47" s="1300"/>
    </row>
    <row r="48" spans="2:14" ht="11.25" customHeight="1" x14ac:dyDescent="0.2">
      <c r="B48" s="1372" t="s">
        <v>1840</v>
      </c>
      <c r="C48" s="1368"/>
      <c r="D48" s="1369"/>
      <c r="E48" s="1300"/>
      <c r="F48" s="1300"/>
      <c r="G48" s="1300"/>
      <c r="H48" s="1300"/>
      <c r="I48" s="1300"/>
      <c r="J48" s="1300"/>
      <c r="K48" s="1370"/>
      <c r="L48" s="1370"/>
      <c r="M48" s="1300"/>
    </row>
    <row r="49" spans="2:13" ht="11.25" customHeight="1" x14ac:dyDescent="0.2">
      <c r="B49" s="1300" t="s">
        <v>1667</v>
      </c>
      <c r="G49" s="317"/>
      <c r="H49" s="317"/>
      <c r="I49" s="317"/>
      <c r="J49" s="317"/>
    </row>
    <row r="50" spans="2:13" ht="11.1" customHeight="1" x14ac:dyDescent="0.2">
      <c r="B50" s="1300"/>
      <c r="G50" s="317"/>
      <c r="H50" s="317"/>
      <c r="I50" s="317"/>
      <c r="J50" s="317"/>
    </row>
    <row r="51" spans="2:13" ht="11.1" customHeight="1" x14ac:dyDescent="0.2">
      <c r="B51" s="1300"/>
      <c r="G51" s="317"/>
      <c r="H51" s="317"/>
      <c r="I51" s="317"/>
      <c r="J51" s="317"/>
    </row>
    <row r="52" spans="2:13" ht="13.5" customHeight="1" x14ac:dyDescent="0.2">
      <c r="M52" s="1373"/>
    </row>
    <row r="53" spans="2:13" ht="13.5" customHeight="1" x14ac:dyDescent="0.2">
      <c r="M53" s="1373"/>
    </row>
    <row r="54" spans="2:13" ht="13.5" customHeight="1" x14ac:dyDescent="0.2">
      <c r="M54" s="1373"/>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5" bottom="0.5" header="0.25" footer="0.25"/>
  <pageSetup scale="75" firstPageNumber="38" fitToWidth="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zoomScaleNormal="100" workbookViewId="0">
      <selection activeCell="J46" sqref="J4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Jasper County CUSD 1</v>
      </c>
      <c r="C1" s="2458"/>
      <c r="D1" s="2458"/>
      <c r="E1" s="2458"/>
      <c r="F1" s="2458"/>
      <c r="G1" s="2458"/>
      <c r="H1" s="2458"/>
      <c r="I1" s="2458"/>
      <c r="J1" s="2458"/>
      <c r="K1" s="2458"/>
      <c r="L1" s="2458"/>
      <c r="M1" s="2458"/>
    </row>
    <row r="2" spans="2:14" ht="15" x14ac:dyDescent="0.2">
      <c r="B2" s="2459" t="str">
        <f>'Single Audit Cover'!E7</f>
        <v>12-040-0010-26</v>
      </c>
      <c r="C2" s="2459"/>
      <c r="D2" s="2459"/>
      <c r="E2" s="2459"/>
      <c r="F2" s="2459"/>
      <c r="G2" s="2459"/>
      <c r="H2" s="2459"/>
      <c r="I2" s="2459"/>
      <c r="J2" s="2459"/>
      <c r="K2" s="2459"/>
      <c r="L2" s="2459"/>
      <c r="M2" s="2459"/>
      <c r="N2" s="1302"/>
    </row>
    <row r="3" spans="2:14" ht="15" x14ac:dyDescent="0.2">
      <c r="B3" s="2460" t="s">
        <v>1280</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5"/>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5" t="s">
        <v>2146</v>
      </c>
      <c r="C11" s="1338"/>
      <c r="D11" s="1339"/>
      <c r="E11" s="1340"/>
      <c r="F11" s="1340"/>
      <c r="G11" s="1340"/>
      <c r="H11" s="1340"/>
      <c r="I11" s="1340"/>
      <c r="J11" s="1340"/>
      <c r="K11" s="1340"/>
      <c r="L11" s="1340"/>
      <c r="M11" s="1340"/>
    </row>
    <row r="12" spans="2:14" ht="20.100000000000001" customHeight="1" x14ac:dyDescent="0.2">
      <c r="B12" s="1956" t="s">
        <v>2125</v>
      </c>
      <c r="C12" s="1341"/>
      <c r="D12" s="1342"/>
      <c r="E12" s="1343"/>
      <c r="F12" s="1343"/>
      <c r="G12" s="1343"/>
      <c r="H12" s="1343"/>
      <c r="I12" s="1343"/>
      <c r="J12" s="1343"/>
      <c r="K12" s="1343"/>
      <c r="L12" s="1340"/>
      <c r="M12" s="1343"/>
    </row>
    <row r="13" spans="2:14" ht="20.100000000000001" customHeight="1" x14ac:dyDescent="0.2">
      <c r="B13" s="1956" t="s">
        <v>2156</v>
      </c>
      <c r="C13" s="1341"/>
      <c r="D13" s="1342"/>
      <c r="E13" s="1343"/>
      <c r="F13" s="1343"/>
      <c r="G13" s="1343"/>
      <c r="H13" s="1343"/>
      <c r="I13" s="1343"/>
      <c r="J13" s="1343"/>
      <c r="K13" s="1343"/>
      <c r="L13" s="1340"/>
      <c r="M13" s="1343"/>
    </row>
    <row r="14" spans="2:14" ht="20.100000000000001" customHeight="1" x14ac:dyDescent="0.2">
      <c r="B14" s="1957" t="s">
        <v>2191</v>
      </c>
      <c r="C14" s="1341">
        <v>10.555</v>
      </c>
      <c r="D14" s="1342" t="s">
        <v>2149</v>
      </c>
      <c r="E14" s="1958">
        <v>0</v>
      </c>
      <c r="F14" s="1958">
        <v>158621</v>
      </c>
      <c r="G14" s="1958">
        <v>0</v>
      </c>
      <c r="H14" s="1958">
        <v>0</v>
      </c>
      <c r="I14" s="1958">
        <v>158621</v>
      </c>
      <c r="J14" s="1958">
        <v>0</v>
      </c>
      <c r="K14" s="1958">
        <v>0</v>
      </c>
      <c r="L14" s="1959">
        <f t="shared" ref="L14:L18" si="0">+G14+I14+K14</f>
        <v>158621</v>
      </c>
      <c r="M14" s="1958" t="s">
        <v>2123</v>
      </c>
    </row>
    <row r="15" spans="2:14" ht="20.100000000000001" customHeight="1" x14ac:dyDescent="0.2">
      <c r="B15" s="1957" t="s">
        <v>2191</v>
      </c>
      <c r="C15" s="1341">
        <v>10.555</v>
      </c>
      <c r="D15" s="1342" t="s">
        <v>2150</v>
      </c>
      <c r="E15" s="1958">
        <v>167775</v>
      </c>
      <c r="F15" s="1958">
        <v>55746</v>
      </c>
      <c r="G15" s="1958">
        <v>167775</v>
      </c>
      <c r="H15" s="1958">
        <v>0</v>
      </c>
      <c r="I15" s="1958">
        <v>55746</v>
      </c>
      <c r="J15" s="1958">
        <v>0</v>
      </c>
      <c r="K15" s="1958">
        <v>0</v>
      </c>
      <c r="L15" s="1959">
        <f t="shared" si="0"/>
        <v>223521</v>
      </c>
      <c r="M15" s="1958" t="s">
        <v>2123</v>
      </c>
    </row>
    <row r="16" spans="2:14" ht="20.100000000000001" customHeight="1" x14ac:dyDescent="0.2">
      <c r="B16" s="1957" t="s">
        <v>2192</v>
      </c>
      <c r="C16" s="1341">
        <v>10.553000000000001</v>
      </c>
      <c r="D16" s="1342" t="s">
        <v>2151</v>
      </c>
      <c r="E16" s="1958">
        <v>0</v>
      </c>
      <c r="F16" s="1958">
        <v>49667</v>
      </c>
      <c r="G16" s="1958">
        <v>0</v>
      </c>
      <c r="H16" s="1958">
        <v>0</v>
      </c>
      <c r="I16" s="1958">
        <v>49667</v>
      </c>
      <c r="J16" s="1958">
        <v>0</v>
      </c>
      <c r="K16" s="1958">
        <v>0</v>
      </c>
      <c r="L16" s="1959">
        <f t="shared" si="0"/>
        <v>49667</v>
      </c>
      <c r="M16" s="1958" t="s">
        <v>2123</v>
      </c>
    </row>
    <row r="17" spans="2:14" ht="20.100000000000001" customHeight="1" x14ac:dyDescent="0.2">
      <c r="B17" s="1957" t="s">
        <v>2192</v>
      </c>
      <c r="C17" s="1341">
        <v>10.553000000000001</v>
      </c>
      <c r="D17" s="1342" t="s">
        <v>2152</v>
      </c>
      <c r="E17" s="1958">
        <v>49656</v>
      </c>
      <c r="F17" s="1958">
        <v>16681</v>
      </c>
      <c r="G17" s="1958">
        <v>49656</v>
      </c>
      <c r="H17" s="1958">
        <v>0</v>
      </c>
      <c r="I17" s="1958">
        <v>16681</v>
      </c>
      <c r="J17" s="1958">
        <v>0</v>
      </c>
      <c r="K17" s="1958">
        <v>0</v>
      </c>
      <c r="L17" s="1959">
        <f t="shared" si="0"/>
        <v>66337</v>
      </c>
      <c r="M17" s="1958" t="s">
        <v>2123</v>
      </c>
    </row>
    <row r="18" spans="2:14" ht="20.100000000000001" customHeight="1" x14ac:dyDescent="0.2">
      <c r="B18" s="1957" t="s">
        <v>2193</v>
      </c>
      <c r="C18" s="1341">
        <v>10.555</v>
      </c>
      <c r="D18" s="1342" t="s">
        <v>2123</v>
      </c>
      <c r="E18" s="1965">
        <v>0</v>
      </c>
      <c r="F18" s="1965">
        <v>49430</v>
      </c>
      <c r="G18" s="1965">
        <v>0</v>
      </c>
      <c r="H18" s="1965">
        <v>0</v>
      </c>
      <c r="I18" s="1965">
        <v>49430</v>
      </c>
      <c r="J18" s="1965">
        <v>0</v>
      </c>
      <c r="K18" s="1965">
        <v>0</v>
      </c>
      <c r="L18" s="1965">
        <f t="shared" si="0"/>
        <v>49430</v>
      </c>
      <c r="M18" s="1965" t="s">
        <v>2123</v>
      </c>
    </row>
    <row r="19" spans="2:14" ht="20.100000000000001" customHeight="1" x14ac:dyDescent="0.2">
      <c r="B19" s="1956" t="s">
        <v>2190</v>
      </c>
      <c r="C19" s="1341"/>
      <c r="D19" s="1342"/>
      <c r="E19" s="1961">
        <f t="shared" ref="E19:L19" si="1">SUM(E14:E18)</f>
        <v>217431</v>
      </c>
      <c r="F19" s="1961">
        <f t="shared" si="1"/>
        <v>330145</v>
      </c>
      <c r="G19" s="1961">
        <f t="shared" si="1"/>
        <v>217431</v>
      </c>
      <c r="H19" s="1961">
        <f t="shared" si="1"/>
        <v>0</v>
      </c>
      <c r="I19" s="1961">
        <f t="shared" si="1"/>
        <v>330145</v>
      </c>
      <c r="J19" s="1961">
        <f t="shared" si="1"/>
        <v>0</v>
      </c>
      <c r="K19" s="1961">
        <f t="shared" si="1"/>
        <v>0</v>
      </c>
      <c r="L19" s="1961">
        <f t="shared" si="1"/>
        <v>547576</v>
      </c>
      <c r="M19" s="1961"/>
    </row>
    <row r="20" spans="2:14" ht="20.100000000000001" customHeight="1" x14ac:dyDescent="0.2">
      <c r="B20" s="1955" t="s">
        <v>2147</v>
      </c>
      <c r="C20" s="1341"/>
      <c r="D20" s="1342"/>
      <c r="E20" s="1962">
        <f t="shared" ref="E20:K20" si="2">SUM(E14:E18)</f>
        <v>217431</v>
      </c>
      <c r="F20" s="1962">
        <f t="shared" si="2"/>
        <v>330145</v>
      </c>
      <c r="G20" s="1962">
        <f t="shared" si="2"/>
        <v>217431</v>
      </c>
      <c r="H20" s="1962">
        <f t="shared" si="2"/>
        <v>0</v>
      </c>
      <c r="I20" s="1962">
        <f t="shared" si="2"/>
        <v>330145</v>
      </c>
      <c r="J20" s="1962">
        <f t="shared" si="2"/>
        <v>0</v>
      </c>
      <c r="K20" s="1962">
        <f t="shared" si="2"/>
        <v>0</v>
      </c>
      <c r="L20" s="1962">
        <f>SUM(L14:L19)</f>
        <v>1095152</v>
      </c>
      <c r="M20" s="1962"/>
    </row>
    <row r="21" spans="2:14" ht="20.100000000000001" customHeight="1" x14ac:dyDescent="0.2">
      <c r="B21" s="1957"/>
      <c r="C21" s="1341"/>
      <c r="D21" s="1342"/>
      <c r="E21" s="1959"/>
      <c r="F21" s="1959"/>
      <c r="G21" s="1959"/>
      <c r="H21" s="1959"/>
      <c r="I21" s="1959"/>
      <c r="J21" s="1959"/>
      <c r="K21" s="1959"/>
      <c r="L21" s="1959"/>
      <c r="M21" s="1959"/>
    </row>
    <row r="22" spans="2:14" ht="20.100000000000001" customHeight="1" x14ac:dyDescent="0.2">
      <c r="B22" s="1955" t="s">
        <v>2179</v>
      </c>
      <c r="C22" s="1341"/>
      <c r="D22" s="1342"/>
      <c r="E22" s="1958"/>
      <c r="F22" s="1958"/>
      <c r="G22" s="1958"/>
      <c r="H22" s="1958"/>
      <c r="I22" s="1958"/>
      <c r="J22" s="1958"/>
      <c r="K22" s="1958"/>
      <c r="L22" s="1959"/>
      <c r="M22" s="1958"/>
    </row>
    <row r="23" spans="2:14" ht="20.100000000000001" customHeight="1" x14ac:dyDescent="0.2">
      <c r="B23" s="1956" t="s">
        <v>2194</v>
      </c>
      <c r="C23" s="1341"/>
      <c r="D23" s="1342"/>
      <c r="E23" s="1960"/>
      <c r="F23" s="1960"/>
      <c r="G23" s="1960"/>
      <c r="H23" s="1960"/>
      <c r="I23" s="1960"/>
      <c r="J23" s="1960"/>
      <c r="K23" s="1960"/>
      <c r="L23" s="1961"/>
      <c r="M23" s="1960"/>
    </row>
    <row r="24" spans="2:14" ht="20.100000000000001" customHeight="1" x14ac:dyDescent="0.2">
      <c r="B24" s="1957" t="s">
        <v>2180</v>
      </c>
      <c r="C24" s="1341">
        <v>45.31</v>
      </c>
      <c r="D24" s="1342" t="s">
        <v>2123</v>
      </c>
      <c r="E24" s="1962">
        <v>0</v>
      </c>
      <c r="F24" s="1962">
        <v>4950</v>
      </c>
      <c r="G24" s="1962">
        <v>0</v>
      </c>
      <c r="H24" s="1962">
        <v>0</v>
      </c>
      <c r="I24" s="1962">
        <v>435</v>
      </c>
      <c r="J24" s="1962">
        <v>0</v>
      </c>
      <c r="K24" s="1962">
        <v>0</v>
      </c>
      <c r="L24" s="1962">
        <f>G24+I24+K24</f>
        <v>435</v>
      </c>
      <c r="M24" s="1962" t="s">
        <v>2123</v>
      </c>
    </row>
    <row r="25" spans="2:14" ht="20.100000000000001" customHeight="1" x14ac:dyDescent="0.2">
      <c r="B25" s="1955" t="s">
        <v>2181</v>
      </c>
      <c r="C25" s="1341"/>
      <c r="D25" s="1342"/>
      <c r="E25" s="1959"/>
      <c r="F25" s="1959"/>
      <c r="G25" s="1959"/>
      <c r="H25" s="1959"/>
      <c r="I25" s="1959"/>
      <c r="J25" s="1959"/>
      <c r="K25" s="1959"/>
      <c r="L25" s="1959"/>
      <c r="M25" s="1959"/>
    </row>
    <row r="26" spans="2:14" ht="20.100000000000001" customHeight="1" x14ac:dyDescent="0.2">
      <c r="B26" s="1955"/>
      <c r="C26" s="1341"/>
      <c r="D26" s="1342"/>
      <c r="E26" s="1958"/>
      <c r="F26" s="1958"/>
      <c r="G26" s="1958"/>
      <c r="H26" s="1958"/>
      <c r="I26" s="1958"/>
      <c r="J26" s="1958"/>
      <c r="K26" s="1958"/>
      <c r="L26" s="1959"/>
      <c r="M26" s="1958"/>
    </row>
    <row r="27" spans="2:14" ht="20.100000000000001" customHeight="1" x14ac:dyDescent="0.2">
      <c r="B27" s="1956"/>
      <c r="C27" s="1341"/>
      <c r="D27" s="1342"/>
      <c r="E27" s="1958"/>
      <c r="F27" s="1958"/>
      <c r="G27" s="1958"/>
      <c r="H27" s="1958"/>
      <c r="I27" s="1958"/>
      <c r="J27" s="1958"/>
      <c r="K27" s="1958"/>
      <c r="L27" s="1959"/>
      <c r="M27" s="1958"/>
    </row>
    <row r="28" spans="2:14" ht="20.100000000000001" customHeight="1" x14ac:dyDescent="0.2">
      <c r="B28" s="1957"/>
      <c r="C28" s="1341"/>
      <c r="D28" s="1342"/>
      <c r="E28" s="1960"/>
      <c r="F28" s="1960"/>
      <c r="G28" s="1960"/>
      <c r="H28" s="1960"/>
      <c r="I28" s="1960"/>
      <c r="J28" s="1960"/>
      <c r="K28" s="1960"/>
      <c r="L28" s="1961"/>
      <c r="M28" s="1960"/>
    </row>
    <row r="29" spans="2:14" ht="20.100000000000001" customHeight="1" thickBot="1" x14ac:dyDescent="0.25">
      <c r="B29" s="1955" t="s">
        <v>2148</v>
      </c>
      <c r="C29" s="1341"/>
      <c r="D29" s="1342"/>
      <c r="E29" s="1963">
        <f>E20+' SEFA'!E30+' SEFA'!E25+E24</f>
        <v>815845</v>
      </c>
      <c r="F29" s="1963">
        <f>F20+' SEFA'!F30+' SEFA'!F25+F24</f>
        <v>1259860</v>
      </c>
      <c r="G29" s="1963">
        <f>G20+' SEFA'!G30+' SEFA'!G25+G24</f>
        <v>855063</v>
      </c>
      <c r="H29" s="1963">
        <v>0</v>
      </c>
      <c r="I29" s="1963">
        <f>I20+' SEFA'!I30+' SEFA'!I25+I24</f>
        <v>1254469</v>
      </c>
      <c r="J29" s="1963">
        <v>0</v>
      </c>
      <c r="K29" s="1963">
        <v>0</v>
      </c>
      <c r="L29" s="1963">
        <f>+G29+I29+K29+L24</f>
        <v>2109967</v>
      </c>
      <c r="M29" s="1963"/>
      <c r="N29" s="1344"/>
    </row>
    <row r="30" spans="2:14" ht="12.75" customHeight="1" thickTop="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1836</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1947</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1307</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1837</v>
      </c>
      <c r="C39" s="1365"/>
      <c r="D39" s="1365"/>
      <c r="E39" s="1365"/>
      <c r="F39" s="1365"/>
      <c r="G39" s="1365"/>
      <c r="H39" s="1365"/>
      <c r="I39" s="1366"/>
      <c r="J39" s="1366"/>
      <c r="K39" s="1366"/>
      <c r="L39" s="1366"/>
      <c r="M39" s="1366"/>
    </row>
    <row r="40" spans="2:14" ht="11.25" customHeight="1" x14ac:dyDescent="0.2">
      <c r="B40" s="1367" t="s">
        <v>1665</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1838</v>
      </c>
      <c r="C42" s="1366"/>
      <c r="D42" s="1366"/>
      <c r="E42" s="1366"/>
      <c r="F42" s="1366"/>
      <c r="G42" s="1366"/>
      <c r="H42" s="1366"/>
      <c r="I42" s="1366"/>
      <c r="J42" s="1366"/>
      <c r="K42" s="1366"/>
      <c r="L42" s="1366"/>
      <c r="M42" s="1366"/>
    </row>
    <row r="43" spans="2:14" ht="11.25" customHeight="1" x14ac:dyDescent="0.2">
      <c r="B43" s="1300" t="s">
        <v>1666</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1839</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1840</v>
      </c>
      <c r="C47" s="1368"/>
      <c r="D47" s="1369"/>
      <c r="E47" s="1300"/>
      <c r="F47" s="1300"/>
      <c r="G47" s="1300"/>
      <c r="H47" s="1300"/>
      <c r="I47" s="1300"/>
      <c r="J47" s="1300"/>
      <c r="K47" s="1370"/>
      <c r="L47" s="1370"/>
      <c r="M47" s="1300"/>
    </row>
    <row r="48" spans="2:14" ht="11.25" customHeight="1" x14ac:dyDescent="0.2">
      <c r="B48" s="1300" t="s">
        <v>1667</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1229</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3" t="s">
        <v>1730</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330</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t="s">
        <v>2073</v>
      </c>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2099</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1389</v>
      </c>
      <c r="B70" s="2096"/>
      <c r="C70" s="2096"/>
      <c r="D70" s="2096"/>
      <c r="E70" s="2097"/>
      <c r="F70" s="2097"/>
      <c r="G70" s="2097"/>
      <c r="H70" s="2097"/>
      <c r="I70" s="2097"/>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1386</v>
      </c>
      <c r="B83" s="2098"/>
      <c r="C83" s="2098"/>
      <c r="D83" s="2099"/>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2074</v>
      </c>
      <c r="D114" s="208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1396</v>
      </c>
      <c r="D117" s="2091"/>
      <c r="E117" s="2092"/>
      <c r="F117" s="2092"/>
      <c r="G117" s="2092"/>
      <c r="H117" s="2092"/>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378</v>
      </c>
      <c r="E119" s="310"/>
      <c r="F119" s="1857"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J46" sqref="J46"/>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1" t="str">
        <f>'Single Audit Cover'!A7</f>
        <v>Jasper County CUSD 1</v>
      </c>
      <c r="B1" s="2471"/>
      <c r="C1" s="2471"/>
      <c r="D1" s="2471"/>
      <c r="E1" s="2471"/>
      <c r="F1" s="2471"/>
    </row>
    <row r="2" spans="1:7" ht="13.5" customHeight="1" x14ac:dyDescent="0.2">
      <c r="A2" s="2459" t="str">
        <f>'Single Audit Cover'!E7</f>
        <v>12-040-0010-26</v>
      </c>
      <c r="B2" s="2459"/>
      <c r="C2" s="2459"/>
      <c r="D2" s="2459"/>
      <c r="E2" s="2459"/>
      <c r="F2" s="2459"/>
      <c r="G2" s="1275"/>
    </row>
    <row r="3" spans="1:7" ht="15.75" customHeight="1" x14ac:dyDescent="0.2">
      <c r="A3" s="2472" t="s">
        <v>1332</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76" t="s">
        <v>1830</v>
      </c>
      <c r="C6" s="317"/>
      <c r="D6" s="317"/>
    </row>
    <row r="7" spans="1:7" ht="60.95" customHeight="1" x14ac:dyDescent="0.2">
      <c r="A7" s="2470" t="s">
        <v>2174</v>
      </c>
      <c r="B7" s="2470"/>
      <c r="C7" s="2470"/>
      <c r="D7" s="2470"/>
      <c r="E7" s="2470"/>
      <c r="F7" s="247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2"/>
      <c r="D11" s="1280"/>
      <c r="E11" s="1922"/>
      <c r="F11" s="1280"/>
      <c r="G11" s="1278"/>
    </row>
    <row r="12" spans="1:7" x14ac:dyDescent="0.2">
      <c r="A12" s="1276" t="s">
        <v>1668</v>
      </c>
      <c r="C12" s="1260"/>
      <c r="D12" s="1260"/>
    </row>
    <row r="13" spans="1:7" ht="20.25" customHeight="1" x14ac:dyDescent="0.2">
      <c r="A13" s="2470" t="s">
        <v>2173</v>
      </c>
      <c r="B13" s="2470"/>
      <c r="C13" s="2470"/>
      <c r="D13" s="2470"/>
      <c r="E13" s="2470"/>
      <c r="F13" s="2470"/>
    </row>
    <row r="14" spans="1:7" ht="9.75" customHeight="1" x14ac:dyDescent="0.2">
      <c r="C14" s="1260"/>
      <c r="D14" s="1260"/>
    </row>
    <row r="15" spans="1:7" ht="13.5" customHeight="1" x14ac:dyDescent="0.2">
      <c r="C15" s="1866" t="s">
        <v>1331</v>
      </c>
      <c r="D15" s="2468" t="s">
        <v>1330</v>
      </c>
      <c r="E15" s="2468"/>
      <c r="F15" s="2468"/>
    </row>
    <row r="16" spans="1:7" ht="13.5" customHeight="1" x14ac:dyDescent="0.2">
      <c r="A16" s="1282"/>
      <c r="B16" s="1276" t="s">
        <v>1329</v>
      </c>
      <c r="C16" s="1866" t="s">
        <v>1328</v>
      </c>
      <c r="D16" s="2469" t="s">
        <v>1669</v>
      </c>
      <c r="E16" s="2469"/>
      <c r="F16" s="2469"/>
    </row>
    <row r="17" spans="1:6" ht="20.45" customHeight="1" x14ac:dyDescent="0.2">
      <c r="A17" s="1283"/>
      <c r="B17" s="1284" t="s">
        <v>2155</v>
      </c>
      <c r="C17" s="1285"/>
      <c r="D17" s="2463"/>
      <c r="E17" s="2463"/>
      <c r="F17" s="2463"/>
    </row>
    <row r="18" spans="1:6" ht="20.65" customHeight="1" x14ac:dyDescent="0.2">
      <c r="A18" s="1283"/>
      <c r="B18" s="1284"/>
      <c r="C18" s="1285"/>
      <c r="D18" s="2463"/>
      <c r="E18" s="2463"/>
      <c r="F18" s="2463"/>
    </row>
    <row r="19" spans="1:6" ht="20.65" customHeight="1" x14ac:dyDescent="0.2">
      <c r="A19" s="1283"/>
      <c r="B19" s="1284"/>
      <c r="C19" s="1285"/>
      <c r="D19" s="2463"/>
      <c r="E19" s="2463"/>
      <c r="F19" s="2463"/>
    </row>
    <row r="20" spans="1:6" ht="20.65" customHeight="1" x14ac:dyDescent="0.2">
      <c r="A20" s="1283"/>
      <c r="B20" s="1284"/>
      <c r="C20" s="1285"/>
      <c r="D20" s="2463"/>
      <c r="E20" s="2463"/>
      <c r="F20" s="2463"/>
    </row>
    <row r="21" spans="1:6" ht="20.65" customHeight="1" x14ac:dyDescent="0.2">
      <c r="A21" s="1283"/>
      <c r="B21" s="1284"/>
      <c r="C21" s="1285"/>
      <c r="D21" s="2463"/>
      <c r="E21" s="2463"/>
      <c r="F21" s="2463"/>
    </row>
    <row r="22" spans="1:6" ht="20.65" customHeight="1" x14ac:dyDescent="0.2">
      <c r="A22" s="1283"/>
      <c r="B22" s="1284"/>
      <c r="C22" s="1285"/>
      <c r="D22" s="2463"/>
      <c r="E22" s="2463"/>
      <c r="F22" s="2463"/>
    </row>
    <row r="23" spans="1:6" ht="20.65" customHeight="1" x14ac:dyDescent="0.2">
      <c r="A23" s="1283"/>
      <c r="B23" s="1284"/>
      <c r="C23" s="1285"/>
      <c r="D23" s="2463"/>
      <c r="E23" s="2463"/>
      <c r="F23" s="2463"/>
    </row>
    <row r="24" spans="1:6" ht="20.65" customHeight="1" x14ac:dyDescent="0.2">
      <c r="A24" s="1283"/>
      <c r="B24" s="1284"/>
      <c r="C24" s="1285"/>
      <c r="D24" s="2463"/>
      <c r="E24" s="2463"/>
      <c r="F24" s="2463"/>
    </row>
    <row r="25" spans="1:6" ht="20.65" customHeight="1" x14ac:dyDescent="0.2">
      <c r="A25" s="1283"/>
      <c r="B25" s="1284"/>
      <c r="C25" s="1285"/>
      <c r="D25" s="2463"/>
      <c r="E25" s="2463"/>
      <c r="F25" s="2463"/>
    </row>
    <row r="26" spans="1:6" ht="20.65" customHeight="1" x14ac:dyDescent="0.2">
      <c r="A26" s="1283"/>
      <c r="B26" s="1284"/>
      <c r="C26" s="1285"/>
      <c r="D26" s="2463"/>
      <c r="E26" s="2463"/>
      <c r="F26" s="2463"/>
    </row>
    <row r="27" spans="1:6" ht="20.65" customHeight="1" x14ac:dyDescent="0.2">
      <c r="A27" s="1283"/>
      <c r="B27" s="1284"/>
      <c r="C27" s="1285"/>
      <c r="D27" s="2463"/>
      <c r="E27" s="2463"/>
      <c r="F27" s="2463"/>
    </row>
    <row r="28" spans="1:6" ht="20.65" customHeight="1" x14ac:dyDescent="0.2">
      <c r="A28" s="1283"/>
      <c r="B28" s="1284"/>
      <c r="C28" s="1285"/>
      <c r="D28" s="2463"/>
      <c r="E28" s="2463"/>
      <c r="F28" s="2463"/>
    </row>
    <row r="29" spans="1:6" ht="20.65" customHeight="1" x14ac:dyDescent="0.2">
      <c r="A29" s="1283"/>
      <c r="B29" s="1284"/>
      <c r="C29" s="1285"/>
      <c r="D29" s="2463"/>
      <c r="E29" s="2463"/>
      <c r="F29" s="2463"/>
    </row>
    <row r="30" spans="1:6" ht="12" customHeight="1" x14ac:dyDescent="0.2">
      <c r="A30" s="328"/>
      <c r="B30" s="328"/>
      <c r="C30" s="1478"/>
      <c r="D30" s="1923"/>
      <c r="E30" s="1286"/>
    </row>
    <row r="31" spans="1:6" ht="12" customHeight="1" x14ac:dyDescent="0.2">
      <c r="A31" s="1287" t="s">
        <v>1629</v>
      </c>
      <c r="B31" s="328"/>
      <c r="C31" s="1478"/>
      <c r="D31" s="1923"/>
      <c r="E31" s="1286"/>
    </row>
    <row r="32" spans="1:6" ht="30" customHeight="1" x14ac:dyDescent="0.2">
      <c r="A32" s="2464" t="s">
        <v>2172</v>
      </c>
      <c r="B32" s="2464"/>
      <c r="C32" s="2464"/>
      <c r="D32" s="2464"/>
      <c r="E32" s="2464"/>
      <c r="F32" s="2464"/>
    </row>
    <row r="33" spans="1:6" ht="13.5" customHeight="1" x14ac:dyDescent="0.2">
      <c r="A33" s="328" t="s">
        <v>1508</v>
      </c>
      <c r="B33" s="328"/>
      <c r="C33" s="1288">
        <v>49430</v>
      </c>
      <c r="D33" s="1923"/>
      <c r="E33" s="1286"/>
    </row>
    <row r="34" spans="1:6" ht="13.5" customHeight="1" x14ac:dyDescent="0.2">
      <c r="A34" s="328" t="s">
        <v>1945</v>
      </c>
      <c r="B34" s="328"/>
      <c r="C34" s="1289">
        <v>0</v>
      </c>
      <c r="D34" s="1923" t="s">
        <v>1670</v>
      </c>
      <c r="E34" s="2465">
        <f>+C33+C34</f>
        <v>49430</v>
      </c>
      <c r="F34" s="2466"/>
    </row>
    <row r="35" spans="1:6" ht="12" customHeight="1" x14ac:dyDescent="0.2">
      <c r="A35" s="328"/>
      <c r="B35" s="328"/>
      <c r="C35" s="1924"/>
      <c r="D35" s="1923"/>
      <c r="E35" s="1290"/>
      <c r="F35" s="1291"/>
    </row>
    <row r="36" spans="1:6" ht="13.5" customHeight="1" x14ac:dyDescent="0.2">
      <c r="A36" s="1287" t="s">
        <v>1630</v>
      </c>
      <c r="B36" s="328"/>
      <c r="C36" s="1478"/>
      <c r="D36" s="1923"/>
      <c r="E36" s="1286"/>
    </row>
    <row r="37" spans="1:6" ht="14.25" customHeight="1" x14ac:dyDescent="0.2">
      <c r="A37" s="328" t="s">
        <v>1562</v>
      </c>
      <c r="B37" s="328"/>
      <c r="C37" s="1925"/>
      <c r="D37" s="1923"/>
      <c r="E37" s="1286"/>
    </row>
    <row r="38" spans="1:6" ht="14.25" customHeight="1" x14ac:dyDescent="0.2">
      <c r="A38" s="328"/>
      <c r="B38" s="328" t="s">
        <v>1509</v>
      </c>
      <c r="C38" s="1292" t="s">
        <v>400</v>
      </c>
      <c r="D38" s="1923"/>
      <c r="E38" s="1286"/>
    </row>
    <row r="39" spans="1:6" ht="14.25" customHeight="1" x14ac:dyDescent="0.2">
      <c r="A39" s="328"/>
      <c r="B39" s="328" t="s">
        <v>1510</v>
      </c>
      <c r="C39" s="1292" t="s">
        <v>400</v>
      </c>
      <c r="D39" s="1923"/>
      <c r="E39" s="1286"/>
    </row>
    <row r="40" spans="1:6" ht="14.25" customHeight="1" x14ac:dyDescent="0.2">
      <c r="A40" s="328"/>
      <c r="B40" s="328" t="s">
        <v>1511</v>
      </c>
      <c r="C40" s="1292" t="s">
        <v>400</v>
      </c>
      <c r="D40" s="1923"/>
      <c r="E40" s="1286"/>
    </row>
    <row r="41" spans="1:6" ht="14.25" customHeight="1" x14ac:dyDescent="0.2">
      <c r="A41" s="328"/>
      <c r="B41" s="328" t="s">
        <v>1512</v>
      </c>
      <c r="C41" s="1292" t="s">
        <v>400</v>
      </c>
      <c r="D41" s="1923"/>
      <c r="E41" s="1286"/>
    </row>
    <row r="42" spans="1:6" ht="14.25" customHeight="1" x14ac:dyDescent="0.2">
      <c r="A42" s="328" t="s">
        <v>1513</v>
      </c>
      <c r="B42" s="328"/>
      <c r="C42" s="1921" t="s">
        <v>400</v>
      </c>
      <c r="D42" s="1923"/>
      <c r="E42" s="1286"/>
    </row>
    <row r="43" spans="1:6" ht="14.25" customHeight="1" x14ac:dyDescent="0.2">
      <c r="A43" s="328" t="s">
        <v>1514</v>
      </c>
      <c r="B43" s="328"/>
      <c r="C43" s="1293" t="s">
        <v>400</v>
      </c>
      <c r="D43" s="1923"/>
      <c r="E43" s="1286"/>
    </row>
    <row r="44" spans="1:6" ht="14.25" customHeight="1" x14ac:dyDescent="0.2">
      <c r="A44" s="328"/>
      <c r="B44" s="328"/>
      <c r="C44" s="1925" t="s">
        <v>1515</v>
      </c>
      <c r="D44" s="1923"/>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7" t="s">
        <v>1671</v>
      </c>
      <c r="C49" s="2467"/>
      <c r="D49" s="2467"/>
      <c r="E49" s="1399"/>
    </row>
    <row r="50" spans="1:5" s="1300" customFormat="1" ht="3.75" customHeight="1" x14ac:dyDescent="0.2">
      <c r="A50" s="1299"/>
      <c r="B50" s="1865"/>
      <c r="C50" s="1865"/>
      <c r="D50" s="1865"/>
      <c r="E50" s="1399"/>
    </row>
    <row r="51" spans="1:5" s="1300" customFormat="1" ht="20.25" customHeight="1" x14ac:dyDescent="0.2">
      <c r="A51" s="1301">
        <v>6</v>
      </c>
      <c r="B51" s="2462" t="s">
        <v>1631</v>
      </c>
      <c r="C51" s="2462"/>
      <c r="D51" s="2462"/>
    </row>
    <row r="52" spans="1:5" ht="14.25" customHeight="1" x14ac:dyDescent="0.2">
      <c r="A52" s="1301"/>
      <c r="B52" s="2462"/>
      <c r="C52" s="2462"/>
      <c r="D52" s="246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J46" sqref="J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Jasper County CUSD 1</v>
      </c>
      <c r="C1" s="2486"/>
      <c r="D1" s="2486"/>
      <c r="E1" s="2486"/>
      <c r="F1" s="2486"/>
      <c r="G1" s="2486"/>
      <c r="H1" s="2486"/>
      <c r="I1" s="2486"/>
      <c r="J1" s="1422"/>
    </row>
    <row r="2" spans="2:10" s="317" customFormat="1" ht="12.75" customHeight="1" x14ac:dyDescent="0.2">
      <c r="B2" s="2487" t="str">
        <f>'Single Audit Cover'!E7</f>
        <v>12-040-0010-26</v>
      </c>
      <c r="C2" s="2488"/>
      <c r="D2" s="2488"/>
      <c r="E2" s="2488"/>
      <c r="F2" s="2488"/>
      <c r="G2" s="2488"/>
      <c r="H2" s="2488"/>
      <c r="I2" s="2488"/>
      <c r="J2" s="1422"/>
    </row>
    <row r="3" spans="2:10" s="317" customFormat="1" ht="12.75" customHeight="1" x14ac:dyDescent="0.2">
      <c r="B3" s="2489" t="s">
        <v>1346</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1345</v>
      </c>
      <c r="C7" s="2490"/>
      <c r="D7" s="2490"/>
      <c r="E7" s="2490"/>
      <c r="F7" s="2490"/>
      <c r="G7" s="2490"/>
      <c r="H7" s="2490"/>
      <c r="I7" s="2490"/>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1" t="s">
        <v>1225</v>
      </c>
      <c r="D11" s="2491"/>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t="s">
        <v>2073</v>
      </c>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t="s">
        <v>2073</v>
      </c>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2" t="s">
        <v>873</v>
      </c>
      <c r="E29" s="2492"/>
      <c r="F29" s="2492"/>
      <c r="G29" s="2492"/>
      <c r="H29" s="2492"/>
      <c r="I29" s="2492"/>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t="s">
        <v>2073</v>
      </c>
      <c r="F33" s="1300" t="s">
        <v>939</v>
      </c>
      <c r="G33" s="1438"/>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93" t="s">
        <v>1850</v>
      </c>
      <c r="D37" s="2494"/>
      <c r="E37" s="2494"/>
      <c r="F37" s="2495"/>
      <c r="G37" s="2493" t="s">
        <v>1673</v>
      </c>
      <c r="H37" s="2494"/>
      <c r="I37" s="2495"/>
    </row>
    <row r="38" spans="2:9" ht="16.5" customHeight="1" x14ac:dyDescent="0.2">
      <c r="B38" s="1444" t="s">
        <v>2183</v>
      </c>
      <c r="C38" s="2481" t="s">
        <v>2184</v>
      </c>
      <c r="D38" s="2482"/>
      <c r="E38" s="2482"/>
      <c r="F38" s="2483"/>
      <c r="G38" s="2496">
        <v>465296</v>
      </c>
      <c r="H38" s="2497"/>
      <c r="I38" s="2498"/>
    </row>
    <row r="39" spans="2:9" ht="16.5" customHeight="1" x14ac:dyDescent="0.2">
      <c r="B39" s="1444" t="s">
        <v>2175</v>
      </c>
      <c r="C39" s="2481" t="s">
        <v>2156</v>
      </c>
      <c r="D39" s="2482"/>
      <c r="E39" s="2482"/>
      <c r="F39" s="2483"/>
      <c r="G39" s="2484">
        <v>330145</v>
      </c>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74" t="s">
        <v>1674</v>
      </c>
      <c r="D43" s="2475"/>
      <c r="E43" s="2475"/>
      <c r="F43" s="2476"/>
      <c r="G43" s="2477">
        <f>SUM(G38:I42)</f>
        <v>795441</v>
      </c>
      <c r="H43" s="2477"/>
      <c r="I43" s="2477"/>
    </row>
    <row r="44" spans="2:9" ht="12.75" customHeight="1" x14ac:dyDescent="0.2"/>
    <row r="45" spans="2:9" ht="12.75" customHeight="1" x14ac:dyDescent="0.2">
      <c r="B45" s="1435" t="s">
        <v>1948</v>
      </c>
      <c r="D45" s="2478">
        <v>1254469</v>
      </c>
      <c r="E45" s="2479"/>
    </row>
    <row r="46" spans="2:9" ht="5.25" customHeight="1" x14ac:dyDescent="0.2">
      <c r="B46" s="1445"/>
      <c r="D46" s="1446"/>
      <c r="E46" s="1447"/>
    </row>
    <row r="47" spans="2:9" ht="12.75" customHeight="1" x14ac:dyDescent="0.2">
      <c r="B47" s="1300" t="s">
        <v>1675</v>
      </c>
      <c r="C47" s="1300"/>
      <c r="D47" s="1448">
        <f>+G43/D45</f>
        <v>0.63408581638924522</v>
      </c>
      <c r="E47" s="1449"/>
      <c r="F47" s="1450"/>
      <c r="I47" s="1451"/>
    </row>
    <row r="48" spans="2:9" ht="9.9499999999999993" customHeight="1" x14ac:dyDescent="0.2"/>
    <row r="49" spans="1:9" x14ac:dyDescent="0.2">
      <c r="B49" s="1368" t="s">
        <v>1334</v>
      </c>
      <c r="C49" s="1282"/>
      <c r="D49" s="1282"/>
      <c r="E49" s="2480">
        <v>750000</v>
      </c>
      <c r="F49" s="2480"/>
      <c r="G49" s="2480"/>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0"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J46" sqref="J4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Jasper County CUSD 1</v>
      </c>
      <c r="C1" s="2485"/>
      <c r="D1" s="2485"/>
      <c r="E1" s="2485"/>
      <c r="F1" s="2485"/>
      <c r="G1" s="2485"/>
      <c r="H1" s="2485"/>
      <c r="I1" s="2485"/>
      <c r="J1" s="2485"/>
      <c r="K1" s="2485"/>
      <c r="L1" s="1374"/>
      <c r="M1" s="1374"/>
    </row>
    <row r="2" spans="1:13" ht="12" customHeight="1" x14ac:dyDescent="0.2">
      <c r="B2" s="2487" t="str">
        <f>'Single Audit Cover'!E7</f>
        <v>12-040-0010-26</v>
      </c>
      <c r="C2" s="2487"/>
      <c r="D2" s="2487"/>
      <c r="E2" s="2487"/>
      <c r="F2" s="2487"/>
      <c r="G2" s="2487"/>
      <c r="H2" s="2487"/>
      <c r="I2" s="2487"/>
      <c r="J2" s="2487"/>
      <c r="K2" s="2487"/>
      <c r="L2" s="1375"/>
      <c r="M2" s="1376"/>
    </row>
    <row r="3" spans="1:13" ht="10.35" customHeight="1" x14ac:dyDescent="0.2">
      <c r="B3" s="2501" t="s">
        <v>1346</v>
      </c>
      <c r="C3" s="2501"/>
      <c r="D3" s="2501"/>
      <c r="E3" s="2501"/>
      <c r="F3" s="2501"/>
      <c r="G3" s="2501"/>
      <c r="H3" s="2501"/>
      <c r="I3" s="2501"/>
      <c r="J3" s="2501"/>
      <c r="K3" s="2501"/>
      <c r="L3" s="1377"/>
      <c r="M3" s="1377"/>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2" t="s">
        <v>1362</v>
      </c>
      <c r="C7" s="2502"/>
      <c r="D7" s="2503"/>
      <c r="E7" s="2503"/>
      <c r="F7" s="2503"/>
      <c r="G7" s="2503"/>
      <c r="H7" s="2503"/>
      <c r="I7" s="2503"/>
      <c r="J7" s="2503"/>
      <c r="K7" s="250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v>1</v>
      </c>
      <c r="E10" s="322"/>
      <c r="F10" s="1387" t="s">
        <v>1361</v>
      </c>
      <c r="G10" s="1388"/>
      <c r="H10" s="1389" t="s">
        <v>1360</v>
      </c>
      <c r="I10" s="1388" t="s">
        <v>2073</v>
      </c>
      <c r="J10" s="1390" t="s">
        <v>1359</v>
      </c>
      <c r="K10" s="322"/>
      <c r="L10" s="1381"/>
    </row>
    <row r="11" spans="1:13" ht="13.5" customHeight="1" x14ac:dyDescent="0.2">
      <c r="B11" s="322"/>
      <c r="C11" s="322"/>
      <c r="D11" s="322"/>
      <c r="E11" s="322"/>
      <c r="F11" s="322"/>
      <c r="G11" s="1383"/>
      <c r="H11" s="322"/>
      <c r="I11" s="1391" t="s">
        <v>1358</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500" t="s">
        <v>2157</v>
      </c>
      <c r="C14" s="2500"/>
      <c r="D14" s="2500"/>
      <c r="E14" s="2500"/>
      <c r="F14" s="2500"/>
      <c r="G14" s="2500"/>
      <c r="H14" s="2500"/>
      <c r="I14" s="2500"/>
      <c r="J14" s="2500"/>
      <c r="K14" s="250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500" t="s">
        <v>2158</v>
      </c>
      <c r="C17" s="2500"/>
      <c r="D17" s="2500"/>
      <c r="E17" s="2500"/>
      <c r="F17" s="2500"/>
      <c r="G17" s="2500"/>
      <c r="H17" s="2500"/>
      <c r="I17" s="2500"/>
      <c r="J17" s="2500"/>
      <c r="K17" s="2500"/>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4" t="s">
        <v>2159</v>
      </c>
      <c r="C20" s="2504"/>
      <c r="D20" s="2500"/>
      <c r="E20" s="2500"/>
      <c r="F20" s="2500"/>
      <c r="G20" s="2500"/>
      <c r="H20" s="2500"/>
      <c r="I20" s="2500"/>
      <c r="J20" s="2500"/>
      <c r="K20" s="2500"/>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500" t="s">
        <v>2160</v>
      </c>
      <c r="C23" s="2500"/>
      <c r="D23" s="2500"/>
      <c r="E23" s="2500"/>
      <c r="F23" s="2500"/>
      <c r="G23" s="2500"/>
      <c r="H23" s="2500"/>
      <c r="I23" s="2500"/>
      <c r="J23" s="2500"/>
      <c r="K23" s="2500"/>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500" t="s">
        <v>2161</v>
      </c>
      <c r="C26" s="2500"/>
      <c r="D26" s="2500"/>
      <c r="E26" s="2500"/>
      <c r="F26" s="2500"/>
      <c r="G26" s="2500"/>
      <c r="H26" s="2500"/>
      <c r="I26" s="2500"/>
      <c r="J26" s="2500"/>
      <c r="K26" s="2500"/>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9" t="s">
        <v>2162</v>
      </c>
      <c r="C29" s="2499"/>
      <c r="D29" s="2500"/>
      <c r="E29" s="2500"/>
      <c r="F29" s="2500"/>
      <c r="G29" s="2500"/>
      <c r="H29" s="2500"/>
      <c r="I29" s="2500"/>
      <c r="J29" s="2500"/>
      <c r="K29" s="250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9" t="s">
        <v>2163</v>
      </c>
      <c r="C32" s="2499"/>
      <c r="D32" s="2500"/>
      <c r="E32" s="2500"/>
      <c r="F32" s="2500"/>
      <c r="G32" s="2500"/>
      <c r="H32" s="2500"/>
      <c r="I32" s="2500"/>
      <c r="J32" s="2500"/>
      <c r="K32" s="250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J46" sqref="J4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Jasper County CUSD 1</v>
      </c>
      <c r="C1" s="2508"/>
      <c r="D1" s="2508"/>
      <c r="E1" s="2508"/>
      <c r="F1" s="2508"/>
      <c r="G1" s="2508"/>
      <c r="H1" s="2508"/>
      <c r="I1" s="2508"/>
      <c r="J1" s="2508"/>
      <c r="K1" s="2508"/>
      <c r="L1" s="1465"/>
    </row>
    <row r="2" spans="1:12" ht="12.75" customHeight="1" x14ac:dyDescent="0.2">
      <c r="B2" s="2509" t="str">
        <f>'Single Audit Cover'!E7</f>
        <v>12-040-0010-26</v>
      </c>
      <c r="C2" s="2509"/>
      <c r="D2" s="2509"/>
      <c r="E2" s="2509"/>
      <c r="F2" s="2509"/>
      <c r="G2" s="2509"/>
      <c r="H2" s="2509"/>
      <c r="I2" s="2509"/>
      <c r="J2" s="2509"/>
      <c r="K2" s="2509"/>
      <c r="L2" s="1466"/>
    </row>
    <row r="3" spans="1:12" ht="12.75" customHeight="1" x14ac:dyDescent="0.2">
      <c r="B3" s="2501" t="s">
        <v>1346</v>
      </c>
      <c r="C3" s="2501"/>
      <c r="D3" s="2501"/>
      <c r="E3" s="2501"/>
      <c r="F3" s="2501"/>
      <c r="G3" s="2501"/>
      <c r="H3" s="2501"/>
      <c r="I3" s="2501"/>
      <c r="J3" s="2501"/>
      <c r="K3" s="2501"/>
      <c r="L3" s="1377"/>
    </row>
    <row r="4" spans="1:12" ht="12.75" customHeight="1" x14ac:dyDescent="0.2">
      <c r="B4" s="2501" t="str">
        <f>'Single Audit Cover'!A4</f>
        <v>Year Ending June 30, 2018</v>
      </c>
      <c r="C4" s="2501"/>
      <c r="D4" s="2501"/>
      <c r="E4" s="2501"/>
      <c r="F4" s="2501"/>
      <c r="G4" s="2501"/>
      <c r="H4" s="2501"/>
      <c r="I4" s="2501"/>
      <c r="J4" s="2501"/>
      <c r="K4" s="2501"/>
      <c r="L4" s="1377"/>
    </row>
    <row r="5" spans="1:12" ht="5.25" customHeight="1" x14ac:dyDescent="0.2">
      <c r="B5" s="1260" t="s">
        <v>1230</v>
      </c>
      <c r="C5" s="1260"/>
      <c r="L5" s="322"/>
    </row>
    <row r="6" spans="1:12" ht="30.75" customHeight="1" x14ac:dyDescent="0.2">
      <c r="A6" s="322"/>
      <c r="B6" s="2510" t="s">
        <v>1374</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v>2</v>
      </c>
      <c r="E8" s="322"/>
      <c r="F8" s="1384" t="s">
        <v>1361</v>
      </c>
      <c r="G8" s="1469" t="s">
        <v>2073</v>
      </c>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2" t="s">
        <v>2195</v>
      </c>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24" customHeight="1" x14ac:dyDescent="0.2">
      <c r="B14" s="1387" t="s">
        <v>1370</v>
      </c>
      <c r="C14" s="1387"/>
      <c r="D14" s="2505" t="s">
        <v>2196</v>
      </c>
      <c r="E14" s="2505"/>
      <c r="F14" s="2505"/>
      <c r="H14" s="1475" t="s">
        <v>1369</v>
      </c>
      <c r="I14" s="2506" t="s">
        <v>2185</v>
      </c>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6" t="s">
        <v>2186</v>
      </c>
      <c r="E16" s="2506"/>
      <c r="F16" s="2506"/>
      <c r="G16" s="2506"/>
      <c r="H16" s="2506"/>
      <c r="I16" s="2506"/>
      <c r="J16" s="2506"/>
      <c r="K16" s="2506"/>
      <c r="L16" s="322"/>
    </row>
    <row r="17" spans="2:12" ht="13.5" customHeight="1" x14ac:dyDescent="0.2">
      <c r="B17" s="1387" t="s">
        <v>1367</v>
      </c>
      <c r="C17" s="1387"/>
      <c r="D17" s="2507" t="s">
        <v>2146</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42.75" customHeight="1" x14ac:dyDescent="0.2">
      <c r="B20" s="2500" t="s">
        <v>2188</v>
      </c>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41.25" customHeight="1" x14ac:dyDescent="0.2">
      <c r="B23" s="2500" t="s">
        <v>2197</v>
      </c>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20.25" customHeight="1" x14ac:dyDescent="0.2">
      <c r="B26" s="2500" t="s">
        <v>2187</v>
      </c>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43.5" customHeight="1" x14ac:dyDescent="0.2">
      <c r="B29" s="2500" t="s">
        <v>2198</v>
      </c>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4.5" customHeight="1" x14ac:dyDescent="0.2">
      <c r="B32" s="2500" t="s">
        <v>2199</v>
      </c>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0.75" customHeight="1" x14ac:dyDescent="0.2">
      <c r="B35" s="2500" t="s">
        <v>2200</v>
      </c>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9" customHeight="1" x14ac:dyDescent="0.2">
      <c r="B38" s="2500" t="s">
        <v>2201</v>
      </c>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500" t="s">
        <v>2189</v>
      </c>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scale="90"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J46" sqref="J46"/>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Jasper County CUSD 1</v>
      </c>
      <c r="C1" s="2485"/>
      <c r="D1" s="2485"/>
      <c r="E1" s="1491"/>
    </row>
    <row r="2" spans="2:5" s="1282" customFormat="1" ht="12.75" customHeight="1" x14ac:dyDescent="0.2">
      <c r="B2" s="2487" t="str">
        <f>'Single Audit Cover'!E7</f>
        <v>12-040-0010-26</v>
      </c>
      <c r="C2" s="2487"/>
      <c r="D2" s="2487"/>
      <c r="E2" s="1492"/>
    </row>
    <row r="3" spans="2:5" ht="12.75" customHeight="1" x14ac:dyDescent="0.2">
      <c r="B3" s="2501" t="s">
        <v>1865</v>
      </c>
      <c r="C3" s="2501"/>
      <c r="D3" s="2501"/>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t="s">
        <v>2164</v>
      </c>
      <c r="C7" s="324" t="s">
        <v>2165</v>
      </c>
      <c r="D7" s="324" t="s">
        <v>2169</v>
      </c>
      <c r="E7" s="324"/>
    </row>
    <row r="8" spans="2:5" ht="13.5" customHeight="1" x14ac:dyDescent="0.2">
      <c r="B8" s="1496"/>
      <c r="C8" s="324" t="s">
        <v>2166</v>
      </c>
      <c r="D8" s="324"/>
      <c r="E8" s="324"/>
    </row>
    <row r="9" spans="2:5" ht="13.5" customHeight="1" x14ac:dyDescent="0.2">
      <c r="B9" s="1497"/>
      <c r="C9" s="323" t="s">
        <v>2167</v>
      </c>
      <c r="D9" s="323"/>
      <c r="E9" s="323"/>
    </row>
    <row r="10" spans="2:5" ht="13.5" customHeight="1" x14ac:dyDescent="0.2">
      <c r="B10" s="1496"/>
      <c r="C10" s="323" t="s">
        <v>2168</v>
      </c>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403</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169902369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0.02</v>
      </c>
      <c r="E10" s="356" t="s">
        <v>1061</v>
      </c>
      <c r="F10" s="355">
        <v>5.0000000000000001E-3</v>
      </c>
      <c r="G10" s="356" t="s">
        <v>1061</v>
      </c>
      <c r="H10" s="355">
        <v>2E-3</v>
      </c>
      <c r="I10" s="356" t="s">
        <v>1062</v>
      </c>
      <c r="J10" s="1750">
        <f>ROUND(D10+F10+H10,5)</f>
        <v>2.7E-2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1">
        <f>SUM('Acct Summary 7-8'!C8,'Acct Summary 7-8'!D8,'Acct Summary 7-8'!F8,'Acct Summary 7-8'!I8)</f>
        <v>11771116</v>
      </c>
      <c r="E16" s="356"/>
      <c r="F16" s="1751">
        <f>SUM('Acct Summary 7-8'!C17,'Acct Summary 7-8'!D17,'Acct Summary 7-8'!F17)</f>
        <v>11613304</v>
      </c>
      <c r="G16" s="356"/>
      <c r="H16" s="1751">
        <f>SUM(D16-F16)</f>
        <v>157812</v>
      </c>
      <c r="I16" s="222"/>
      <c r="J16" s="1751">
        <f>SUM('Acct Summary 7-8'!C81,'Acct Summary 7-8'!D81,'Acct Summary 7-8'!F81,'Acct Summary 7-8'!I81)</f>
        <v>2754498</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1">
        <f>'Short-Term Long-Term Debt 24'!F4</f>
        <v>0</v>
      </c>
      <c r="E22" s="356" t="s">
        <v>1061</v>
      </c>
      <c r="F22" s="1751">
        <f>'Short-Term Long-Term Debt 24'!F15</f>
        <v>0</v>
      </c>
      <c r="G22" s="356" t="s">
        <v>1061</v>
      </c>
      <c r="H22" s="1751">
        <f>'Short-Term Long-Term Debt 24'!F21</f>
        <v>0</v>
      </c>
      <c r="I22" s="356" t="s">
        <v>1061</v>
      </c>
      <c r="J22" s="1751">
        <f>'Short-Term Long-Term Debt 24'!F23</f>
        <v>0</v>
      </c>
      <c r="K22" s="356" t="s">
        <v>1061</v>
      </c>
      <c r="L22" s="1751">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1062</v>
      </c>
      <c r="F24" s="1752">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3">
        <f>IF(B31="X",(J7*0.069),IF(B32="X",(J7*0.138),"Enter x in a.or b."))</f>
        <v>23446526.922000002</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2">
        <f>'Assets-Liab 5-6'!N36</f>
        <v>7076570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43" sqref="A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576</v>
      </c>
      <c r="B2" s="2128"/>
      <c r="C2" s="2128"/>
      <c r="D2" s="2128"/>
      <c r="E2" s="2128"/>
      <c r="F2" s="2128"/>
      <c r="G2" s="2128"/>
      <c r="H2" s="2128"/>
      <c r="I2" s="2128"/>
      <c r="J2" s="2128"/>
      <c r="K2" s="2128"/>
      <c r="L2" s="2128"/>
      <c r="M2" s="2128"/>
      <c r="N2" s="2128"/>
      <c r="O2" s="2128"/>
      <c r="P2" s="2128"/>
      <c r="Q2" s="2128"/>
      <c r="R2" s="2128"/>
    </row>
    <row r="3" spans="1:18" ht="12.75" x14ac:dyDescent="0.2">
      <c r="A3" s="2129" t="s">
        <v>1479</v>
      </c>
      <c r="B3" s="2129"/>
      <c r="C3" s="2129"/>
      <c r="D3" s="2129"/>
      <c r="E3" s="2129"/>
      <c r="F3" s="2129"/>
      <c r="G3" s="2129"/>
      <c r="H3" s="2129"/>
      <c r="I3" s="2129"/>
      <c r="J3" s="2129"/>
      <c r="K3" s="2129"/>
      <c r="L3" s="2129"/>
      <c r="M3" s="2129"/>
      <c r="N3" s="2129"/>
      <c r="O3" s="2129"/>
      <c r="P3" s="2129"/>
      <c r="Q3" s="2129"/>
      <c r="R3" s="2129"/>
    </row>
    <row r="4" spans="1:18" x14ac:dyDescent="0.2">
      <c r="A4" s="2130" t="s">
        <v>1634</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Jasper County CUSD 1</v>
      </c>
      <c r="E7" s="391"/>
      <c r="G7" s="252"/>
      <c r="H7" s="387"/>
      <c r="I7" s="387"/>
      <c r="J7" s="387"/>
      <c r="K7" s="387"/>
      <c r="L7" s="329"/>
      <c r="M7" s="329"/>
      <c r="N7" s="329"/>
      <c r="O7" s="329"/>
      <c r="P7" s="329"/>
    </row>
    <row r="8" spans="1:18" ht="12.75" x14ac:dyDescent="0.2">
      <c r="A8" s="329"/>
      <c r="B8" s="329"/>
      <c r="C8" s="389" t="s">
        <v>1186</v>
      </c>
      <c r="D8" s="392" t="str">
        <f>COVER!A13</f>
        <v>12-040-0010-26</v>
      </c>
      <c r="E8" s="393"/>
      <c r="G8" s="329"/>
      <c r="H8" s="329"/>
      <c r="I8" s="329"/>
      <c r="J8" s="329"/>
      <c r="K8" s="329"/>
      <c r="L8" s="329"/>
      <c r="M8" s="329"/>
      <c r="N8" s="329"/>
      <c r="O8" s="329"/>
      <c r="P8" s="329"/>
    </row>
    <row r="9" spans="1:18" ht="12.75" x14ac:dyDescent="0.2">
      <c r="A9" s="329"/>
      <c r="B9" s="329"/>
      <c r="C9" s="389" t="s">
        <v>736</v>
      </c>
      <c r="D9" s="394" t="str">
        <f>COVER!A15</f>
        <v>Jasper, Cumberland, Effingham, Richland and 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3</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2754498</v>
      </c>
      <c r="I12" s="404"/>
      <c r="J12" s="404"/>
      <c r="K12" s="405">
        <f>TRUNC((H12/H13*100000),5)/100000</f>
        <v>0.23400483010000001</v>
      </c>
      <c r="L12" s="406"/>
      <c r="M12" s="360" t="s">
        <v>1205</v>
      </c>
      <c r="N12" s="360"/>
      <c r="O12" s="407">
        <v>0.35</v>
      </c>
      <c r="P12" s="218"/>
      <c r="Q12" s="218"/>
    </row>
    <row r="13" spans="1:18" s="408" customFormat="1" ht="12.75" x14ac:dyDescent="0.2">
      <c r="A13" s="218"/>
      <c r="B13" s="401"/>
      <c r="C13" s="2126" t="s">
        <v>1390</v>
      </c>
      <c r="D13" s="2127"/>
      <c r="E13" s="218"/>
      <c r="F13" s="409" t="s">
        <v>825</v>
      </c>
      <c r="G13" s="402"/>
      <c r="H13" s="403">
        <f>SUM('Acct Summary 7-8'!C8+'Acct Summary 7-8'!D8+'Acct Summary 7-8'!F8+'Acct Summary 7-8'!I8)+H14</f>
        <v>11771116</v>
      </c>
      <c r="I13" s="404"/>
      <c r="J13" s="404"/>
      <c r="K13" s="410"/>
      <c r="L13" s="218"/>
      <c r="M13" s="360" t="s">
        <v>1206</v>
      </c>
      <c r="N13" s="360"/>
      <c r="O13" s="411">
        <f>(O11*O12)</f>
        <v>1.0499999999999998</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11613304</v>
      </c>
      <c r="I17" s="404"/>
      <c r="J17" s="416"/>
      <c r="K17" s="405">
        <f>TRUNC((H17/H18*100000),5)/100000</f>
        <v>0.98659328469999996</v>
      </c>
      <c r="L17" s="406"/>
      <c r="M17" s="417" t="s">
        <v>1232</v>
      </c>
      <c r="O17" s="418" t="str">
        <f>IF(AND(O16="2", J20 &gt; 2),"1",IF(AND(O16 = "1", J20 &gt; 2),"2",IF(AND(O16="1", J20 &gt;1),"1","0")))</f>
        <v>0</v>
      </c>
      <c r="P17" s="218"/>
    </row>
    <row r="18" spans="1:18" s="408" customFormat="1" ht="11.25" x14ac:dyDescent="0.2">
      <c r="A18" s="218"/>
      <c r="B18" s="401"/>
      <c r="C18" s="2126" t="s">
        <v>1383</v>
      </c>
      <c r="D18" s="2127"/>
      <c r="E18" s="218"/>
      <c r="F18" s="419" t="s">
        <v>826</v>
      </c>
      <c r="G18" s="402"/>
      <c r="H18" s="403">
        <f>SUM('Acct Summary 7-8'!C8+'Acct Summary 7-8'!D8+'Acct Summary 7-8'!F8+'Acct Summary 7-8'!I8)+H19</f>
        <v>11771116</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2</v>
      </c>
      <c r="P23" s="216"/>
      <c r="R23" s="384"/>
    </row>
    <row r="24" spans="1:18" s="408" customFormat="1" ht="11.25" x14ac:dyDescent="0.2">
      <c r="A24" s="218"/>
      <c r="B24" s="401"/>
      <c r="C24" s="2123" t="s">
        <v>1478</v>
      </c>
      <c r="D24" s="2123"/>
      <c r="E24" s="218"/>
      <c r="F24" s="218" t="s">
        <v>464</v>
      </c>
      <c r="G24" s="402"/>
      <c r="H24" s="403">
        <f>SUM('Assets-Liab 5-6'!C4+'Assets-Liab 5-6'!D4+'Assets-Liab 5-6'!F4+'Assets-Liab 5-6'!I4+'Assets-Liab 5-6'!C5+'Assets-Liab 5-6'!D5+'Assets-Liab 5-6'!F5+'Assets-Liab 5-6'!I5)</f>
        <v>2733362</v>
      </c>
      <c r="I24" s="422"/>
      <c r="J24" s="422"/>
      <c r="K24" s="423">
        <f>TRUNC(((H24/H25*100000)/100000),2)</f>
        <v>84.73</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32259.177780000002</v>
      </c>
      <c r="I25" s="425"/>
      <c r="J25" s="425"/>
      <c r="K25" s="410"/>
      <c r="L25" s="218"/>
      <c r="M25" s="360" t="s">
        <v>1206</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3899259.3685499998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7076570</v>
      </c>
      <c r="I32" s="420"/>
      <c r="J32" s="420"/>
      <c r="K32" s="423">
        <f>TRUNC(100-((((H32/H33*100))*100)/100),2)</f>
        <v>69.81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23446526.922000002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A43" sqref="A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3" t="s">
        <v>1029</v>
      </c>
      <c r="B3" s="2134"/>
      <c r="C3" s="1581"/>
      <c r="D3" s="1582"/>
      <c r="E3" s="1582"/>
      <c r="F3" s="1582"/>
      <c r="G3" s="1582"/>
      <c r="H3" s="1582"/>
      <c r="I3" s="1582"/>
      <c r="J3" s="1582"/>
      <c r="K3" s="1582"/>
      <c r="L3" s="1582"/>
      <c r="M3" s="1583"/>
      <c r="N3" s="1584"/>
    </row>
    <row r="4" spans="1:14" ht="13.5" customHeight="1" x14ac:dyDescent="0.2">
      <c r="A4" s="463" t="s">
        <v>1749</v>
      </c>
      <c r="B4" s="464"/>
      <c r="C4" s="465">
        <v>1299174</v>
      </c>
      <c r="D4" s="466">
        <v>742852</v>
      </c>
      <c r="E4" s="466">
        <v>194507</v>
      </c>
      <c r="F4" s="466">
        <v>335433</v>
      </c>
      <c r="G4" s="466">
        <v>674962</v>
      </c>
      <c r="H4" s="466"/>
      <c r="I4" s="466">
        <v>355903</v>
      </c>
      <c r="J4" s="467">
        <v>231089</v>
      </c>
      <c r="K4" s="466">
        <v>205159</v>
      </c>
      <c r="L4" s="466">
        <v>314465</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v>250000</v>
      </c>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v>98</v>
      </c>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21200</v>
      </c>
      <c r="D12" s="466"/>
      <c r="E12" s="466"/>
      <c r="F12" s="466"/>
      <c r="G12" s="466"/>
      <c r="H12" s="466"/>
      <c r="I12" s="466"/>
      <c r="J12" s="467"/>
      <c r="K12" s="466"/>
      <c r="L12" s="466"/>
      <c r="M12" s="469"/>
      <c r="N12" s="469"/>
    </row>
    <row r="13" spans="1:14" ht="13.5" customHeight="1" thickBot="1" x14ac:dyDescent="0.25">
      <c r="A13" s="1754" t="s">
        <v>664</v>
      </c>
      <c r="B13" s="1727"/>
      <c r="C13" s="1755">
        <f>SUM(C4:C12)</f>
        <v>1320374</v>
      </c>
      <c r="D13" s="1755">
        <f t="shared" ref="D13:L13" si="0">SUM(D4:D12)</f>
        <v>992852</v>
      </c>
      <c r="E13" s="1755">
        <f t="shared" si="0"/>
        <v>194507</v>
      </c>
      <c r="F13" s="1755">
        <f t="shared" si="0"/>
        <v>335531</v>
      </c>
      <c r="G13" s="1755">
        <f t="shared" si="0"/>
        <v>674962</v>
      </c>
      <c r="H13" s="1755">
        <f t="shared" si="0"/>
        <v>0</v>
      </c>
      <c r="I13" s="1755">
        <f t="shared" si="0"/>
        <v>355903</v>
      </c>
      <c r="J13" s="1755">
        <f t="shared" si="0"/>
        <v>231089</v>
      </c>
      <c r="K13" s="1755">
        <f t="shared" si="0"/>
        <v>205159</v>
      </c>
      <c r="L13" s="1755">
        <f t="shared" si="0"/>
        <v>314465</v>
      </c>
      <c r="M13" s="468"/>
      <c r="N13" s="469"/>
    </row>
    <row r="14" spans="1:14" ht="18" customHeight="1" thickTop="1" x14ac:dyDescent="0.2">
      <c r="A14" s="2135" t="s">
        <v>149</v>
      </c>
      <c r="B14" s="2136"/>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f>'Cap Outlay Deprec 26'!F5</f>
        <v>98019</v>
      </c>
      <c r="N16" s="484"/>
    </row>
    <row r="17" spans="1:14" s="485" customFormat="1" ht="12.75" customHeight="1" x14ac:dyDescent="0.2">
      <c r="A17" s="482" t="s">
        <v>1469</v>
      </c>
      <c r="B17" s="483">
        <v>230</v>
      </c>
      <c r="C17" s="477"/>
      <c r="D17" s="477"/>
      <c r="E17" s="477"/>
      <c r="F17" s="477"/>
      <c r="G17" s="477"/>
      <c r="H17" s="477"/>
      <c r="I17" s="477"/>
      <c r="J17" s="477"/>
      <c r="K17" s="477"/>
      <c r="L17" s="477"/>
      <c r="M17" s="467">
        <v>30139674</v>
      </c>
      <c r="N17" s="484"/>
    </row>
    <row r="18" spans="1:14" s="485" customFormat="1" ht="12.75" customHeight="1" x14ac:dyDescent="0.2">
      <c r="A18" s="482" t="s">
        <v>1470</v>
      </c>
      <c r="B18" s="483">
        <v>240</v>
      </c>
      <c r="C18" s="477"/>
      <c r="D18" s="477"/>
      <c r="E18" s="477"/>
      <c r="F18" s="477"/>
      <c r="G18" s="477"/>
      <c r="H18" s="477"/>
      <c r="I18" s="477"/>
      <c r="J18" s="477"/>
      <c r="K18" s="477"/>
      <c r="L18" s="477"/>
      <c r="M18" s="467">
        <f>'Cap Outlay Deprec 26'!F10</f>
        <v>3138362</v>
      </c>
      <c r="N18" s="484"/>
    </row>
    <row r="19" spans="1:14" s="485" customFormat="1" ht="12.75" customHeight="1" x14ac:dyDescent="0.2">
      <c r="A19" s="482" t="s">
        <v>1471</v>
      </c>
      <c r="B19" s="483">
        <v>250</v>
      </c>
      <c r="C19" s="477"/>
      <c r="D19" s="477"/>
      <c r="E19" s="477"/>
      <c r="F19" s="477"/>
      <c r="G19" s="477"/>
      <c r="H19" s="477"/>
      <c r="I19" s="477"/>
      <c r="J19" s="477"/>
      <c r="K19" s="477"/>
      <c r="L19" s="477"/>
      <c r="M19" s="467">
        <f>'Cap Outlay Deprec 26'!F12+'Cap Outlay Deprec 26'!F13+'Cap Outlay Deprec 26'!F14</f>
        <v>5173065</v>
      </c>
      <c r="N19" s="484"/>
    </row>
    <row r="20" spans="1:14" s="485" customFormat="1" ht="12.75" customHeight="1" x14ac:dyDescent="0.2">
      <c r="A20" s="482" t="s">
        <v>1472</v>
      </c>
      <c r="B20" s="483">
        <v>260</v>
      </c>
      <c r="C20" s="477"/>
      <c r="D20" s="477"/>
      <c r="E20" s="477"/>
      <c r="F20" s="477"/>
      <c r="G20" s="477"/>
      <c r="H20" s="477"/>
      <c r="I20" s="477"/>
      <c r="J20" s="477"/>
      <c r="K20" s="477"/>
      <c r="L20" s="477"/>
      <c r="M20" s="467">
        <v>4094</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f>E4</f>
        <v>194507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6882063</v>
      </c>
    </row>
    <row r="23" spans="1:14" ht="13.5" customHeight="1" thickBot="1" x14ac:dyDescent="0.25">
      <c r="A23" s="1754" t="s">
        <v>663</v>
      </c>
      <c r="B23" s="1759"/>
      <c r="C23" s="468"/>
      <c r="D23" s="468"/>
      <c r="E23" s="468"/>
      <c r="F23" s="468"/>
      <c r="G23" s="468"/>
      <c r="H23" s="468"/>
      <c r="I23" s="468"/>
      <c r="J23" s="468"/>
      <c r="K23" s="468"/>
      <c r="L23" s="468"/>
      <c r="M23" s="1706">
        <f>SUM(M15:M22)</f>
        <v>38553214</v>
      </c>
      <c r="N23" s="1706">
        <f>SUM(N21:N22)</f>
        <v>7076570</v>
      </c>
    </row>
    <row r="24" spans="1:14" ht="18" customHeight="1" thickTop="1" x14ac:dyDescent="0.2">
      <c r="A24" s="2137" t="s">
        <v>618</v>
      </c>
      <c r="B24" s="2138"/>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v>250000</v>
      </c>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v>122</v>
      </c>
      <c r="D31" s="467">
        <v>40</v>
      </c>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314465</v>
      </c>
      <c r="M33" s="468"/>
      <c r="N33" s="469"/>
    </row>
    <row r="34" spans="1:14" ht="13.5" customHeight="1" thickBot="1" x14ac:dyDescent="0.25">
      <c r="A34" s="1756" t="s">
        <v>674</v>
      </c>
      <c r="B34" s="1757"/>
      <c r="C34" s="1758">
        <f>SUM(C25:C33)</f>
        <v>122</v>
      </c>
      <c r="D34" s="1758">
        <f t="shared" ref="D34:K34" si="1">SUM(D25:D33)</f>
        <v>40</v>
      </c>
      <c r="E34" s="1758">
        <f t="shared" si="1"/>
        <v>0</v>
      </c>
      <c r="F34" s="1758">
        <f t="shared" si="1"/>
        <v>250000</v>
      </c>
      <c r="G34" s="1758">
        <f t="shared" si="1"/>
        <v>0</v>
      </c>
      <c r="H34" s="1758">
        <f t="shared" si="1"/>
        <v>0</v>
      </c>
      <c r="I34" s="1758">
        <f t="shared" si="1"/>
        <v>0</v>
      </c>
      <c r="J34" s="1758">
        <f t="shared" si="1"/>
        <v>0</v>
      </c>
      <c r="K34" s="1758">
        <f t="shared" si="1"/>
        <v>0</v>
      </c>
      <c r="L34" s="1739">
        <f>SUM(L33)</f>
        <v>314465</v>
      </c>
      <c r="M34" s="468"/>
      <c r="N34" s="480"/>
    </row>
    <row r="35" spans="1:14" ht="18" customHeight="1" thickTop="1" x14ac:dyDescent="0.2">
      <c r="A35" s="2139" t="s">
        <v>549</v>
      </c>
      <c r="B35" s="214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7076570</v>
      </c>
    </row>
    <row r="37" spans="1:14" ht="13.5" thickBot="1" x14ac:dyDescent="0.25">
      <c r="A37" s="1754" t="s">
        <v>673</v>
      </c>
      <c r="B37" s="1759"/>
      <c r="C37" s="477"/>
      <c r="D37" s="477"/>
      <c r="E37" s="477"/>
      <c r="F37" s="477"/>
      <c r="G37" s="477"/>
      <c r="H37" s="477"/>
      <c r="I37" s="477"/>
      <c r="J37" s="477"/>
      <c r="K37" s="477"/>
      <c r="L37" s="480"/>
      <c r="M37" s="468"/>
      <c r="N37" s="1706">
        <f>SUM(N36:N36)</f>
        <v>7076570</v>
      </c>
    </row>
    <row r="38" spans="1:14" s="329" customFormat="1" ht="13.5" customHeight="1" thickTop="1" x14ac:dyDescent="0.2">
      <c r="A38" s="496" t="s">
        <v>439</v>
      </c>
      <c r="B38" s="483">
        <v>714</v>
      </c>
      <c r="C38" s="466">
        <v>29166</v>
      </c>
      <c r="D38" s="466"/>
      <c r="E38" s="466"/>
      <c r="F38" s="466"/>
      <c r="G38" s="466"/>
      <c r="H38" s="466"/>
      <c r="I38" s="466"/>
      <c r="J38" s="467"/>
      <c r="K38" s="466"/>
      <c r="L38" s="481"/>
      <c r="M38" s="497"/>
      <c r="N38" s="497"/>
    </row>
    <row r="39" spans="1:14" s="329" customFormat="1" ht="13.5" customHeight="1" x14ac:dyDescent="0.2">
      <c r="A39" s="496" t="s">
        <v>359</v>
      </c>
      <c r="B39" s="483">
        <v>730</v>
      </c>
      <c r="C39" s="466">
        <v>1291086</v>
      </c>
      <c r="D39" s="466">
        <v>992812</v>
      </c>
      <c r="E39" s="466">
        <v>194507</v>
      </c>
      <c r="F39" s="466">
        <v>85531</v>
      </c>
      <c r="G39" s="466">
        <v>674962</v>
      </c>
      <c r="H39" s="466"/>
      <c r="I39" s="466">
        <v>355903</v>
      </c>
      <c r="J39" s="467">
        <v>231089</v>
      </c>
      <c r="K39" s="466">
        <v>205159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38553214</v>
      </c>
      <c r="N40" s="497"/>
    </row>
    <row r="41" spans="1:14" ht="13.5" customHeight="1" thickBot="1" x14ac:dyDescent="0.25">
      <c r="A41" s="1754" t="s">
        <v>675</v>
      </c>
      <c r="B41" s="1724"/>
      <c r="C41" s="1706">
        <f>(SUM(C34,C37,C38,C39))</f>
        <v>1320374</v>
      </c>
      <c r="D41" s="1706">
        <f t="shared" ref="D41:L41" si="2">SUM(D34,D37,D38:D39)</f>
        <v>992852</v>
      </c>
      <c r="E41" s="1706">
        <f t="shared" si="2"/>
        <v>194507</v>
      </c>
      <c r="F41" s="1706">
        <f t="shared" si="2"/>
        <v>335531</v>
      </c>
      <c r="G41" s="1706">
        <f t="shared" si="2"/>
        <v>674962</v>
      </c>
      <c r="H41" s="1706">
        <f t="shared" si="2"/>
        <v>0</v>
      </c>
      <c r="I41" s="1706">
        <f t="shared" si="2"/>
        <v>355903</v>
      </c>
      <c r="J41" s="1706">
        <f t="shared" si="2"/>
        <v>231089</v>
      </c>
      <c r="K41" s="1706">
        <f t="shared" si="2"/>
        <v>205159</v>
      </c>
      <c r="L41" s="1706">
        <f t="shared" si="2"/>
        <v>314465</v>
      </c>
      <c r="M41" s="1706">
        <f>SUM(M40)</f>
        <v>38553214</v>
      </c>
      <c r="N41" s="1706">
        <f>SUM(N37)</f>
        <v>7076570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9" activePane="bottomLeft" state="frozenSplit"/>
      <selection activeCell="A43" sqref="A43"/>
      <selection pane="bottomLeft" activeCell="A43" sqref="A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5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1" t="s">
        <v>1236</v>
      </c>
      <c r="B3" s="2162"/>
      <c r="C3" s="1595"/>
      <c r="D3" s="1596"/>
      <c r="E3" s="1596"/>
      <c r="F3" s="1596"/>
      <c r="G3" s="1596"/>
      <c r="H3" s="1596"/>
      <c r="I3" s="1596"/>
      <c r="J3" s="1596"/>
      <c r="K3" s="1597"/>
      <c r="L3" s="506"/>
    </row>
    <row r="4" spans="1:13" ht="15.75" customHeight="1" x14ac:dyDescent="0.2">
      <c r="A4" s="1949" t="s">
        <v>1578</v>
      </c>
      <c r="B4" s="1950">
        <v>1000</v>
      </c>
      <c r="C4" s="1760">
        <f>'Revenues 9-14'!C109</f>
        <v>5277496</v>
      </c>
      <c r="D4" s="1760">
        <f>'Revenues 9-14'!D109</f>
        <v>1053139</v>
      </c>
      <c r="E4" s="1760">
        <f>'Revenues 9-14'!E109</f>
        <v>742411</v>
      </c>
      <c r="F4" s="1760">
        <f>'Revenues 9-14'!F109</f>
        <v>426629</v>
      </c>
      <c r="G4" s="1760">
        <f>'Revenues 9-14'!G109</f>
        <v>631709</v>
      </c>
      <c r="H4" s="1760">
        <f>'Revenues 9-14'!H109</f>
        <v>0</v>
      </c>
      <c r="I4" s="1760">
        <f>'Revenues 9-14'!I109</f>
        <v>100361</v>
      </c>
      <c r="J4" s="1760">
        <f>'Revenues 9-14'!J109</f>
        <v>1209570</v>
      </c>
      <c r="K4" s="1760">
        <f>'Revenues 9-14'!K109</f>
        <v>99484</v>
      </c>
      <c r="L4" s="347"/>
    </row>
    <row r="5" spans="1:13" ht="15.75" customHeight="1" x14ac:dyDescent="0.2">
      <c r="A5" s="1598" t="s">
        <v>1579</v>
      </c>
      <c r="B5" s="1599">
        <v>2000</v>
      </c>
      <c r="C5" s="1761">
        <f>'Revenues 9-14'!C114</f>
        <v>3262</v>
      </c>
      <c r="D5" s="1761">
        <f>'Revenues 9-14'!D114</f>
        <v>0</v>
      </c>
      <c r="E5" s="508"/>
      <c r="F5" s="1761">
        <f>'Revenues 9-14'!F114</f>
        <v>0</v>
      </c>
      <c r="G5" s="1761">
        <f>'Revenues 9-14'!G114</f>
        <v>0</v>
      </c>
      <c r="H5" s="509" t="s">
        <v>1230</v>
      </c>
      <c r="I5" s="510" t="s">
        <v>1230</v>
      </c>
      <c r="J5" s="511" t="s">
        <v>1230</v>
      </c>
      <c r="K5" s="512" t="s">
        <v>1230</v>
      </c>
      <c r="L5" s="347"/>
    </row>
    <row r="6" spans="1:13" ht="15.75" customHeight="1" x14ac:dyDescent="0.2">
      <c r="A6" s="1598" t="s">
        <v>1580</v>
      </c>
      <c r="B6" s="1600">
        <v>3000</v>
      </c>
      <c r="C6" s="1761">
        <f>'Revenues 9-14'!C173</f>
        <v>2579711</v>
      </c>
      <c r="D6" s="1761">
        <f>'Revenues 9-14'!D173</f>
        <v>0</v>
      </c>
      <c r="E6" s="1761">
        <f>'Revenues 9-14'!E173</f>
        <v>0</v>
      </c>
      <c r="F6" s="1761">
        <f>'Revenues 9-14'!F173</f>
        <v>1099268</v>
      </c>
      <c r="G6" s="1761">
        <f>'Revenues 9-14'!G173</f>
        <v>0</v>
      </c>
      <c r="H6" s="1761">
        <f>'Revenues 9-14'!H173</f>
        <v>0</v>
      </c>
      <c r="I6" s="1761">
        <f>'Revenues 9-14'!I173</f>
        <v>0</v>
      </c>
      <c r="J6" s="1761">
        <f>'Revenues 9-14'!J173</f>
        <v>0</v>
      </c>
      <c r="K6" s="1761">
        <f>'Revenues 9-14'!K173</f>
        <v>0</v>
      </c>
      <c r="L6" s="347"/>
      <c r="M6" s="513"/>
    </row>
    <row r="7" spans="1:13" ht="15.75" customHeight="1" x14ac:dyDescent="0.2">
      <c r="A7" s="1598" t="s">
        <v>1581</v>
      </c>
      <c r="B7" s="1600">
        <v>4000</v>
      </c>
      <c r="C7" s="1761">
        <f>'Revenues 9-14'!C274</f>
        <v>1231250</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1233</v>
      </c>
      <c r="B8" s="1727"/>
      <c r="C8" s="1706">
        <f>SUM(C4:C7)</f>
        <v>9091719</v>
      </c>
      <c r="D8" s="1706">
        <f t="shared" ref="D8:K8" si="0">SUM(D4:D7)</f>
        <v>1053139</v>
      </c>
      <c r="E8" s="1706">
        <f t="shared" si="0"/>
        <v>742411</v>
      </c>
      <c r="F8" s="1706">
        <f t="shared" si="0"/>
        <v>1525897</v>
      </c>
      <c r="G8" s="1706">
        <f t="shared" si="0"/>
        <v>631709</v>
      </c>
      <c r="H8" s="1706">
        <f t="shared" si="0"/>
        <v>0</v>
      </c>
      <c r="I8" s="1706">
        <f t="shared" si="0"/>
        <v>100361</v>
      </c>
      <c r="J8" s="1706">
        <f t="shared" si="0"/>
        <v>1209570</v>
      </c>
      <c r="K8" s="1706">
        <f t="shared" si="0"/>
        <v>99484</v>
      </c>
      <c r="L8" s="347"/>
    </row>
    <row r="9" spans="1:13" ht="15.75" thickTop="1" x14ac:dyDescent="0.2">
      <c r="A9" s="514" t="s">
        <v>1751</v>
      </c>
      <c r="B9" s="515">
        <v>3998</v>
      </c>
      <c r="C9" s="481">
        <v>3627037</v>
      </c>
      <c r="D9" s="516"/>
      <c r="E9" s="481"/>
      <c r="F9" s="481"/>
      <c r="G9" s="517"/>
      <c r="H9" s="481"/>
      <c r="I9" s="509" t="s">
        <v>1230</v>
      </c>
      <c r="J9" s="478"/>
      <c r="K9" s="481"/>
      <c r="L9" s="347"/>
    </row>
    <row r="10" spans="1:13" s="519" customFormat="1" ht="13.5" thickBot="1" x14ac:dyDescent="0.25">
      <c r="A10" s="1754" t="s">
        <v>1234</v>
      </c>
      <c r="B10" s="1727"/>
      <c r="C10" s="1706">
        <f>SUM(C8:C9)</f>
        <v>12718756</v>
      </c>
      <c r="D10" s="1706">
        <f t="shared" ref="D10:K10" si="1">SUM(D8:D9)</f>
        <v>1053139</v>
      </c>
      <c r="E10" s="1706">
        <f t="shared" si="1"/>
        <v>742411</v>
      </c>
      <c r="F10" s="1706">
        <f t="shared" si="1"/>
        <v>1525897</v>
      </c>
      <c r="G10" s="1706">
        <f t="shared" si="1"/>
        <v>631709</v>
      </c>
      <c r="H10" s="1706">
        <f t="shared" si="1"/>
        <v>0</v>
      </c>
      <c r="I10" s="1706">
        <f t="shared" si="1"/>
        <v>100361</v>
      </c>
      <c r="J10" s="1706">
        <f t="shared" si="1"/>
        <v>1209570</v>
      </c>
      <c r="K10" s="1706">
        <f t="shared" si="1"/>
        <v>99484</v>
      </c>
      <c r="L10" s="518"/>
    </row>
    <row r="11" spans="1:13" s="519" customFormat="1" ht="16.7" customHeight="1" thickTop="1" x14ac:dyDescent="0.2">
      <c r="A11" s="2135" t="s">
        <v>1237</v>
      </c>
      <c r="B11" s="2136"/>
      <c r="C11" s="1592"/>
      <c r="D11" s="1593"/>
      <c r="E11" s="1593"/>
      <c r="F11" s="1593"/>
      <c r="G11" s="1593"/>
      <c r="H11" s="1593"/>
      <c r="I11" s="1593"/>
      <c r="J11" s="1593"/>
      <c r="K11" s="1594"/>
      <c r="L11" s="518"/>
    </row>
    <row r="12" spans="1:13" ht="15.75" customHeight="1" x14ac:dyDescent="0.2">
      <c r="A12" s="1598" t="s">
        <v>475</v>
      </c>
      <c r="B12" s="1600">
        <v>1000</v>
      </c>
      <c r="C12" s="1760">
        <f>'Expenditures 15-22'!K33</f>
        <v>5996179</v>
      </c>
      <c r="D12" s="520" t="s">
        <v>1230</v>
      </c>
      <c r="E12" s="468" t="s">
        <v>1230</v>
      </c>
      <c r="F12" s="468" t="s">
        <v>1230</v>
      </c>
      <c r="G12" s="1760">
        <f>'Expenditures 15-22'!K229</f>
        <v>180726</v>
      </c>
      <c r="H12" s="521"/>
      <c r="I12" s="468" t="s">
        <v>1230</v>
      </c>
      <c r="J12" s="468" t="s">
        <v>1230</v>
      </c>
      <c r="K12" s="521" t="s">
        <v>1230</v>
      </c>
      <c r="L12" s="347"/>
    </row>
    <row r="13" spans="1:13" ht="15.75" customHeight="1" x14ac:dyDescent="0.2">
      <c r="A13" s="1598" t="s">
        <v>476</v>
      </c>
      <c r="B13" s="1600">
        <v>2000</v>
      </c>
      <c r="C13" s="1761">
        <f>'Expenditures 15-22'!K74</f>
        <v>2245534</v>
      </c>
      <c r="D13" s="1761">
        <f>'Expenditures 15-22'!K129</f>
        <v>982126</v>
      </c>
      <c r="E13" s="469" t="s">
        <v>1230</v>
      </c>
      <c r="F13" s="1761">
        <f>'Expenditures 15-22'!K184</f>
        <v>1897449</v>
      </c>
      <c r="G13" s="1761">
        <f>'Expenditures 15-22'!K279</f>
        <v>522129</v>
      </c>
      <c r="H13" s="1761">
        <f>'Expenditures 15-22'!K303</f>
        <v>0</v>
      </c>
      <c r="I13" s="468" t="s">
        <v>1230</v>
      </c>
      <c r="J13" s="1761">
        <f>'Expenditures 15-22'!K330</f>
        <v>1061227</v>
      </c>
      <c r="K13" s="1765">
        <f>'Expenditures 15-22'!K352</f>
        <v>35350</v>
      </c>
      <c r="L13" s="347"/>
    </row>
    <row r="14" spans="1:13" ht="15.75" customHeight="1" x14ac:dyDescent="0.2">
      <c r="A14" s="1598" t="s">
        <v>468</v>
      </c>
      <c r="B14" s="1600">
        <v>3000</v>
      </c>
      <c r="C14" s="1761">
        <f>'Expenditures 15-22'!K75</f>
        <v>45075</v>
      </c>
      <c r="D14" s="1761">
        <f>'Expenditures 15-22'!K130</f>
        <v>0</v>
      </c>
      <c r="E14" s="520" t="s">
        <v>1230</v>
      </c>
      <c r="F14" s="1761">
        <f>'Expenditures 15-22'!K185</f>
        <v>0</v>
      </c>
      <c r="G14" s="1761">
        <f>'Expenditures 15-22'!K280</f>
        <v>335</v>
      </c>
      <c r="H14" s="512"/>
      <c r="I14" s="468" t="s">
        <v>1230</v>
      </c>
      <c r="J14" s="468" t="s">
        <v>1230</v>
      </c>
      <c r="K14" s="512" t="s">
        <v>1230</v>
      </c>
      <c r="L14" s="347"/>
    </row>
    <row r="15" spans="1:13" ht="15.75" customHeight="1" x14ac:dyDescent="0.2">
      <c r="A15" s="1598" t="s">
        <v>109</v>
      </c>
      <c r="B15" s="1600">
        <v>4000</v>
      </c>
      <c r="C15" s="1761">
        <f>'Expenditures 15-22'!K102</f>
        <v>343186</v>
      </c>
      <c r="D15" s="1761">
        <f>'Expenditures 15-22'!K139</f>
        <v>64989</v>
      </c>
      <c r="E15" s="1761">
        <f>'Expenditures 15-22'!K160</f>
        <v>0</v>
      </c>
      <c r="F15" s="1761">
        <f>'Expenditures 15-22'!K196</f>
        <v>38766</v>
      </c>
      <c r="G15" s="1761">
        <f>'Expenditures 15-22'!K285</f>
        <v>7348</v>
      </c>
      <c r="H15" s="1761">
        <f>'Expenditures 15-22'!K310</f>
        <v>0</v>
      </c>
      <c r="I15" s="468" t="s">
        <v>1230</v>
      </c>
      <c r="J15" s="1854">
        <f>'Expenditures 15-22'!K334</f>
        <v>0</v>
      </c>
      <c r="K15" s="1761">
        <f>'Expenditures 15-22'!K357</f>
        <v>0</v>
      </c>
      <c r="L15" s="347"/>
    </row>
    <row r="16" spans="1:13" ht="15.75" customHeight="1" x14ac:dyDescent="0.2">
      <c r="A16" s="1598" t="s">
        <v>469</v>
      </c>
      <c r="B16" s="1600">
        <v>5000</v>
      </c>
      <c r="C16" s="1761">
        <f>'Expenditures 15-22'!K112</f>
        <v>0</v>
      </c>
      <c r="D16" s="1761">
        <f>'Expenditures 15-22'!K149</f>
        <v>0</v>
      </c>
      <c r="E16" s="1761">
        <f>'Expenditures 15-22'!K172</f>
        <v>740603</v>
      </c>
      <c r="F16" s="1761">
        <f>'Expenditures 15-22'!K208</f>
        <v>0</v>
      </c>
      <c r="G16" s="1761">
        <f>'Expenditures 15-22'!K293</f>
        <v>0</v>
      </c>
      <c r="H16" s="523"/>
      <c r="I16" s="468" t="s">
        <v>1230</v>
      </c>
      <c r="J16" s="1766">
        <f>'Expenditures 15-22'!K340</f>
        <v>0</v>
      </c>
      <c r="K16" s="1761">
        <f>'Expenditures 15-22'!K365</f>
        <v>0</v>
      </c>
      <c r="L16" s="347"/>
    </row>
    <row r="17" spans="1:12" ht="13.5" thickBot="1" x14ac:dyDescent="0.25">
      <c r="A17" s="1726" t="s">
        <v>50</v>
      </c>
      <c r="B17" s="1727"/>
      <c r="C17" s="1706">
        <f t="shared" ref="C17:H17" si="2">SUM(C12:C16)</f>
        <v>8629974</v>
      </c>
      <c r="D17" s="1706">
        <f t="shared" si="2"/>
        <v>1047115</v>
      </c>
      <c r="E17" s="1706">
        <f t="shared" si="2"/>
        <v>740603</v>
      </c>
      <c r="F17" s="1706">
        <f t="shared" si="2"/>
        <v>1936215</v>
      </c>
      <c r="G17" s="1706">
        <f t="shared" si="2"/>
        <v>710538</v>
      </c>
      <c r="H17" s="1706">
        <f t="shared" si="2"/>
        <v>0</v>
      </c>
      <c r="I17" s="468"/>
      <c r="J17" s="1706">
        <f>SUM(J12:J16)</f>
        <v>1061227</v>
      </c>
      <c r="K17" s="1706">
        <f>SUM(K12:K16)</f>
        <v>35350</v>
      </c>
      <c r="L17" s="347"/>
    </row>
    <row r="18" spans="1:12" ht="15" customHeight="1" thickTop="1" x14ac:dyDescent="0.2">
      <c r="A18" s="1762" t="s">
        <v>1752</v>
      </c>
      <c r="B18" s="1763">
        <v>4180</v>
      </c>
      <c r="C18" s="1760">
        <f t="shared" ref="C18:H18" si="3">C9</f>
        <v>3627037</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525</v>
      </c>
      <c r="B19" s="1727"/>
      <c r="C19" s="1706">
        <f t="shared" ref="C19:H19" si="4">SUM(C17:C18)</f>
        <v>12257011</v>
      </c>
      <c r="D19" s="1706">
        <f t="shared" si="4"/>
        <v>1047115</v>
      </c>
      <c r="E19" s="1706">
        <f t="shared" si="4"/>
        <v>740603</v>
      </c>
      <c r="F19" s="1706">
        <f t="shared" si="4"/>
        <v>1936215</v>
      </c>
      <c r="G19" s="1706">
        <f t="shared" si="4"/>
        <v>710538</v>
      </c>
      <c r="H19" s="1706">
        <f t="shared" si="4"/>
        <v>0</v>
      </c>
      <c r="I19" s="468"/>
      <c r="J19" s="1706">
        <f>SUM(J17:J18)</f>
        <v>1061227</v>
      </c>
      <c r="K19" s="1706">
        <f>SUM(K17:K18)</f>
        <v>35350</v>
      </c>
      <c r="L19" s="347"/>
    </row>
    <row r="20" spans="1:12" ht="16.5" thickTop="1" thickBot="1" x14ac:dyDescent="0.25">
      <c r="A20" s="2151" t="s">
        <v>1753</v>
      </c>
      <c r="B20" s="2152"/>
      <c r="C20" s="1764">
        <f>C8-C17</f>
        <v>461745</v>
      </c>
      <c r="D20" s="1764">
        <f t="shared" ref="D20:K20" si="5">D8-D17</f>
        <v>6024</v>
      </c>
      <c r="E20" s="1764">
        <f t="shared" si="5"/>
        <v>1808</v>
      </c>
      <c r="F20" s="1764">
        <f t="shared" si="5"/>
        <v>-410318</v>
      </c>
      <c r="G20" s="1764">
        <f t="shared" si="5"/>
        <v>-78829</v>
      </c>
      <c r="H20" s="1764">
        <f t="shared" si="5"/>
        <v>0</v>
      </c>
      <c r="I20" s="1764">
        <f t="shared" si="5"/>
        <v>100361</v>
      </c>
      <c r="J20" s="1764">
        <f t="shared" si="5"/>
        <v>148343</v>
      </c>
      <c r="K20" s="1764">
        <f t="shared" si="5"/>
        <v>64134</v>
      </c>
      <c r="L20" s="347"/>
    </row>
    <row r="21" spans="1:12" ht="16.7" customHeight="1" thickTop="1" x14ac:dyDescent="0.2">
      <c r="A21" s="2163" t="s">
        <v>615</v>
      </c>
      <c r="B21" s="2164"/>
      <c r="C21" s="1592"/>
      <c r="D21" s="1593"/>
      <c r="E21" s="1593"/>
      <c r="F21" s="1593"/>
      <c r="G21" s="1593"/>
      <c r="H21" s="1593"/>
      <c r="I21" s="1593"/>
      <c r="J21" s="1593"/>
      <c r="K21" s="1594"/>
      <c r="L21" s="524"/>
    </row>
    <row r="22" spans="1:12" ht="15.75" customHeight="1" collapsed="1" x14ac:dyDescent="0.2">
      <c r="A22" s="2159" t="s">
        <v>616</v>
      </c>
      <c r="B22" s="2160"/>
      <c r="C22" s="477"/>
      <c r="D22" s="477"/>
      <c r="E22" s="477"/>
      <c r="F22" s="477"/>
      <c r="G22" s="477"/>
      <c r="H22" s="477"/>
      <c r="I22" s="477"/>
      <c r="J22" s="477"/>
      <c r="K22" s="477"/>
      <c r="L22" s="347"/>
    </row>
    <row r="23" spans="1:12" s="485" customFormat="1" ht="15.75" customHeight="1" x14ac:dyDescent="0.2">
      <c r="A23" s="2155" t="s">
        <v>310</v>
      </c>
      <c r="B23" s="2156"/>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v>250000</v>
      </c>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7" t="s">
        <v>1037</v>
      </c>
      <c r="B32" s="2158"/>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1">
        <f>SUM(C54:D57,H54:H57)</f>
        <v>0</v>
      </c>
      <c r="F37" s="475"/>
      <c r="G37" s="475"/>
      <c r="H37" s="475"/>
      <c r="I37" s="477"/>
      <c r="J37" s="475"/>
      <c r="K37" s="475"/>
      <c r="L37" s="524"/>
    </row>
    <row r="38" spans="1:12" s="485" customFormat="1" x14ac:dyDescent="0.2">
      <c r="A38" s="1511" t="s">
        <v>461</v>
      </c>
      <c r="B38" s="525">
        <v>7500</v>
      </c>
      <c r="C38" s="477"/>
      <c r="D38" s="477"/>
      <c r="E38" s="1761">
        <f>SUM(C58:D61,H58:H61)</f>
        <v>0</v>
      </c>
      <c r="F38" s="477"/>
      <c r="G38" s="477"/>
      <c r="H38" s="477"/>
      <c r="I38" s="477"/>
      <c r="J38" s="477"/>
      <c r="K38" s="477"/>
      <c r="L38" s="524"/>
    </row>
    <row r="39" spans="1:12" s="485" customFormat="1" x14ac:dyDescent="0.2">
      <c r="A39" s="1511" t="s">
        <v>462</v>
      </c>
      <c r="B39" s="525">
        <v>7600</v>
      </c>
      <c r="C39" s="477"/>
      <c r="D39" s="477"/>
      <c r="E39" s="1761">
        <f>SUM(C62:D65)</f>
        <v>0</v>
      </c>
      <c r="F39" s="477"/>
      <c r="G39" s="477"/>
      <c r="H39" s="477"/>
      <c r="I39" s="477"/>
      <c r="J39" s="477"/>
      <c r="K39" s="477"/>
      <c r="L39" s="524"/>
    </row>
    <row r="40" spans="1:12" s="485" customFormat="1" ht="13.5" customHeight="1" x14ac:dyDescent="0.2">
      <c r="A40" s="1511" t="s">
        <v>662</v>
      </c>
      <c r="B40" s="483">
        <v>7700</v>
      </c>
      <c r="C40" s="477"/>
      <c r="D40" s="477"/>
      <c r="E40" s="1761">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1">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v>87000</v>
      </c>
      <c r="D43" s="467"/>
      <c r="E43" s="467"/>
      <c r="F43" s="467">
        <v>645658</v>
      </c>
      <c r="G43" s="467"/>
      <c r="H43" s="467"/>
      <c r="I43" s="467"/>
      <c r="J43" s="467"/>
      <c r="K43" s="467"/>
      <c r="L43" s="524"/>
    </row>
    <row r="44" spans="1:12" s="485" customFormat="1" ht="13.5" customHeight="1" thickBot="1" x14ac:dyDescent="0.25">
      <c r="A44" s="2165" t="s">
        <v>391</v>
      </c>
      <c r="B44" s="2166"/>
      <c r="C44" s="1721">
        <f>SUM(C24:C43)</f>
        <v>87000</v>
      </c>
      <c r="D44" s="1721">
        <f t="shared" ref="D44:K44" si="6">SUM(D24:D43)</f>
        <v>0</v>
      </c>
      <c r="E44" s="1721">
        <f t="shared" si="6"/>
        <v>0</v>
      </c>
      <c r="F44" s="1721">
        <f t="shared" si="6"/>
        <v>895658</v>
      </c>
      <c r="G44" s="1721">
        <f t="shared" si="6"/>
        <v>0</v>
      </c>
      <c r="H44" s="1721">
        <f t="shared" si="6"/>
        <v>0</v>
      </c>
      <c r="I44" s="1721">
        <f t="shared" si="6"/>
        <v>0</v>
      </c>
      <c r="J44" s="1721">
        <f t="shared" si="6"/>
        <v>0</v>
      </c>
      <c r="K44" s="1721">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1">
        <f>SUM(C24,C25:H25,J25:K25)</f>
        <v>250000</v>
      </c>
      <c r="J47" s="477"/>
      <c r="K47" s="477"/>
      <c r="L47" s="529"/>
    </row>
    <row r="48" spans="1:12" s="485" customFormat="1" ht="15" x14ac:dyDescent="0.2">
      <c r="A48" s="1512" t="s">
        <v>1758</v>
      </c>
      <c r="B48" s="483">
        <v>8120</v>
      </c>
      <c r="C48" s="480"/>
      <c r="D48" s="480"/>
      <c r="E48" s="477"/>
      <c r="F48" s="480"/>
      <c r="G48" s="477"/>
      <c r="H48" s="477"/>
      <c r="I48" s="1761">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1">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1">
        <f>D30</f>
        <v>0</v>
      </c>
      <c r="L52" s="524"/>
    </row>
    <row r="53" spans="1:12" s="485" customFormat="1" ht="26.25" x14ac:dyDescent="0.2">
      <c r="A53" s="1512" t="s">
        <v>1895</v>
      </c>
      <c r="B53" s="483">
        <v>8170</v>
      </c>
      <c r="C53" s="480"/>
      <c r="D53" s="480"/>
      <c r="E53" s="477"/>
      <c r="F53" s="477"/>
      <c r="G53" s="477"/>
      <c r="H53" s="480"/>
      <c r="I53" s="477"/>
      <c r="J53" s="477"/>
      <c r="K53" s="1761">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41" t="s">
        <v>459</v>
      </c>
      <c r="B76" s="2142"/>
      <c r="C76" s="1721">
        <f t="shared" ref="C76:K76" si="7">SUM(C47:C75)</f>
        <v>0</v>
      </c>
      <c r="D76" s="1721">
        <f t="shared" si="7"/>
        <v>0</v>
      </c>
      <c r="E76" s="1721">
        <f t="shared" si="7"/>
        <v>0</v>
      </c>
      <c r="F76" s="1721">
        <f t="shared" si="7"/>
        <v>0</v>
      </c>
      <c r="G76" s="1721">
        <f t="shared" si="7"/>
        <v>0</v>
      </c>
      <c r="H76" s="1721">
        <f t="shared" si="7"/>
        <v>0</v>
      </c>
      <c r="I76" s="1721">
        <f t="shared" si="7"/>
        <v>250000</v>
      </c>
      <c r="J76" s="1721">
        <f t="shared" si="7"/>
        <v>0</v>
      </c>
      <c r="K76" s="1721">
        <f t="shared" si="7"/>
        <v>0</v>
      </c>
      <c r="L76" s="524"/>
    </row>
    <row r="77" spans="1:12" ht="14.25" thickTop="1" thickBot="1" x14ac:dyDescent="0.25">
      <c r="A77" s="2143" t="s">
        <v>1238</v>
      </c>
      <c r="B77" s="2144"/>
      <c r="C77" s="1721">
        <f t="shared" ref="C77:K77" si="8">C44-C76</f>
        <v>87000</v>
      </c>
      <c r="D77" s="1721">
        <f t="shared" si="8"/>
        <v>0</v>
      </c>
      <c r="E77" s="1721">
        <f t="shared" si="8"/>
        <v>0</v>
      </c>
      <c r="F77" s="1721">
        <f t="shared" si="8"/>
        <v>895658</v>
      </c>
      <c r="G77" s="1721">
        <f t="shared" si="8"/>
        <v>0</v>
      </c>
      <c r="H77" s="1721">
        <f t="shared" si="8"/>
        <v>0</v>
      </c>
      <c r="I77" s="1721">
        <f t="shared" si="8"/>
        <v>-250000</v>
      </c>
      <c r="J77" s="1721">
        <f t="shared" si="8"/>
        <v>0</v>
      </c>
      <c r="K77" s="1721">
        <f t="shared" si="8"/>
        <v>0</v>
      </c>
      <c r="L77" s="347"/>
    </row>
    <row r="78" spans="1:12" ht="21.75" customHeight="1" thickTop="1" thickBot="1" x14ac:dyDescent="0.25">
      <c r="A78" s="2147" t="s">
        <v>617</v>
      </c>
      <c r="B78" s="2148"/>
      <c r="C78" s="1720">
        <f t="shared" ref="C78:K78" si="9">C20+C77</f>
        <v>548745</v>
      </c>
      <c r="D78" s="1720">
        <f t="shared" si="9"/>
        <v>6024</v>
      </c>
      <c r="E78" s="1720">
        <f t="shared" si="9"/>
        <v>1808</v>
      </c>
      <c r="F78" s="1720">
        <f t="shared" si="9"/>
        <v>485340</v>
      </c>
      <c r="G78" s="1720">
        <f t="shared" si="9"/>
        <v>-78829</v>
      </c>
      <c r="H78" s="1720">
        <f t="shared" si="9"/>
        <v>0</v>
      </c>
      <c r="I78" s="1720">
        <f t="shared" si="9"/>
        <v>-149639</v>
      </c>
      <c r="J78" s="1720">
        <f t="shared" si="9"/>
        <v>148343</v>
      </c>
      <c r="K78" s="1720">
        <f t="shared" si="9"/>
        <v>64134</v>
      </c>
      <c r="L78" s="533"/>
    </row>
    <row r="79" spans="1:12" ht="13.5" thickTop="1" x14ac:dyDescent="0.2">
      <c r="A79" s="1516" t="s">
        <v>2069</v>
      </c>
      <c r="B79" s="534"/>
      <c r="C79" s="478">
        <v>771507</v>
      </c>
      <c r="D79" s="535">
        <v>986788</v>
      </c>
      <c r="E79" s="535">
        <v>192699</v>
      </c>
      <c r="F79" s="535">
        <v>-399809</v>
      </c>
      <c r="G79" s="535">
        <v>753791</v>
      </c>
      <c r="H79" s="535">
        <v>0</v>
      </c>
      <c r="I79" s="535">
        <v>505542</v>
      </c>
      <c r="J79" s="535">
        <v>82746</v>
      </c>
      <c r="K79" s="535">
        <v>141025</v>
      </c>
      <c r="L79" s="347"/>
    </row>
    <row r="80" spans="1:12" x14ac:dyDescent="0.2">
      <c r="A80" s="2153" t="s">
        <v>1894</v>
      </c>
      <c r="B80" s="2154"/>
      <c r="C80" s="467"/>
      <c r="D80" s="467"/>
      <c r="E80" s="467"/>
      <c r="F80" s="467"/>
      <c r="G80" s="467"/>
      <c r="H80" s="467"/>
      <c r="I80" s="467"/>
      <c r="J80" s="467"/>
      <c r="K80" s="467"/>
      <c r="L80" s="347"/>
    </row>
    <row r="81" spans="1:12" ht="13.5" thickBot="1" x14ac:dyDescent="0.25">
      <c r="A81" s="2145" t="s">
        <v>2070</v>
      </c>
      <c r="B81" s="2146"/>
      <c r="C81" s="1706">
        <f>(SUM(C78:C80))</f>
        <v>1320252</v>
      </c>
      <c r="D81" s="1706">
        <f>SUM(D78:D80)</f>
        <v>992812</v>
      </c>
      <c r="E81" s="1706">
        <f t="shared" ref="E81:K81" si="10">SUM(E78:E80)</f>
        <v>194507</v>
      </c>
      <c r="F81" s="1706">
        <f t="shared" si="10"/>
        <v>85531</v>
      </c>
      <c r="G81" s="1706">
        <f t="shared" si="10"/>
        <v>674962</v>
      </c>
      <c r="H81" s="1706">
        <f t="shared" si="10"/>
        <v>0</v>
      </c>
      <c r="I81" s="1706">
        <f t="shared" si="10"/>
        <v>355903</v>
      </c>
      <c r="J81" s="1706">
        <f t="shared" si="10"/>
        <v>231089</v>
      </c>
      <c r="K81" s="1706">
        <f t="shared" si="10"/>
        <v>205159</v>
      </c>
      <c r="L81" s="347"/>
    </row>
    <row r="82" spans="1:12" ht="0.75" customHeight="1" thickTop="1" thickBot="1" x14ac:dyDescent="0.25">
      <c r="A82" s="536" t="s">
        <v>360</v>
      </c>
      <c r="B82" s="537"/>
      <c r="C82" s="538">
        <f>(C81-C79)</f>
        <v>548745</v>
      </c>
      <c r="D82" s="538">
        <f t="shared" ref="D82:K82" si="11">(D81-D79)</f>
        <v>6024</v>
      </c>
      <c r="E82" s="538">
        <f t="shared" si="11"/>
        <v>1808</v>
      </c>
      <c r="F82" s="538">
        <f t="shared" si="11"/>
        <v>485340</v>
      </c>
      <c r="G82" s="538">
        <f t="shared" si="11"/>
        <v>-78829</v>
      </c>
      <c r="H82" s="538">
        <f t="shared" si="11"/>
        <v>0</v>
      </c>
      <c r="I82" s="538">
        <f t="shared" si="11"/>
        <v>-149639</v>
      </c>
      <c r="J82" s="538">
        <f t="shared" si="11"/>
        <v>148343</v>
      </c>
      <c r="K82" s="538">
        <f t="shared" si="11"/>
        <v>64134</v>
      </c>
    </row>
    <row r="83" spans="1:12" ht="14.25" hidden="1" thickTop="1" thickBot="1" x14ac:dyDescent="0.25">
      <c r="A83" s="539" t="s">
        <v>361</v>
      </c>
      <c r="B83" s="464"/>
      <c r="C83" s="540">
        <f>C82/C81</f>
        <v>0.41563656029303497</v>
      </c>
      <c r="D83" s="540">
        <f t="shared" ref="D83:K83" si="12">D82/D81</f>
        <v>6.0676140095002884E-3</v>
      </c>
      <c r="E83" s="540">
        <f t="shared" si="12"/>
        <v>9.2952952850025965E-3</v>
      </c>
      <c r="F83" s="540">
        <f t="shared" si="12"/>
        <v>5.6744338310086402</v>
      </c>
      <c r="G83" s="540">
        <f t="shared" si="12"/>
        <v>-0.11679027856383026</v>
      </c>
      <c r="H83" s="540" t="e">
        <f t="shared" si="12"/>
        <v>#DIV/0!</v>
      </c>
      <c r="I83" s="540">
        <f t="shared" si="12"/>
        <v>-0.42044883015877921</v>
      </c>
      <c r="J83" s="540">
        <f t="shared" si="12"/>
        <v>0.64193016543409687</v>
      </c>
      <c r="K83" s="540">
        <f t="shared" si="12"/>
        <v>0.31260631997621358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3" sqref="A43"/>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1901</v>
      </c>
      <c r="B1" s="452"/>
      <c r="C1" s="453" t="s">
        <v>444</v>
      </c>
      <c r="D1" s="453" t="s">
        <v>445</v>
      </c>
      <c r="E1" s="453" t="s">
        <v>446</v>
      </c>
      <c r="F1" s="453" t="s">
        <v>447</v>
      </c>
      <c r="G1" s="453" t="s">
        <v>448</v>
      </c>
      <c r="H1" s="453" t="s">
        <v>449</v>
      </c>
      <c r="I1" s="453" t="s">
        <v>450</v>
      </c>
      <c r="J1" s="453" t="s">
        <v>451</v>
      </c>
      <c r="K1" s="453" t="s">
        <v>779</v>
      </c>
    </row>
    <row r="2" spans="1:12" ht="36" x14ac:dyDescent="0.2">
      <c r="A2" s="2150"/>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3921204</v>
      </c>
      <c r="D5" s="481">
        <v>980314</v>
      </c>
      <c r="E5" s="466">
        <v>739979</v>
      </c>
      <c r="F5" s="548">
        <v>392129</v>
      </c>
      <c r="G5" s="466">
        <v>199819</v>
      </c>
      <c r="H5" s="466"/>
      <c r="I5" s="466">
        <v>98032</v>
      </c>
      <c r="J5" s="467">
        <v>1198809</v>
      </c>
      <c r="K5" s="466">
        <v>98032</v>
      </c>
    </row>
    <row r="6" spans="1:12" ht="15" x14ac:dyDescent="0.2">
      <c r="A6" s="463" t="s">
        <v>1760</v>
      </c>
      <c r="B6" s="470">
        <v>1130</v>
      </c>
      <c r="C6" s="466">
        <v>98032</v>
      </c>
      <c r="D6" s="466"/>
      <c r="E6" s="475"/>
      <c r="F6" s="475"/>
      <c r="G6" s="468"/>
      <c r="H6" s="468"/>
      <c r="I6" s="468"/>
      <c r="J6" s="468"/>
      <c r="K6" s="468"/>
    </row>
    <row r="7" spans="1:12" x14ac:dyDescent="0.2">
      <c r="A7" s="463" t="s">
        <v>112</v>
      </c>
      <c r="B7" s="549">
        <v>1140</v>
      </c>
      <c r="C7" s="466">
        <v>78429</v>
      </c>
      <c r="D7" s="466"/>
      <c r="E7" s="468"/>
      <c r="F7" s="467"/>
      <c r="G7" s="467"/>
      <c r="H7" s="467"/>
      <c r="I7" s="468"/>
      <c r="J7" s="468"/>
      <c r="K7" s="468"/>
    </row>
    <row r="8" spans="1:12" x14ac:dyDescent="0.2">
      <c r="A8" s="463" t="s">
        <v>432</v>
      </c>
      <c r="B8" s="470">
        <v>1150</v>
      </c>
      <c r="C8" s="475"/>
      <c r="D8" s="475"/>
      <c r="E8" s="477"/>
      <c r="F8" s="477"/>
      <c r="G8" s="481">
        <v>239759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4097665</v>
      </c>
      <c r="D12" s="1725">
        <f t="shared" si="0"/>
        <v>980314</v>
      </c>
      <c r="E12" s="1725">
        <f t="shared" si="0"/>
        <v>739979</v>
      </c>
      <c r="F12" s="1725">
        <f t="shared" si="0"/>
        <v>392129</v>
      </c>
      <c r="G12" s="1725">
        <f t="shared" si="0"/>
        <v>439578</v>
      </c>
      <c r="H12" s="1725">
        <f t="shared" si="0"/>
        <v>0</v>
      </c>
      <c r="I12" s="1725">
        <f t="shared" si="0"/>
        <v>98032</v>
      </c>
      <c r="J12" s="1725">
        <f t="shared" si="0"/>
        <v>1198809</v>
      </c>
      <c r="K12" s="1706">
        <f t="shared" si="0"/>
        <v>98032</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6813</v>
      </c>
      <c r="D14" s="466">
        <v>1630</v>
      </c>
      <c r="E14" s="466">
        <v>1230</v>
      </c>
      <c r="F14" s="466">
        <v>652</v>
      </c>
      <c r="G14" s="466">
        <v>731</v>
      </c>
      <c r="H14" s="466"/>
      <c r="I14" s="466">
        <v>163</v>
      </c>
      <c r="J14" s="467">
        <v>1993</v>
      </c>
      <c r="K14" s="466">
        <v>163</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701630</v>
      </c>
      <c r="D16" s="466"/>
      <c r="E16" s="466"/>
      <c r="F16" s="466"/>
      <c r="G16" s="466">
        <v>188390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26" t="s">
        <v>557</v>
      </c>
      <c r="B18" s="1727"/>
      <c r="C18" s="1728">
        <f>SUM(C14:C17)</f>
        <v>708443</v>
      </c>
      <c r="D18" s="1728">
        <f t="shared" ref="D18:K18" si="1">SUM(D14:D17)</f>
        <v>1630</v>
      </c>
      <c r="E18" s="1728">
        <f t="shared" si="1"/>
        <v>1230</v>
      </c>
      <c r="F18" s="1728">
        <f t="shared" si="1"/>
        <v>652</v>
      </c>
      <c r="G18" s="1728">
        <f t="shared" si="1"/>
        <v>189121</v>
      </c>
      <c r="H18" s="1728">
        <f t="shared" si="1"/>
        <v>0</v>
      </c>
      <c r="I18" s="1728">
        <f t="shared" si="1"/>
        <v>163</v>
      </c>
      <c r="J18" s="1728">
        <f t="shared" si="1"/>
        <v>1993</v>
      </c>
      <c r="K18" s="1729">
        <f t="shared" si="1"/>
        <v>163</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26" t="s">
        <v>558</v>
      </c>
      <c r="B40" s="1727"/>
      <c r="C40" s="1706">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2532</v>
      </c>
      <c r="G44" s="468"/>
      <c r="H44" s="468"/>
      <c r="I44" s="468"/>
      <c r="J44" s="468"/>
      <c r="K44" s="468"/>
    </row>
    <row r="45" spans="1:11" ht="12.75" customHeight="1" x14ac:dyDescent="0.2">
      <c r="A45" s="463" t="s">
        <v>258</v>
      </c>
      <c r="B45" s="470">
        <v>1415</v>
      </c>
      <c r="C45" s="468"/>
      <c r="D45" s="468"/>
      <c r="E45" s="468"/>
      <c r="F45" s="466">
        <v>3562</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v>1993</v>
      </c>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26" t="s">
        <v>505</v>
      </c>
      <c r="B63" s="1727"/>
      <c r="C63" s="468"/>
      <c r="D63" s="468"/>
      <c r="E63" s="468"/>
      <c r="F63" s="1706">
        <f>SUM(F42:F62)</f>
        <v>8087</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9739</v>
      </c>
      <c r="D65" s="466">
        <v>5853</v>
      </c>
      <c r="E65" s="466">
        <v>1202</v>
      </c>
      <c r="F65" s="467">
        <v>692</v>
      </c>
      <c r="G65" s="466">
        <v>2687</v>
      </c>
      <c r="H65" s="466"/>
      <c r="I65" s="466">
        <v>2166</v>
      </c>
      <c r="J65" s="467">
        <v>3073</v>
      </c>
      <c r="K65" s="466">
        <v>1289</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26" t="s">
        <v>506</v>
      </c>
      <c r="B67" s="1727"/>
      <c r="C67" s="1706">
        <f>SUM(C65:C66)</f>
        <v>9739</v>
      </c>
      <c r="D67" s="1706">
        <f t="shared" ref="D67:K67" si="2">SUM(D65:D66)</f>
        <v>5853</v>
      </c>
      <c r="E67" s="1706">
        <f t="shared" si="2"/>
        <v>1202</v>
      </c>
      <c r="F67" s="1706">
        <f t="shared" si="2"/>
        <v>692</v>
      </c>
      <c r="G67" s="1706">
        <f t="shared" si="2"/>
        <v>2687</v>
      </c>
      <c r="H67" s="1706">
        <f t="shared" si="2"/>
        <v>0</v>
      </c>
      <c r="I67" s="1706">
        <f t="shared" si="2"/>
        <v>2166</v>
      </c>
      <c r="J67" s="1706">
        <f t="shared" si="2"/>
        <v>3073</v>
      </c>
      <c r="K67" s="1706">
        <f t="shared" si="2"/>
        <v>1289</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130138</v>
      </c>
      <c r="D69" s="468"/>
      <c r="E69" s="468"/>
      <c r="F69" s="468"/>
      <c r="G69" s="468"/>
      <c r="H69" s="468"/>
      <c r="I69" s="468"/>
      <c r="J69" s="468"/>
      <c r="K69" s="468"/>
    </row>
    <row r="70" spans="1:11" ht="12.75" customHeight="1" x14ac:dyDescent="0.2">
      <c r="A70" s="463" t="s">
        <v>1053</v>
      </c>
      <c r="B70" s="470">
        <v>1612</v>
      </c>
      <c r="C70" s="551">
        <v>27155</v>
      </c>
      <c r="D70" s="468"/>
      <c r="E70" s="468"/>
      <c r="F70" s="468"/>
      <c r="G70" s="468"/>
      <c r="H70" s="468"/>
      <c r="I70" s="468"/>
      <c r="J70" s="468"/>
      <c r="K70" s="468"/>
    </row>
    <row r="71" spans="1:11" ht="12.75" customHeight="1" x14ac:dyDescent="0.2">
      <c r="A71" s="463" t="s">
        <v>290</v>
      </c>
      <c r="B71" s="470">
        <v>1613</v>
      </c>
      <c r="C71" s="551">
        <v>35245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13882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6" t="s">
        <v>568</v>
      </c>
      <c r="B75" s="1727"/>
      <c r="C75" s="1706">
        <f>SUM(C69:C74)</f>
        <v>206420</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70737</v>
      </c>
      <c r="D77" s="466"/>
      <c r="E77" s="468"/>
      <c r="F77" s="468"/>
      <c r="G77" s="468"/>
      <c r="H77" s="468"/>
      <c r="I77" s="468"/>
      <c r="J77" s="468"/>
      <c r="K77" s="468"/>
    </row>
    <row r="78" spans="1:11" ht="12.75" customHeight="1" x14ac:dyDescent="0.2">
      <c r="A78" s="463" t="s">
        <v>78</v>
      </c>
      <c r="B78" s="470">
        <v>1719</v>
      </c>
      <c r="C78" s="551">
        <v>7090</v>
      </c>
      <c r="D78" s="466"/>
      <c r="E78" s="468"/>
      <c r="F78" s="468"/>
      <c r="G78" s="468"/>
      <c r="H78" s="468"/>
      <c r="I78" s="468"/>
      <c r="J78" s="468"/>
      <c r="K78" s="468"/>
    </row>
    <row r="79" spans="1:11" ht="12.75" customHeight="1" x14ac:dyDescent="0.2">
      <c r="A79" s="463" t="s">
        <v>570</v>
      </c>
      <c r="B79" s="470">
        <v>1720</v>
      </c>
      <c r="C79" s="551">
        <v>17590</v>
      </c>
      <c r="D79" s="466">
        <v>3780</v>
      </c>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95417</v>
      </c>
      <c r="D82" s="1706">
        <f>SUM(D77:D81)</f>
        <v>3780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81777</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v>557</v>
      </c>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26" t="s">
        <v>261</v>
      </c>
      <c r="B93" s="1727"/>
      <c r="C93" s="1706">
        <f>SUM(C84:C92)</f>
        <v>82334</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28050</v>
      </c>
      <c r="E95" s="521"/>
      <c r="F95" s="521"/>
      <c r="G95" s="521"/>
      <c r="H95" s="521"/>
      <c r="I95" s="521"/>
      <c r="J95" s="521"/>
      <c r="K95" s="521"/>
    </row>
    <row r="96" spans="1:11" ht="12.75" customHeight="1" x14ac:dyDescent="0.2">
      <c r="A96" s="463" t="s">
        <v>408</v>
      </c>
      <c r="B96" s="470">
        <v>1920</v>
      </c>
      <c r="C96" s="551">
        <v>16688</v>
      </c>
      <c r="D96" s="551">
        <v>8000</v>
      </c>
      <c r="E96" s="479"/>
      <c r="F96" s="478"/>
      <c r="G96" s="478">
        <v>323</v>
      </c>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187</v>
      </c>
      <c r="D99" s="466"/>
      <c r="E99" s="466"/>
      <c r="F99" s="466"/>
      <c r="G99" s="466"/>
      <c r="H99" s="466"/>
      <c r="I99" s="468"/>
      <c r="J99" s="467">
        <v>5695</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7858</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52745</v>
      </c>
      <c r="D107" s="466">
        <v>25512</v>
      </c>
      <c r="E107" s="466"/>
      <c r="F107" s="466">
        <v>25069</v>
      </c>
      <c r="G107" s="466"/>
      <c r="H107" s="466"/>
      <c r="I107" s="466"/>
      <c r="J107" s="467"/>
      <c r="K107" s="466"/>
    </row>
    <row r="108" spans="1:12" ht="12.75" customHeight="1" thickBot="1" x14ac:dyDescent="0.25">
      <c r="A108" s="1726" t="s">
        <v>507</v>
      </c>
      <c r="B108" s="1730"/>
      <c r="C108" s="1725">
        <f>SUM(C95:C107)</f>
        <v>77478</v>
      </c>
      <c r="D108" s="1725">
        <f t="shared" ref="D108:K108" si="3">SUM(D95:D107)</f>
        <v>61562</v>
      </c>
      <c r="E108" s="1725">
        <f t="shared" si="3"/>
        <v>0</v>
      </c>
      <c r="F108" s="1725">
        <f t="shared" si="3"/>
        <v>25069</v>
      </c>
      <c r="G108" s="1725">
        <f t="shared" si="3"/>
        <v>323</v>
      </c>
      <c r="H108" s="1725">
        <f t="shared" si="3"/>
        <v>0</v>
      </c>
      <c r="I108" s="1725">
        <f t="shared" si="3"/>
        <v>0</v>
      </c>
      <c r="J108" s="1725">
        <f t="shared" si="3"/>
        <v>5695</v>
      </c>
      <c r="K108" s="1706">
        <f t="shared" si="3"/>
        <v>0</v>
      </c>
    </row>
    <row r="109" spans="1:12" ht="14.25" thickTop="1" thickBot="1" x14ac:dyDescent="0.25">
      <c r="A109" s="1731" t="s">
        <v>266</v>
      </c>
      <c r="B109" s="1732" t="s">
        <v>590</v>
      </c>
      <c r="C109" s="1733">
        <f t="shared" ref="C109:K109" si="4">SUM(C12,C18,C40,C63,C67,C75,C82,C93,C108,)</f>
        <v>5277496</v>
      </c>
      <c r="D109" s="1733">
        <f t="shared" si="4"/>
        <v>1053139</v>
      </c>
      <c r="E109" s="1733">
        <f t="shared" si="4"/>
        <v>742411</v>
      </c>
      <c r="F109" s="1733">
        <f t="shared" si="4"/>
        <v>426629</v>
      </c>
      <c r="G109" s="1733">
        <f t="shared" si="4"/>
        <v>631709</v>
      </c>
      <c r="H109" s="1733">
        <f t="shared" si="4"/>
        <v>0</v>
      </c>
      <c r="I109" s="1733">
        <f t="shared" si="4"/>
        <v>100361</v>
      </c>
      <c r="J109" s="1733">
        <f t="shared" si="4"/>
        <v>1209570</v>
      </c>
      <c r="K109" s="1720">
        <f t="shared" si="4"/>
        <v>99484</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3262</v>
      </c>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838</v>
      </c>
      <c r="B114" s="1735" t="s">
        <v>589</v>
      </c>
      <c r="C114" s="1736">
        <f>SUM(C111:C113)</f>
        <v>3262</v>
      </c>
      <c r="D114" s="1736">
        <f>SUM(D111:D113)</f>
        <v>0</v>
      </c>
      <c r="E114" s="561" t="s">
        <v>1230</v>
      </c>
      <c r="F114" s="1736">
        <f>SUM(F111:F113)</f>
        <v>0</v>
      </c>
      <c r="G114" s="1736">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2026781</v>
      </c>
      <c r="D117" s="481"/>
      <c r="E117" s="466"/>
      <c r="F117" s="481">
        <v>122500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26" t="s">
        <v>508</v>
      </c>
      <c r="B121" s="1737"/>
      <c r="C121" s="1725">
        <f t="shared" ref="C121:H121" si="5">SUM(C117:C120)</f>
        <v>2026781</v>
      </c>
      <c r="D121" s="1725">
        <f t="shared" si="5"/>
        <v>0</v>
      </c>
      <c r="E121" s="1725">
        <f t="shared" si="5"/>
        <v>0</v>
      </c>
      <c r="F121" s="1725">
        <f t="shared" si="5"/>
        <v>122500</v>
      </c>
      <c r="G121" s="1725">
        <f t="shared" si="5"/>
        <v>0</v>
      </c>
      <c r="H121" s="1725">
        <f t="shared" si="5"/>
        <v>0</v>
      </c>
      <c r="I121" s="468"/>
      <c r="J121" s="1725">
        <f>SUM(J117:J120)</f>
        <v>0</v>
      </c>
      <c r="K121" s="1706">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232921</v>
      </c>
      <c r="D124" s="561"/>
      <c r="E124" s="468"/>
      <c r="F124" s="548"/>
      <c r="G124" s="468"/>
      <c r="H124" s="468"/>
      <c r="I124" s="468"/>
      <c r="J124" s="468"/>
      <c r="K124" s="468"/>
    </row>
    <row r="125" spans="1:11" ht="12.75" customHeight="1" x14ac:dyDescent="0.2">
      <c r="A125" s="463" t="s">
        <v>1520</v>
      </c>
      <c r="B125" s="562">
        <v>3105</v>
      </c>
      <c r="C125" s="466">
        <v>90072</v>
      </c>
      <c r="D125" s="561"/>
      <c r="E125" s="468"/>
      <c r="F125" s="466"/>
      <c r="G125" s="468"/>
      <c r="H125" s="468"/>
      <c r="I125" s="468"/>
      <c r="J125" s="468"/>
      <c r="K125" s="468"/>
    </row>
    <row r="126" spans="1:11" ht="12.75" customHeight="1" x14ac:dyDescent="0.2">
      <c r="A126" s="463" t="s">
        <v>921</v>
      </c>
      <c r="B126" s="562">
        <v>3110</v>
      </c>
      <c r="C126" s="551">
        <v>76466</v>
      </c>
      <c r="D126" s="466"/>
      <c r="E126" s="468"/>
      <c r="F126" s="466"/>
      <c r="G126" s="468"/>
      <c r="H126" s="468"/>
      <c r="I126" s="468"/>
      <c r="J126" s="468"/>
      <c r="K126" s="468"/>
    </row>
    <row r="127" spans="1:11" ht="12.75" customHeight="1" x14ac:dyDescent="0.2">
      <c r="A127" s="463" t="s">
        <v>107</v>
      </c>
      <c r="B127" s="562">
        <v>3120</v>
      </c>
      <c r="C127" s="466">
        <v>12640</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1104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1091</v>
      </c>
      <c r="B131" s="1738"/>
      <c r="C131" s="1725">
        <f>SUM(C124:C130)</f>
        <v>413203</v>
      </c>
      <c r="D131" s="1725">
        <f>SUM(D124:D130)</f>
        <v>0</v>
      </c>
      <c r="E131" s="469" t="s">
        <v>1230</v>
      </c>
      <c r="F131" s="1725">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4314</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623</v>
      </c>
      <c r="B140" s="1738"/>
      <c r="C140" s="1725">
        <f>SUM(C133:C139)</f>
        <v>4314</v>
      </c>
      <c r="D140" s="1725">
        <f>SUM(D133:D139)</f>
        <v>0</v>
      </c>
      <c r="E140" s="561" t="s">
        <v>1230</v>
      </c>
      <c r="F140" s="477"/>
      <c r="G140" s="1725">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26" t="s">
        <v>413</v>
      </c>
      <c r="B144" s="1738"/>
      <c r="C144" s="1706">
        <f>SUM(C142:C143)</f>
        <v>0</v>
      </c>
      <c r="D144" s="468"/>
      <c r="E144" s="509"/>
      <c r="F144" s="468"/>
      <c r="G144" s="1739">
        <f>SUM(G142:G143)</f>
        <v>0</v>
      </c>
      <c r="H144" s="468"/>
      <c r="I144" s="468"/>
      <c r="J144" s="468"/>
      <c r="K144" s="468"/>
    </row>
    <row r="145" spans="1:11" s="202" customFormat="1" ht="12.75" customHeight="1" thickTop="1" x14ac:dyDescent="0.2">
      <c r="A145" s="1520" t="s">
        <v>1115</v>
      </c>
      <c r="B145" s="568">
        <v>3360</v>
      </c>
      <c r="C145" s="569">
        <v>3898</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19598</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539801</v>
      </c>
      <c r="G151" s="467"/>
      <c r="H151" s="468"/>
      <c r="I151" s="468"/>
      <c r="J151" s="468"/>
      <c r="K151" s="468"/>
    </row>
    <row r="152" spans="1:11" ht="12.75" customHeight="1" x14ac:dyDescent="0.2">
      <c r="A152" s="463" t="s">
        <v>1116</v>
      </c>
      <c r="B152" s="562">
        <v>3510</v>
      </c>
      <c r="C152" s="551"/>
      <c r="D152" s="466"/>
      <c r="E152" s="561"/>
      <c r="F152" s="466">
        <v>344268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884069</v>
      </c>
      <c r="G154" s="1725">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110236</v>
      </c>
      <c r="D158" s="578"/>
      <c r="E158" s="561"/>
      <c r="F158" s="576">
        <v>92699</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1681</v>
      </c>
      <c r="D171" s="580"/>
      <c r="E171" s="580"/>
      <c r="F171" s="580"/>
      <c r="G171" s="581"/>
      <c r="H171" s="582"/>
      <c r="I171" s="581"/>
      <c r="J171" s="581"/>
      <c r="K171" s="582"/>
    </row>
    <row r="172" spans="1:11" ht="12.75" customHeight="1" thickTop="1" thickBot="1" x14ac:dyDescent="0.25">
      <c r="A172" s="2169" t="s">
        <v>417</v>
      </c>
      <c r="B172" s="2170"/>
      <c r="C172" s="1740">
        <f t="shared" ref="C172:K172" si="6">SUM(C131,C140,C144,C145:C149,C154,C155:C170,C171)</f>
        <v>552930</v>
      </c>
      <c r="D172" s="1740">
        <f t="shared" si="6"/>
        <v>0</v>
      </c>
      <c r="E172" s="1740">
        <f t="shared" si="6"/>
        <v>0</v>
      </c>
      <c r="F172" s="1740">
        <f t="shared" si="6"/>
        <v>976768</v>
      </c>
      <c r="G172" s="1740">
        <f t="shared" si="6"/>
        <v>0</v>
      </c>
      <c r="H172" s="1740">
        <f t="shared" si="6"/>
        <v>0</v>
      </c>
      <c r="I172" s="1740">
        <f t="shared" si="6"/>
        <v>0</v>
      </c>
      <c r="J172" s="1740">
        <f t="shared" si="6"/>
        <v>0</v>
      </c>
      <c r="K172" s="1721">
        <f t="shared" si="6"/>
        <v>0</v>
      </c>
    </row>
    <row r="173" spans="1:11" ht="12.75" customHeight="1" thickTop="1" thickBot="1" x14ac:dyDescent="0.25">
      <c r="A173" s="1726" t="s">
        <v>418</v>
      </c>
      <c r="B173" s="1732" t="s">
        <v>595</v>
      </c>
      <c r="C173" s="1733">
        <f>SUM(C121,C172)</f>
        <v>2579711</v>
      </c>
      <c r="D173" s="1733">
        <f>SUM(D121,D172)</f>
        <v>0</v>
      </c>
      <c r="E173" s="1733">
        <f>SUM(E121,E172)</f>
        <v>0</v>
      </c>
      <c r="F173" s="1733">
        <f t="shared" ref="F173:K173" si="7">SUM(F121,F172)</f>
        <v>1099268</v>
      </c>
      <c r="G173" s="1733">
        <f t="shared" si="7"/>
        <v>0</v>
      </c>
      <c r="H173" s="1733">
        <f t="shared" si="7"/>
        <v>0</v>
      </c>
      <c r="I173" s="1733">
        <f t="shared" si="7"/>
        <v>0</v>
      </c>
      <c r="J173" s="1733">
        <f t="shared" si="7"/>
        <v>0</v>
      </c>
      <c r="K173" s="1720">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1" t="s">
        <v>1571</v>
      </c>
      <c r="B175" s="2172"/>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5" t="s">
        <v>1763</v>
      </c>
      <c r="B178" s="2176"/>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79" t="s">
        <v>1762</v>
      </c>
      <c r="B179" s="2180"/>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7" t="s">
        <v>817</v>
      </c>
      <c r="B184" s="2178"/>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3" t="s">
        <v>1902</v>
      </c>
      <c r="B185" s="2174"/>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6" t="s">
        <v>1696</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214367</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66348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568</v>
      </c>
      <c r="B201" s="1727"/>
      <c r="C201" s="1706">
        <f>SUM(C193:C200)</f>
        <v>280715</v>
      </c>
      <c r="D201" s="468"/>
      <c r="E201" s="468"/>
      <c r="F201" s="468"/>
      <c r="G201" s="1706">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290621</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419</v>
      </c>
      <c r="B211" s="1727"/>
      <c r="C211" s="1725">
        <f>SUM(C203:C210)</f>
        <v>290621</v>
      </c>
      <c r="D211" s="1725">
        <f>SUM(D203:D210)</f>
        <v>0</v>
      </c>
      <c r="E211" s="468"/>
      <c r="F211" s="1725">
        <f>SUM(F203:F210)</f>
        <v>0</v>
      </c>
      <c r="G211" s="1725">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8994</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943</v>
      </c>
      <c r="B216" s="1727"/>
      <c r="C216" s="1725">
        <f>SUM(C213:C215)</f>
        <v>8994</v>
      </c>
      <c r="D216" s="1725">
        <f>SUM(D213:D215)</f>
        <v>0</v>
      </c>
      <c r="E216" s="468" t="s">
        <v>1230</v>
      </c>
      <c r="F216" s="1725">
        <f>SUM(F213:F215)</f>
        <v>0</v>
      </c>
      <c r="G216" s="1725">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26087</v>
      </c>
      <c r="D220" s="466"/>
      <c r="E220" s="468"/>
      <c r="F220" s="466"/>
      <c r="G220" s="466"/>
      <c r="H220" s="468"/>
      <c r="I220" s="468"/>
      <c r="J220" s="468"/>
      <c r="K220" s="468"/>
    </row>
    <row r="221" spans="1:11" ht="12.75" customHeight="1" x14ac:dyDescent="0.2">
      <c r="A221" s="463" t="s">
        <v>1113</v>
      </c>
      <c r="B221" s="470">
        <v>4625</v>
      </c>
      <c r="C221" s="551">
        <v>439209</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6" t="s">
        <v>466</v>
      </c>
      <c r="B224" s="1727"/>
      <c r="C224" s="1725">
        <f>SUM(C218:C223)</f>
        <v>465296</v>
      </c>
      <c r="D224" s="1725">
        <f>SUM(D218:D223)</f>
        <v>0</v>
      </c>
      <c r="E224" s="468"/>
      <c r="F224" s="1725">
        <f>SUM(F218:F223)</f>
        <v>0</v>
      </c>
      <c r="G224" s="1725">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90337</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1144</v>
      </c>
      <c r="B228" s="1742"/>
      <c r="C228" s="1725">
        <f>SUM(C226:C227)</f>
        <v>90337</v>
      </c>
      <c r="D228" s="1725">
        <f>SUM(D226:D227)</f>
        <v>0</v>
      </c>
      <c r="E228" s="468"/>
      <c r="F228" s="468"/>
      <c r="G228" s="1725">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3" t="s">
        <v>797</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52094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17423</v>
      </c>
      <c r="D270" s="576"/>
      <c r="E270" s="468"/>
      <c r="F270" s="576"/>
      <c r="G270" s="576"/>
      <c r="H270" s="468"/>
      <c r="I270" s="468"/>
      <c r="J270" s="468"/>
      <c r="K270" s="468"/>
    </row>
    <row r="271" spans="1:11" ht="12.75" customHeight="1" thickTop="1" thickBot="1" x14ac:dyDescent="0.25">
      <c r="A271" s="463" t="s">
        <v>394</v>
      </c>
      <c r="B271" s="470">
        <v>4992</v>
      </c>
      <c r="C271" s="575">
        <v>20820</v>
      </c>
      <c r="D271" s="576"/>
      <c r="E271" s="468"/>
      <c r="F271" s="576"/>
      <c r="G271" s="576"/>
      <c r="H271" s="468"/>
      <c r="I271" s="468"/>
      <c r="J271" s="468"/>
      <c r="K271" s="468"/>
    </row>
    <row r="272" spans="1:11" s="594" customFormat="1" ht="12.75" customHeight="1" thickTop="1" thickBot="1" x14ac:dyDescent="0.25">
      <c r="A272" s="563" t="s">
        <v>77</v>
      </c>
      <c r="B272" s="557">
        <v>4999</v>
      </c>
      <c r="C272" s="575">
        <v>4950</v>
      </c>
      <c r="D272" s="576"/>
      <c r="E272" s="468"/>
      <c r="F272" s="576"/>
      <c r="G272" s="576"/>
      <c r="H272" s="530"/>
      <c r="I272" s="468"/>
      <c r="J272" s="468"/>
      <c r="K272" s="530"/>
    </row>
    <row r="273" spans="1:11" ht="14.25" thickTop="1" thickBot="1" x14ac:dyDescent="0.25">
      <c r="A273" s="1726" t="s">
        <v>1764</v>
      </c>
      <c r="B273" s="1745"/>
      <c r="C273" s="1733">
        <f t="shared" ref="C273:H273" si="10">SUM(C191,C201,C211,C216,C224,C228,C229,C259:C272)</f>
        <v>1231250</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1146</v>
      </c>
      <c r="B274" s="1747" t="s">
        <v>914</v>
      </c>
      <c r="C274" s="1733">
        <f>SUM(C178,C184,C273)</f>
        <v>1231250</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9091719</v>
      </c>
      <c r="D275" s="1733">
        <f t="shared" si="12"/>
        <v>1053139</v>
      </c>
      <c r="E275" s="1733">
        <f t="shared" si="12"/>
        <v>742411</v>
      </c>
      <c r="F275" s="1733">
        <f t="shared" si="12"/>
        <v>1525897</v>
      </c>
      <c r="G275" s="1733">
        <f t="shared" si="12"/>
        <v>631709</v>
      </c>
      <c r="H275" s="1733">
        <f t="shared" si="12"/>
        <v>0</v>
      </c>
      <c r="I275" s="1733">
        <f t="shared" si="12"/>
        <v>100361</v>
      </c>
      <c r="J275" s="1733">
        <f t="shared" si="12"/>
        <v>1209570</v>
      </c>
      <c r="K275" s="1720">
        <f t="shared" si="12"/>
        <v>99484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5" firstPageNumber="9"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8" activePane="bottomLeft" state="frozen"/>
      <selection activeCell="A43" sqref="A43"/>
      <selection pane="bottomLeft" activeCell="A43" sqref="A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7" t="s">
        <v>314</v>
      </c>
      <c r="B3" s="2188"/>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3003301</v>
      </c>
      <c r="D5" s="466">
        <v>426998</v>
      </c>
      <c r="E5" s="466">
        <v>66278</v>
      </c>
      <c r="F5" s="466">
        <v>59206</v>
      </c>
      <c r="G5" s="466"/>
      <c r="H5" s="466">
        <v>13748</v>
      </c>
      <c r="I5" s="467"/>
      <c r="J5" s="467"/>
      <c r="K5" s="1689">
        <f>SUM(C5:J5)</f>
        <v>3569531</v>
      </c>
      <c r="L5" s="466">
        <v>3700314</v>
      </c>
    </row>
    <row r="6" spans="1:14" x14ac:dyDescent="0.2">
      <c r="A6" s="1526" t="s">
        <v>1507</v>
      </c>
      <c r="B6" s="615" t="s">
        <v>1505</v>
      </c>
      <c r="C6" s="477"/>
      <c r="D6" s="477"/>
      <c r="E6" s="466"/>
      <c r="F6" s="477"/>
      <c r="G6" s="477"/>
      <c r="H6" s="477"/>
      <c r="I6" s="477"/>
      <c r="J6" s="477"/>
      <c r="K6" s="1689">
        <f>SUM(C6,E6)</f>
        <v>0</v>
      </c>
      <c r="L6" s="466"/>
    </row>
    <row r="7" spans="1:14" x14ac:dyDescent="0.2">
      <c r="A7" s="1526" t="s">
        <v>165</v>
      </c>
      <c r="B7" s="615" t="s">
        <v>1023</v>
      </c>
      <c r="C7" s="467">
        <v>70134</v>
      </c>
      <c r="D7" s="467">
        <v>14897</v>
      </c>
      <c r="E7" s="467">
        <v>878</v>
      </c>
      <c r="F7" s="467">
        <v>3523</v>
      </c>
      <c r="G7" s="467"/>
      <c r="H7" s="467"/>
      <c r="I7" s="467"/>
      <c r="J7" s="467"/>
      <c r="K7" s="1689">
        <f t="shared" ref="K7:K32" si="0">SUM(C7:J7)</f>
        <v>89432</v>
      </c>
      <c r="L7" s="466">
        <v>96296</v>
      </c>
    </row>
    <row r="8" spans="1:14" x14ac:dyDescent="0.2">
      <c r="A8" s="1526" t="s">
        <v>166</v>
      </c>
      <c r="B8" s="615">
        <v>1200</v>
      </c>
      <c r="C8" s="466">
        <v>686478</v>
      </c>
      <c r="D8" s="466">
        <v>57811</v>
      </c>
      <c r="E8" s="466">
        <v>4272</v>
      </c>
      <c r="F8" s="466">
        <v>410</v>
      </c>
      <c r="G8" s="466"/>
      <c r="H8" s="466"/>
      <c r="I8" s="467"/>
      <c r="J8" s="467"/>
      <c r="K8" s="1689">
        <f t="shared" si="0"/>
        <v>748971</v>
      </c>
      <c r="L8" s="466">
        <v>785426</v>
      </c>
    </row>
    <row r="9" spans="1:14" x14ac:dyDescent="0.2">
      <c r="A9" s="1526" t="s">
        <v>744</v>
      </c>
      <c r="B9" s="615" t="s">
        <v>1024</v>
      </c>
      <c r="C9" s="467"/>
      <c r="D9" s="467"/>
      <c r="E9" s="467"/>
      <c r="F9" s="467"/>
      <c r="G9" s="467"/>
      <c r="H9" s="467"/>
      <c r="I9" s="467"/>
      <c r="J9" s="467"/>
      <c r="K9" s="1689">
        <f t="shared" si="0"/>
        <v>0</v>
      </c>
      <c r="L9" s="466"/>
    </row>
    <row r="10" spans="1:14" x14ac:dyDescent="0.2">
      <c r="A10" s="1526" t="s">
        <v>745</v>
      </c>
      <c r="B10" s="615">
        <v>1250</v>
      </c>
      <c r="C10" s="466">
        <v>97942</v>
      </c>
      <c r="D10" s="466">
        <v>8544</v>
      </c>
      <c r="E10" s="466">
        <v>6163</v>
      </c>
      <c r="F10" s="466">
        <v>90453</v>
      </c>
      <c r="G10" s="466">
        <v>2573</v>
      </c>
      <c r="H10" s="466"/>
      <c r="I10" s="467">
        <v>3431</v>
      </c>
      <c r="J10" s="467"/>
      <c r="K10" s="1689">
        <f t="shared" si="0"/>
        <v>209106</v>
      </c>
      <c r="L10" s="466">
        <v>220591</v>
      </c>
    </row>
    <row r="11" spans="1:14" x14ac:dyDescent="0.2">
      <c r="A11" s="1526" t="s">
        <v>1191</v>
      </c>
      <c r="B11" s="615" t="s">
        <v>163</v>
      </c>
      <c r="C11" s="467"/>
      <c r="D11" s="467"/>
      <c r="E11" s="467"/>
      <c r="F11" s="467"/>
      <c r="G11" s="467"/>
      <c r="H11" s="467"/>
      <c r="I11" s="467"/>
      <c r="J11" s="467"/>
      <c r="K11" s="1689">
        <f t="shared" si="0"/>
        <v>0</v>
      </c>
      <c r="L11" s="466"/>
    </row>
    <row r="12" spans="1:14" x14ac:dyDescent="0.2">
      <c r="A12" s="1526" t="s">
        <v>1018</v>
      </c>
      <c r="B12" s="615">
        <v>1300</v>
      </c>
      <c r="C12" s="466"/>
      <c r="D12" s="466"/>
      <c r="E12" s="466"/>
      <c r="F12" s="466"/>
      <c r="G12" s="466"/>
      <c r="H12" s="466"/>
      <c r="I12" s="467"/>
      <c r="J12" s="467"/>
      <c r="K12" s="1689">
        <f t="shared" si="0"/>
        <v>0</v>
      </c>
      <c r="L12" s="466"/>
    </row>
    <row r="13" spans="1:14" x14ac:dyDescent="0.2">
      <c r="A13" s="1526" t="s">
        <v>746</v>
      </c>
      <c r="B13" s="615">
        <v>1400</v>
      </c>
      <c r="C13" s="466">
        <v>304847</v>
      </c>
      <c r="D13" s="466">
        <v>33982</v>
      </c>
      <c r="E13" s="466">
        <v>18950</v>
      </c>
      <c r="F13" s="466">
        <v>39703</v>
      </c>
      <c r="G13" s="466"/>
      <c r="H13" s="466"/>
      <c r="I13" s="467">
        <v>9825</v>
      </c>
      <c r="J13" s="467"/>
      <c r="K13" s="1689">
        <f t="shared" si="0"/>
        <v>407307</v>
      </c>
      <c r="L13" s="466">
        <v>347044</v>
      </c>
    </row>
    <row r="14" spans="1:14" x14ac:dyDescent="0.2">
      <c r="A14" s="1526" t="s">
        <v>1019</v>
      </c>
      <c r="B14" s="615">
        <v>1500</v>
      </c>
      <c r="C14" s="466">
        <v>168806</v>
      </c>
      <c r="D14" s="466">
        <v>1921</v>
      </c>
      <c r="E14" s="466">
        <v>46302</v>
      </c>
      <c r="F14" s="466">
        <v>30063</v>
      </c>
      <c r="G14" s="466"/>
      <c r="H14" s="466">
        <v>6941</v>
      </c>
      <c r="I14" s="467">
        <v>87</v>
      </c>
      <c r="J14" s="467"/>
      <c r="K14" s="1689">
        <f t="shared" si="0"/>
        <v>254120</v>
      </c>
      <c r="L14" s="466">
        <v>225651</v>
      </c>
    </row>
    <row r="15" spans="1:14" x14ac:dyDescent="0.2">
      <c r="A15" s="1526" t="s">
        <v>1020</v>
      </c>
      <c r="B15" s="615">
        <v>1600</v>
      </c>
      <c r="C15" s="466">
        <v>2451</v>
      </c>
      <c r="D15" s="466">
        <v>35</v>
      </c>
      <c r="E15" s="466"/>
      <c r="F15" s="466"/>
      <c r="G15" s="466"/>
      <c r="H15" s="466"/>
      <c r="I15" s="467"/>
      <c r="J15" s="467"/>
      <c r="K15" s="1689">
        <f t="shared" si="0"/>
        <v>2486</v>
      </c>
      <c r="L15" s="466">
        <v>3652</v>
      </c>
    </row>
    <row r="16" spans="1:14" x14ac:dyDescent="0.2">
      <c r="A16" s="1526" t="s">
        <v>1043</v>
      </c>
      <c r="B16" s="615" t="s">
        <v>443</v>
      </c>
      <c r="C16" s="466"/>
      <c r="D16" s="466"/>
      <c r="E16" s="466"/>
      <c r="F16" s="466"/>
      <c r="G16" s="466"/>
      <c r="H16" s="466"/>
      <c r="I16" s="467"/>
      <c r="J16" s="467"/>
      <c r="K16" s="1689">
        <f t="shared" si="0"/>
        <v>0</v>
      </c>
      <c r="L16" s="466"/>
    </row>
    <row r="17" spans="1:12" x14ac:dyDescent="0.2">
      <c r="A17" s="1526" t="s">
        <v>747</v>
      </c>
      <c r="B17" s="615" t="s">
        <v>164</v>
      </c>
      <c r="C17" s="467">
        <v>34452</v>
      </c>
      <c r="D17" s="467">
        <v>1062</v>
      </c>
      <c r="E17" s="467">
        <v>6320</v>
      </c>
      <c r="F17" s="467">
        <v>942</v>
      </c>
      <c r="G17" s="467"/>
      <c r="H17" s="467"/>
      <c r="I17" s="467"/>
      <c r="J17" s="467"/>
      <c r="K17" s="1689">
        <f t="shared" si="0"/>
        <v>42776</v>
      </c>
      <c r="L17" s="466">
        <v>60709</v>
      </c>
    </row>
    <row r="18" spans="1:12" x14ac:dyDescent="0.2">
      <c r="A18" s="1526" t="s">
        <v>1147</v>
      </c>
      <c r="B18" s="615">
        <v>1800</v>
      </c>
      <c r="C18" s="466"/>
      <c r="D18" s="466"/>
      <c r="E18" s="466"/>
      <c r="F18" s="466"/>
      <c r="G18" s="466"/>
      <c r="H18" s="466"/>
      <c r="I18" s="467"/>
      <c r="J18" s="467"/>
      <c r="K18" s="1689">
        <f t="shared" si="0"/>
        <v>0</v>
      </c>
      <c r="L18" s="466"/>
    </row>
    <row r="19" spans="1:12" x14ac:dyDescent="0.2">
      <c r="A19" s="1526" t="s">
        <v>136</v>
      </c>
      <c r="B19" s="615">
        <v>1900</v>
      </c>
      <c r="C19" s="466"/>
      <c r="D19" s="466"/>
      <c r="E19" s="466"/>
      <c r="F19" s="466"/>
      <c r="G19" s="466"/>
      <c r="H19" s="466"/>
      <c r="I19" s="467"/>
      <c r="J19" s="467"/>
      <c r="K19" s="1689">
        <f t="shared" si="0"/>
        <v>0</v>
      </c>
      <c r="L19" s="466"/>
    </row>
    <row r="20" spans="1:12" x14ac:dyDescent="0.2">
      <c r="A20" s="1527" t="s">
        <v>761</v>
      </c>
      <c r="B20" s="603" t="s">
        <v>748</v>
      </c>
      <c r="C20" s="477"/>
      <c r="D20" s="477"/>
      <c r="E20" s="477"/>
      <c r="F20" s="477"/>
      <c r="G20" s="477"/>
      <c r="H20" s="474"/>
      <c r="I20" s="617"/>
      <c r="J20" s="475"/>
      <c r="K20" s="1689">
        <f t="shared" si="0"/>
        <v>0</v>
      </c>
      <c r="L20" s="471"/>
    </row>
    <row r="21" spans="1:12" x14ac:dyDescent="0.2">
      <c r="A21" s="1527" t="s">
        <v>762</v>
      </c>
      <c r="B21" s="603" t="s">
        <v>749</v>
      </c>
      <c r="C21" s="477"/>
      <c r="D21" s="477"/>
      <c r="E21" s="477"/>
      <c r="F21" s="477"/>
      <c r="G21" s="477"/>
      <c r="H21" s="474"/>
      <c r="I21" s="617"/>
      <c r="J21" s="477"/>
      <c r="K21" s="1689">
        <f t="shared" si="0"/>
        <v>0</v>
      </c>
      <c r="L21" s="471"/>
    </row>
    <row r="22" spans="1:12" x14ac:dyDescent="0.2">
      <c r="A22" s="1527" t="s">
        <v>763</v>
      </c>
      <c r="B22" s="603" t="s">
        <v>750</v>
      </c>
      <c r="C22" s="477"/>
      <c r="D22" s="477"/>
      <c r="E22" s="477"/>
      <c r="F22" s="477"/>
      <c r="G22" s="477"/>
      <c r="H22" s="474">
        <v>672450</v>
      </c>
      <c r="I22" s="617"/>
      <c r="J22" s="477"/>
      <c r="K22" s="1689">
        <f t="shared" si="0"/>
        <v>672450</v>
      </c>
      <c r="L22" s="471">
        <v>850000</v>
      </c>
    </row>
    <row r="23" spans="1:12" x14ac:dyDescent="0.2">
      <c r="A23" s="1527" t="s">
        <v>764</v>
      </c>
      <c r="B23" s="603" t="s">
        <v>751</v>
      </c>
      <c r="C23" s="477"/>
      <c r="D23" s="477"/>
      <c r="E23" s="477"/>
      <c r="F23" s="477"/>
      <c r="G23" s="477"/>
      <c r="H23" s="474"/>
      <c r="I23" s="617"/>
      <c r="J23" s="477"/>
      <c r="K23" s="1689">
        <f t="shared" si="0"/>
        <v>0</v>
      </c>
      <c r="L23" s="471"/>
    </row>
    <row r="24" spans="1:12" ht="12.75" customHeight="1" x14ac:dyDescent="0.2">
      <c r="A24" s="1527" t="s">
        <v>765</v>
      </c>
      <c r="B24" s="603" t="s">
        <v>752</v>
      </c>
      <c r="C24" s="477"/>
      <c r="D24" s="477"/>
      <c r="E24" s="477"/>
      <c r="F24" s="477"/>
      <c r="G24" s="477"/>
      <c r="H24" s="474"/>
      <c r="I24" s="617"/>
      <c r="J24" s="477"/>
      <c r="K24" s="1689">
        <f t="shared" si="0"/>
        <v>0</v>
      </c>
      <c r="L24" s="471"/>
    </row>
    <row r="25" spans="1:12" ht="12.75" customHeight="1" x14ac:dyDescent="0.2">
      <c r="A25" s="1527" t="s">
        <v>834</v>
      </c>
      <c r="B25" s="603" t="s">
        <v>753</v>
      </c>
      <c r="C25" s="477"/>
      <c r="D25" s="477"/>
      <c r="E25" s="477"/>
      <c r="F25" s="477"/>
      <c r="G25" s="477"/>
      <c r="H25" s="474"/>
      <c r="I25" s="617"/>
      <c r="J25" s="477"/>
      <c r="K25" s="1689">
        <f t="shared" si="0"/>
        <v>0</v>
      </c>
      <c r="L25" s="471"/>
    </row>
    <row r="26" spans="1:12" x14ac:dyDescent="0.2">
      <c r="A26" s="1527" t="s">
        <v>642</v>
      </c>
      <c r="B26" s="603" t="s">
        <v>754</v>
      </c>
      <c r="C26" s="477"/>
      <c r="D26" s="477"/>
      <c r="E26" s="477"/>
      <c r="F26" s="477"/>
      <c r="G26" s="477"/>
      <c r="H26" s="474"/>
      <c r="I26" s="617"/>
      <c r="J26" s="477"/>
      <c r="K26" s="1689">
        <f t="shared" si="0"/>
        <v>0</v>
      </c>
      <c r="L26" s="471"/>
    </row>
    <row r="27" spans="1:12" x14ac:dyDescent="0.2">
      <c r="A27" s="1527" t="s">
        <v>643</v>
      </c>
      <c r="B27" s="603" t="s">
        <v>755</v>
      </c>
      <c r="C27" s="477"/>
      <c r="D27" s="477"/>
      <c r="E27" s="477"/>
      <c r="F27" s="477"/>
      <c r="G27" s="477"/>
      <c r="H27" s="474"/>
      <c r="I27" s="617"/>
      <c r="J27" s="477"/>
      <c r="K27" s="1689">
        <f t="shared" si="0"/>
        <v>0</v>
      </c>
      <c r="L27" s="471"/>
    </row>
    <row r="28" spans="1:12" x14ac:dyDescent="0.2">
      <c r="A28" s="1527" t="s">
        <v>152</v>
      </c>
      <c r="B28" s="603" t="s">
        <v>756</v>
      </c>
      <c r="C28" s="477"/>
      <c r="D28" s="477"/>
      <c r="E28" s="477"/>
      <c r="F28" s="477"/>
      <c r="G28" s="477"/>
      <c r="H28" s="474"/>
      <c r="I28" s="617"/>
      <c r="J28" s="477"/>
      <c r="K28" s="1689">
        <f t="shared" si="0"/>
        <v>0</v>
      </c>
      <c r="L28" s="471"/>
    </row>
    <row r="29" spans="1:12" x14ac:dyDescent="0.2">
      <c r="A29" s="1527" t="s">
        <v>153</v>
      </c>
      <c r="B29" s="603" t="s">
        <v>757</v>
      </c>
      <c r="C29" s="477"/>
      <c r="D29" s="477"/>
      <c r="E29" s="477"/>
      <c r="F29" s="477"/>
      <c r="G29" s="477"/>
      <c r="H29" s="474"/>
      <c r="I29" s="617"/>
      <c r="J29" s="477"/>
      <c r="K29" s="1689">
        <f t="shared" si="0"/>
        <v>0</v>
      </c>
      <c r="L29" s="471"/>
    </row>
    <row r="30" spans="1:12" x14ac:dyDescent="0.2">
      <c r="A30" s="1527" t="s">
        <v>154</v>
      </c>
      <c r="B30" s="603" t="s">
        <v>758</v>
      </c>
      <c r="C30" s="477"/>
      <c r="D30" s="477"/>
      <c r="E30" s="477"/>
      <c r="F30" s="477"/>
      <c r="G30" s="477"/>
      <c r="H30" s="474"/>
      <c r="I30" s="617"/>
      <c r="J30" s="477"/>
      <c r="K30" s="1689">
        <f t="shared" si="0"/>
        <v>0</v>
      </c>
      <c r="L30" s="471"/>
    </row>
    <row r="31" spans="1:12" x14ac:dyDescent="0.2">
      <c r="A31" s="1527" t="s">
        <v>155</v>
      </c>
      <c r="B31" s="603" t="s">
        <v>759</v>
      </c>
      <c r="C31" s="477"/>
      <c r="D31" s="477"/>
      <c r="E31" s="477"/>
      <c r="F31" s="477"/>
      <c r="G31" s="477"/>
      <c r="H31" s="474"/>
      <c r="I31" s="617"/>
      <c r="J31" s="477"/>
      <c r="K31" s="1689">
        <f t="shared" si="0"/>
        <v>0</v>
      </c>
      <c r="L31" s="471"/>
    </row>
    <row r="32" spans="1:12" x14ac:dyDescent="0.2">
      <c r="A32" s="1528" t="s">
        <v>1190</v>
      </c>
      <c r="B32" s="615" t="s">
        <v>760</v>
      </c>
      <c r="C32" s="477"/>
      <c r="D32" s="477"/>
      <c r="E32" s="477"/>
      <c r="F32" s="477"/>
      <c r="G32" s="477"/>
      <c r="H32" s="474"/>
      <c r="I32" s="617"/>
      <c r="J32" s="480"/>
      <c r="K32" s="1689">
        <f t="shared" si="0"/>
        <v>0</v>
      </c>
      <c r="L32" s="471"/>
    </row>
    <row r="33" spans="1:14" ht="12.75" customHeight="1" thickBot="1" x14ac:dyDescent="0.25">
      <c r="A33" s="1686" t="s">
        <v>1766</v>
      </c>
      <c r="B33" s="1687" t="s">
        <v>590</v>
      </c>
      <c r="C33" s="1688">
        <f>SUM(C5:C32)</f>
        <v>4368411</v>
      </c>
      <c r="D33" s="1688">
        <f t="shared" ref="D33:L33" si="1">SUM(D5:D32)</f>
        <v>545250</v>
      </c>
      <c r="E33" s="1688">
        <f t="shared" si="1"/>
        <v>149163</v>
      </c>
      <c r="F33" s="1688">
        <f t="shared" si="1"/>
        <v>224300</v>
      </c>
      <c r="G33" s="1688">
        <f t="shared" si="1"/>
        <v>2573</v>
      </c>
      <c r="H33" s="1688">
        <f t="shared" si="1"/>
        <v>693139</v>
      </c>
      <c r="I33" s="1688">
        <f t="shared" si="1"/>
        <v>13343</v>
      </c>
      <c r="J33" s="1688">
        <f t="shared" si="1"/>
        <v>0</v>
      </c>
      <c r="K33" s="1688">
        <f t="shared" si="1"/>
        <v>5996179</v>
      </c>
      <c r="L33" s="1688">
        <f t="shared" si="1"/>
        <v>6289683</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35765</v>
      </c>
      <c r="D36" s="481">
        <v>2170</v>
      </c>
      <c r="E36" s="481">
        <v>34512</v>
      </c>
      <c r="F36" s="481"/>
      <c r="G36" s="481"/>
      <c r="H36" s="481"/>
      <c r="I36" s="467"/>
      <c r="J36" s="467"/>
      <c r="K36" s="1689">
        <f t="shared" ref="K36:K41" si="2">SUM(C36:J36)</f>
        <v>72447</v>
      </c>
      <c r="L36" s="466">
        <v>50552</v>
      </c>
    </row>
    <row r="37" spans="1:14" x14ac:dyDescent="0.2">
      <c r="A37" s="1526" t="s">
        <v>1150</v>
      </c>
      <c r="B37" s="615">
        <v>2120</v>
      </c>
      <c r="C37" s="466">
        <v>73228</v>
      </c>
      <c r="D37" s="466">
        <v>8617</v>
      </c>
      <c r="E37" s="466">
        <v>267</v>
      </c>
      <c r="F37" s="466">
        <v>211</v>
      </c>
      <c r="G37" s="466"/>
      <c r="H37" s="466"/>
      <c r="I37" s="467"/>
      <c r="J37" s="467"/>
      <c r="K37" s="1689">
        <f t="shared" si="2"/>
        <v>82323</v>
      </c>
      <c r="L37" s="466">
        <v>91827</v>
      </c>
    </row>
    <row r="38" spans="1:14" x14ac:dyDescent="0.2">
      <c r="A38" s="1526" t="s">
        <v>207</v>
      </c>
      <c r="B38" s="615">
        <v>2130</v>
      </c>
      <c r="C38" s="466">
        <v>180</v>
      </c>
      <c r="D38" s="466">
        <v>14806</v>
      </c>
      <c r="E38" s="466">
        <v>775</v>
      </c>
      <c r="F38" s="466">
        <v>4201</v>
      </c>
      <c r="G38" s="466"/>
      <c r="H38" s="466">
        <v>518</v>
      </c>
      <c r="I38" s="467"/>
      <c r="J38" s="467"/>
      <c r="K38" s="1689">
        <f t="shared" si="2"/>
        <v>20480</v>
      </c>
      <c r="L38" s="466">
        <v>20677</v>
      </c>
    </row>
    <row r="39" spans="1:14" x14ac:dyDescent="0.2">
      <c r="A39" s="1526" t="s">
        <v>208</v>
      </c>
      <c r="B39" s="615">
        <v>2140</v>
      </c>
      <c r="C39" s="466">
        <v>7494</v>
      </c>
      <c r="D39" s="466"/>
      <c r="E39" s="466"/>
      <c r="F39" s="466"/>
      <c r="G39" s="466"/>
      <c r="H39" s="466"/>
      <c r="I39" s="467"/>
      <c r="J39" s="467"/>
      <c r="K39" s="1689">
        <f t="shared" si="2"/>
        <v>7494</v>
      </c>
      <c r="L39" s="466">
        <v>8400</v>
      </c>
    </row>
    <row r="40" spans="1:14" x14ac:dyDescent="0.2">
      <c r="A40" s="1526" t="s">
        <v>209</v>
      </c>
      <c r="B40" s="615">
        <v>2150</v>
      </c>
      <c r="C40" s="466">
        <v>134930</v>
      </c>
      <c r="D40" s="466">
        <v>15882</v>
      </c>
      <c r="E40" s="466">
        <v>8425</v>
      </c>
      <c r="F40" s="466">
        <v>5084</v>
      </c>
      <c r="G40" s="466"/>
      <c r="H40" s="466"/>
      <c r="I40" s="467"/>
      <c r="J40" s="467"/>
      <c r="K40" s="1689">
        <f t="shared" si="2"/>
        <v>164321</v>
      </c>
      <c r="L40" s="466">
        <v>182307</v>
      </c>
    </row>
    <row r="41" spans="1:14" x14ac:dyDescent="0.2">
      <c r="A41" s="1526" t="s">
        <v>1767</v>
      </c>
      <c r="B41" s="615">
        <v>2190</v>
      </c>
      <c r="C41" s="466"/>
      <c r="D41" s="466">
        <v>19</v>
      </c>
      <c r="E41" s="466"/>
      <c r="F41" s="466"/>
      <c r="G41" s="466"/>
      <c r="H41" s="466"/>
      <c r="I41" s="467"/>
      <c r="J41" s="467"/>
      <c r="K41" s="1689">
        <f t="shared" si="2"/>
        <v>19</v>
      </c>
      <c r="L41" s="466">
        <v>20</v>
      </c>
    </row>
    <row r="42" spans="1:14" ht="12.75" customHeight="1" thickBot="1" x14ac:dyDescent="0.25">
      <c r="A42" s="1686" t="s">
        <v>580</v>
      </c>
      <c r="B42" s="1687" t="s">
        <v>739</v>
      </c>
      <c r="C42" s="1688">
        <f>SUM(C36:C41)</f>
        <v>251597</v>
      </c>
      <c r="D42" s="1688">
        <f t="shared" ref="D42:L42" si="3">SUM(D36:D41)</f>
        <v>41494</v>
      </c>
      <c r="E42" s="1688">
        <f t="shared" si="3"/>
        <v>43979</v>
      </c>
      <c r="F42" s="1688">
        <f t="shared" si="3"/>
        <v>9496</v>
      </c>
      <c r="G42" s="1688">
        <f t="shared" si="3"/>
        <v>0</v>
      </c>
      <c r="H42" s="1688">
        <f t="shared" si="3"/>
        <v>518</v>
      </c>
      <c r="I42" s="1688">
        <f t="shared" si="3"/>
        <v>0</v>
      </c>
      <c r="J42" s="1688">
        <f t="shared" si="3"/>
        <v>0</v>
      </c>
      <c r="K42" s="1688">
        <f t="shared" si="3"/>
        <v>347084</v>
      </c>
      <c r="L42" s="1688">
        <f t="shared" si="3"/>
        <v>353783</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14118</v>
      </c>
      <c r="D44" s="481">
        <v>1186</v>
      </c>
      <c r="E44" s="481">
        <v>34658</v>
      </c>
      <c r="F44" s="481"/>
      <c r="G44" s="481"/>
      <c r="H44" s="481"/>
      <c r="I44" s="467"/>
      <c r="J44" s="467"/>
      <c r="K44" s="1690">
        <f>SUM(C44:J44)</f>
        <v>49962</v>
      </c>
      <c r="L44" s="481">
        <v>194041</v>
      </c>
    </row>
    <row r="45" spans="1:14" x14ac:dyDescent="0.2">
      <c r="A45" s="1526" t="s">
        <v>868</v>
      </c>
      <c r="B45" s="615">
        <v>2220</v>
      </c>
      <c r="C45" s="466">
        <v>179236</v>
      </c>
      <c r="D45" s="466">
        <v>22523</v>
      </c>
      <c r="E45" s="466">
        <v>135652</v>
      </c>
      <c r="F45" s="466">
        <v>7595</v>
      </c>
      <c r="G45" s="466">
        <v>87000</v>
      </c>
      <c r="H45" s="466">
        <v>2444</v>
      </c>
      <c r="I45" s="467"/>
      <c r="J45" s="467"/>
      <c r="K45" s="1690">
        <f>SUM(C45:J45)</f>
        <v>434450</v>
      </c>
      <c r="L45" s="466">
        <v>361754</v>
      </c>
    </row>
    <row r="46" spans="1:14" x14ac:dyDescent="0.2">
      <c r="A46" s="1526" t="s">
        <v>869</v>
      </c>
      <c r="B46" s="615">
        <v>2230</v>
      </c>
      <c r="C46" s="466"/>
      <c r="D46" s="466"/>
      <c r="E46" s="466">
        <v>8876</v>
      </c>
      <c r="F46" s="466"/>
      <c r="G46" s="466"/>
      <c r="H46" s="466"/>
      <c r="I46" s="467"/>
      <c r="J46" s="467"/>
      <c r="K46" s="1690">
        <f>SUM(C46:J46)</f>
        <v>8876</v>
      </c>
      <c r="L46" s="466">
        <v>5000</v>
      </c>
    </row>
    <row r="47" spans="1:14" ht="12.75" customHeight="1" thickBot="1" x14ac:dyDescent="0.25">
      <c r="A47" s="1686" t="s">
        <v>581</v>
      </c>
      <c r="B47" s="1687" t="s">
        <v>32</v>
      </c>
      <c r="C47" s="1688">
        <f>SUM(C44:C46)</f>
        <v>193354</v>
      </c>
      <c r="D47" s="1688">
        <f t="shared" ref="D47:K47" si="4">SUM(D44:D46)</f>
        <v>23709</v>
      </c>
      <c r="E47" s="1688">
        <f t="shared" si="4"/>
        <v>179186</v>
      </c>
      <c r="F47" s="1688">
        <f t="shared" si="4"/>
        <v>7595</v>
      </c>
      <c r="G47" s="1688">
        <f t="shared" si="4"/>
        <v>87000</v>
      </c>
      <c r="H47" s="1688">
        <f t="shared" si="4"/>
        <v>2444</v>
      </c>
      <c r="I47" s="1688">
        <f t="shared" si="4"/>
        <v>0</v>
      </c>
      <c r="J47" s="1688">
        <f t="shared" si="4"/>
        <v>0</v>
      </c>
      <c r="K47" s="1688">
        <f t="shared" si="4"/>
        <v>493288</v>
      </c>
      <c r="L47" s="1688">
        <f>SUM(L44:L46)</f>
        <v>560795</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22343</v>
      </c>
      <c r="F49" s="481">
        <v>5061</v>
      </c>
      <c r="G49" s="481"/>
      <c r="H49" s="481">
        <v>5568</v>
      </c>
      <c r="I49" s="467"/>
      <c r="J49" s="467"/>
      <c r="K49" s="1690">
        <f>SUM(C49:J49)</f>
        <v>32972</v>
      </c>
      <c r="L49" s="481">
        <v>30400</v>
      </c>
    </row>
    <row r="50" spans="1:14" x14ac:dyDescent="0.2">
      <c r="A50" s="1526" t="s">
        <v>871</v>
      </c>
      <c r="B50" s="615">
        <v>2320</v>
      </c>
      <c r="C50" s="466">
        <v>122866</v>
      </c>
      <c r="D50" s="466">
        <v>23094</v>
      </c>
      <c r="E50" s="466">
        <v>9584</v>
      </c>
      <c r="F50" s="466">
        <v>52056</v>
      </c>
      <c r="G50" s="466">
        <v>13090</v>
      </c>
      <c r="H50" s="466">
        <v>2624</v>
      </c>
      <c r="I50" s="467">
        <v>2249</v>
      </c>
      <c r="J50" s="467"/>
      <c r="K50" s="1690">
        <f>SUM(C50:J50)</f>
        <v>225563</v>
      </c>
      <c r="L50" s="466">
        <v>225563</v>
      </c>
    </row>
    <row r="51" spans="1:14" x14ac:dyDescent="0.2">
      <c r="A51" s="1526" t="s">
        <v>44</v>
      </c>
      <c r="B51" s="615">
        <v>2330</v>
      </c>
      <c r="C51" s="466">
        <v>76513</v>
      </c>
      <c r="D51" s="466">
        <v>16048</v>
      </c>
      <c r="E51" s="466">
        <v>3986</v>
      </c>
      <c r="F51" s="466">
        <v>38785</v>
      </c>
      <c r="G51" s="466"/>
      <c r="H51" s="466">
        <v>107</v>
      </c>
      <c r="I51" s="467">
        <v>5330</v>
      </c>
      <c r="J51" s="467"/>
      <c r="K51" s="1690">
        <f>SUM(C51:J51)</f>
        <v>140769</v>
      </c>
      <c r="L51" s="466">
        <v>140769</v>
      </c>
    </row>
    <row r="52" spans="1:14" ht="22.5" x14ac:dyDescent="0.2">
      <c r="A52" s="1527" t="s">
        <v>315</v>
      </c>
      <c r="B52" s="628" t="s">
        <v>383</v>
      </c>
      <c r="C52" s="474"/>
      <c r="D52" s="474"/>
      <c r="E52" s="474"/>
      <c r="F52" s="474"/>
      <c r="G52" s="474"/>
      <c r="H52" s="474"/>
      <c r="I52" s="474"/>
      <c r="J52" s="474"/>
      <c r="K52" s="1690">
        <f>SUM(C52:J52)</f>
        <v>0</v>
      </c>
      <c r="L52" s="474"/>
    </row>
    <row r="53" spans="1:14" ht="12.75" customHeight="1" thickBot="1" x14ac:dyDescent="0.25">
      <c r="A53" s="1686" t="s">
        <v>740</v>
      </c>
      <c r="B53" s="1687" t="s">
        <v>33</v>
      </c>
      <c r="C53" s="1688">
        <f>SUM(C49:C52)</f>
        <v>199379</v>
      </c>
      <c r="D53" s="1688">
        <f t="shared" ref="D53:L53" si="5">SUM(D49:D52)</f>
        <v>39142</v>
      </c>
      <c r="E53" s="1688">
        <f t="shared" si="5"/>
        <v>35913</v>
      </c>
      <c r="F53" s="1688">
        <f t="shared" si="5"/>
        <v>95902</v>
      </c>
      <c r="G53" s="1688">
        <f t="shared" si="5"/>
        <v>13090</v>
      </c>
      <c r="H53" s="1688">
        <f t="shared" si="5"/>
        <v>8299</v>
      </c>
      <c r="I53" s="1688">
        <f t="shared" si="5"/>
        <v>7579</v>
      </c>
      <c r="J53" s="1688">
        <f t="shared" si="5"/>
        <v>0</v>
      </c>
      <c r="K53" s="1688">
        <f t="shared" si="5"/>
        <v>399304</v>
      </c>
      <c r="L53" s="1688">
        <f t="shared" si="5"/>
        <v>396732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419770</v>
      </c>
      <c r="D55" s="481">
        <v>104584</v>
      </c>
      <c r="E55" s="481">
        <v>11391</v>
      </c>
      <c r="F55" s="481">
        <v>1833</v>
      </c>
      <c r="G55" s="481"/>
      <c r="H55" s="481">
        <v>2382</v>
      </c>
      <c r="I55" s="467"/>
      <c r="J55" s="467"/>
      <c r="K55" s="1690">
        <f>SUM(C55:J55)</f>
        <v>539960</v>
      </c>
      <c r="L55" s="481">
        <v>505289</v>
      </c>
    </row>
    <row r="56" spans="1:14" ht="12.75" customHeight="1" x14ac:dyDescent="0.2">
      <c r="A56" s="1530" t="s">
        <v>393</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419770</v>
      </c>
      <c r="D57" s="1692">
        <f t="shared" ref="D57:K57" si="6">SUM(D55:D56)</f>
        <v>104584</v>
      </c>
      <c r="E57" s="1692">
        <f t="shared" si="6"/>
        <v>11391</v>
      </c>
      <c r="F57" s="1692">
        <f t="shared" si="6"/>
        <v>1833</v>
      </c>
      <c r="G57" s="1692">
        <f t="shared" si="6"/>
        <v>0</v>
      </c>
      <c r="H57" s="1692">
        <f t="shared" si="6"/>
        <v>2382</v>
      </c>
      <c r="I57" s="1692">
        <f t="shared" si="6"/>
        <v>0</v>
      </c>
      <c r="J57" s="1692">
        <f t="shared" si="6"/>
        <v>0</v>
      </c>
      <c r="K57" s="1692">
        <f t="shared" si="6"/>
        <v>539960</v>
      </c>
      <c r="L57" s="1688">
        <f>SUM(L55:L56)</f>
        <v>505289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0">
        <f t="shared" ref="K59:K64" si="7">SUM(C59:J59)</f>
        <v>0</v>
      </c>
      <c r="L59" s="481"/>
      <c r="M59" s="610"/>
      <c r="N59" s="610"/>
    </row>
    <row r="60" spans="1:14" s="343" customFormat="1" x14ac:dyDescent="0.2">
      <c r="A60" s="1526" t="s">
        <v>482</v>
      </c>
      <c r="B60" s="615">
        <v>2520</v>
      </c>
      <c r="C60" s="466">
        <v>50305</v>
      </c>
      <c r="D60" s="466">
        <v>41</v>
      </c>
      <c r="E60" s="466"/>
      <c r="F60" s="466">
        <v>3510</v>
      </c>
      <c r="G60" s="466"/>
      <c r="H60" s="466"/>
      <c r="I60" s="467"/>
      <c r="J60" s="467"/>
      <c r="K60" s="1690">
        <f t="shared" si="7"/>
        <v>53856</v>
      </c>
      <c r="L60" s="466">
        <v>60998</v>
      </c>
      <c r="M60" s="610"/>
      <c r="N60" s="610"/>
    </row>
    <row r="61" spans="1:14" s="343" customFormat="1" x14ac:dyDescent="0.2">
      <c r="A61" s="1526" t="s">
        <v>206</v>
      </c>
      <c r="B61" s="615">
        <v>2540</v>
      </c>
      <c r="C61" s="466"/>
      <c r="D61" s="466"/>
      <c r="E61" s="466"/>
      <c r="F61" s="466"/>
      <c r="G61" s="466"/>
      <c r="H61" s="466"/>
      <c r="I61" s="467"/>
      <c r="J61" s="467"/>
      <c r="K61" s="1690">
        <f t="shared" si="7"/>
        <v>0</v>
      </c>
      <c r="L61" s="466"/>
      <c r="M61" s="610"/>
      <c r="N61" s="610"/>
    </row>
    <row r="62" spans="1:14" s="343" customFormat="1" x14ac:dyDescent="0.2">
      <c r="A62" s="1526" t="s">
        <v>1009</v>
      </c>
      <c r="B62" s="615">
        <v>2550</v>
      </c>
      <c r="C62" s="466"/>
      <c r="D62" s="466"/>
      <c r="E62" s="466"/>
      <c r="F62" s="466"/>
      <c r="G62" s="466"/>
      <c r="H62" s="466"/>
      <c r="I62" s="467"/>
      <c r="J62" s="467"/>
      <c r="K62" s="1690">
        <f t="shared" si="7"/>
        <v>0</v>
      </c>
      <c r="L62" s="466"/>
      <c r="M62" s="610"/>
      <c r="N62" s="610"/>
    </row>
    <row r="63" spans="1:14" s="610" customFormat="1" x14ac:dyDescent="0.2">
      <c r="A63" s="1526" t="s">
        <v>102</v>
      </c>
      <c r="B63" s="615">
        <v>2560</v>
      </c>
      <c r="C63" s="466">
        <v>172866</v>
      </c>
      <c r="D63" s="466">
        <v>20015</v>
      </c>
      <c r="E63" s="466">
        <v>2189</v>
      </c>
      <c r="F63" s="466">
        <v>216722</v>
      </c>
      <c r="G63" s="466"/>
      <c r="H63" s="466">
        <v>250</v>
      </c>
      <c r="I63" s="467"/>
      <c r="J63" s="467"/>
      <c r="K63" s="1690">
        <f t="shared" si="7"/>
        <v>412042</v>
      </c>
      <c r="L63" s="466">
        <v>414892</v>
      </c>
    </row>
    <row r="64" spans="1:14" s="610" customFormat="1" x14ac:dyDescent="0.2">
      <c r="A64" s="1531"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742</v>
      </c>
      <c r="B65" s="1687" t="s">
        <v>35</v>
      </c>
      <c r="C65" s="1688">
        <f>SUM(C59:C64)</f>
        <v>223171</v>
      </c>
      <c r="D65" s="1688">
        <f t="shared" ref="D65:L65" si="8">SUM(D59:D64)</f>
        <v>20056</v>
      </c>
      <c r="E65" s="1688">
        <f t="shared" si="8"/>
        <v>2189</v>
      </c>
      <c r="F65" s="1688">
        <f t="shared" si="8"/>
        <v>220232</v>
      </c>
      <c r="G65" s="1688">
        <f t="shared" si="8"/>
        <v>0</v>
      </c>
      <c r="H65" s="1688">
        <f t="shared" si="8"/>
        <v>250</v>
      </c>
      <c r="I65" s="1688">
        <f t="shared" si="8"/>
        <v>0</v>
      </c>
      <c r="J65" s="1688">
        <f t="shared" si="8"/>
        <v>0</v>
      </c>
      <c r="K65" s="1688">
        <f t="shared" si="8"/>
        <v>465898</v>
      </c>
      <c r="L65" s="1688">
        <f t="shared" si="8"/>
        <v>475890</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0">
        <f>SUM(C67:J67)</f>
        <v>0</v>
      </c>
      <c r="L67" s="481"/>
      <c r="M67" s="610"/>
      <c r="N67" s="610"/>
    </row>
    <row r="68" spans="1:14" s="343" customFormat="1" x14ac:dyDescent="0.2">
      <c r="A68" s="1526" t="s">
        <v>627</v>
      </c>
      <c r="B68" s="615">
        <v>2620</v>
      </c>
      <c r="C68" s="466"/>
      <c r="D68" s="466"/>
      <c r="E68" s="466"/>
      <c r="F68" s="466"/>
      <c r="G68" s="466"/>
      <c r="H68" s="466"/>
      <c r="I68" s="467"/>
      <c r="J68" s="467"/>
      <c r="K68" s="1690">
        <f>SUM(C68:J68)</f>
        <v>0</v>
      </c>
      <c r="L68" s="466"/>
      <c r="M68" s="610"/>
      <c r="N68" s="610"/>
    </row>
    <row r="69" spans="1:14" s="343" customFormat="1" x14ac:dyDescent="0.2">
      <c r="A69" s="1526" t="s">
        <v>1120</v>
      </c>
      <c r="B69" s="615">
        <v>2630</v>
      </c>
      <c r="C69" s="466"/>
      <c r="D69" s="466"/>
      <c r="E69" s="466"/>
      <c r="F69" s="466"/>
      <c r="G69" s="466"/>
      <c r="H69" s="466"/>
      <c r="I69" s="467"/>
      <c r="J69" s="467"/>
      <c r="K69" s="1690">
        <f>SUM(C69:J69)</f>
        <v>0</v>
      </c>
      <c r="L69" s="466"/>
      <c r="M69" s="610"/>
      <c r="N69" s="610"/>
    </row>
    <row r="70" spans="1:14" s="343" customFormat="1" x14ac:dyDescent="0.2">
      <c r="A70" s="1526" t="s">
        <v>422</v>
      </c>
      <c r="B70" s="615">
        <v>2640</v>
      </c>
      <c r="C70" s="466"/>
      <c r="D70" s="466"/>
      <c r="E70" s="466"/>
      <c r="F70" s="466"/>
      <c r="G70" s="466"/>
      <c r="H70" s="466"/>
      <c r="I70" s="467"/>
      <c r="J70" s="467"/>
      <c r="K70" s="1690">
        <f>SUM(C70:J70)</f>
        <v>0</v>
      </c>
      <c r="L70" s="466"/>
      <c r="M70" s="610"/>
      <c r="N70" s="610"/>
    </row>
    <row r="71" spans="1:14" s="343" customFormat="1" x14ac:dyDescent="0.2">
      <c r="A71" s="1526" t="s">
        <v>423</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10"/>
      <c r="N72" s="610"/>
    </row>
    <row r="73" spans="1:14" s="343" customFormat="1" ht="14.25" thickTop="1" thickBot="1" x14ac:dyDescent="0.25">
      <c r="A73" s="1532" t="s">
        <v>1036</v>
      </c>
      <c r="B73" s="633" t="s">
        <v>594</v>
      </c>
      <c r="C73" s="573"/>
      <c r="D73" s="573"/>
      <c r="E73" s="573"/>
      <c r="F73" s="573"/>
      <c r="G73" s="573"/>
      <c r="H73" s="573"/>
      <c r="I73" s="531"/>
      <c r="J73" s="531"/>
      <c r="K73" s="1688">
        <f>SUM(C73:J73)</f>
        <v>0</v>
      </c>
      <c r="L73" s="576"/>
      <c r="M73" s="610"/>
      <c r="N73" s="610"/>
    </row>
    <row r="74" spans="1:14" ht="12.75" customHeight="1" thickTop="1" thickBot="1" x14ac:dyDescent="0.25">
      <c r="A74" s="1686" t="s">
        <v>864</v>
      </c>
      <c r="B74" s="1694">
        <v>2000</v>
      </c>
      <c r="C74" s="1695">
        <f>SUM(C42,C47,C53,C57,C65,C72,C73)</f>
        <v>1287271</v>
      </c>
      <c r="D74" s="1695">
        <f t="shared" ref="D74:K74" si="10">SUM(D42,D47,D53,D57,D65,D72,D73)</f>
        <v>228985</v>
      </c>
      <c r="E74" s="1695">
        <f t="shared" si="10"/>
        <v>272658</v>
      </c>
      <c r="F74" s="1695">
        <f t="shared" si="10"/>
        <v>335058</v>
      </c>
      <c r="G74" s="1695">
        <f t="shared" si="10"/>
        <v>100090</v>
      </c>
      <c r="H74" s="1695">
        <f t="shared" si="10"/>
        <v>13893</v>
      </c>
      <c r="I74" s="1695">
        <f t="shared" si="10"/>
        <v>7579</v>
      </c>
      <c r="J74" s="1695">
        <f t="shared" si="10"/>
        <v>0</v>
      </c>
      <c r="K74" s="1695">
        <f t="shared" si="10"/>
        <v>2245534</v>
      </c>
      <c r="L74" s="1695">
        <f>SUM(L42,L47,L53,L57,L65,L72,L73)</f>
        <v>2292489</v>
      </c>
    </row>
    <row r="75" spans="1:14" s="259" customFormat="1" ht="15.75" customHeight="1" thickTop="1" thickBot="1" x14ac:dyDescent="0.25">
      <c r="A75" s="1632" t="s">
        <v>49</v>
      </c>
      <c r="B75" s="1633" t="s">
        <v>595</v>
      </c>
      <c r="C75" s="573">
        <v>23084</v>
      </c>
      <c r="D75" s="573">
        <v>2669</v>
      </c>
      <c r="E75" s="573">
        <v>19214</v>
      </c>
      <c r="F75" s="573">
        <v>108</v>
      </c>
      <c r="G75" s="573"/>
      <c r="H75" s="573"/>
      <c r="I75" s="531"/>
      <c r="J75" s="531"/>
      <c r="K75" s="1688">
        <f>SUM(C75:J75)</f>
        <v>45075</v>
      </c>
      <c r="L75" s="576">
        <v>50013</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89">
        <f t="shared" ref="K78:K83" si="11">SUM(C78:J78)</f>
        <v>0</v>
      </c>
      <c r="L78" s="481"/>
    </row>
    <row r="79" spans="1:14" x14ac:dyDescent="0.2">
      <c r="A79" s="1526" t="s">
        <v>321</v>
      </c>
      <c r="B79" s="615">
        <v>4120</v>
      </c>
      <c r="C79" s="617"/>
      <c r="D79" s="617"/>
      <c r="E79" s="466"/>
      <c r="F79" s="617"/>
      <c r="G79" s="617"/>
      <c r="H79" s="466"/>
      <c r="I79" s="477"/>
      <c r="J79" s="477"/>
      <c r="K79" s="1689">
        <f t="shared" si="11"/>
        <v>0</v>
      </c>
      <c r="L79" s="466"/>
    </row>
    <row r="80" spans="1:14" x14ac:dyDescent="0.2">
      <c r="A80" s="1526" t="s">
        <v>322</v>
      </c>
      <c r="B80" s="615">
        <v>4130</v>
      </c>
      <c r="C80" s="617"/>
      <c r="D80" s="617"/>
      <c r="E80" s="466"/>
      <c r="F80" s="617"/>
      <c r="G80" s="617"/>
      <c r="H80" s="466"/>
      <c r="I80" s="477"/>
      <c r="J80" s="477"/>
      <c r="K80" s="1689">
        <f t="shared" si="11"/>
        <v>0</v>
      </c>
      <c r="L80" s="466"/>
    </row>
    <row r="81" spans="1:12" x14ac:dyDescent="0.2">
      <c r="A81" s="1526" t="s">
        <v>720</v>
      </c>
      <c r="B81" s="615">
        <v>4140</v>
      </c>
      <c r="C81" s="617"/>
      <c r="D81" s="617"/>
      <c r="E81" s="466">
        <v>1524</v>
      </c>
      <c r="F81" s="617"/>
      <c r="G81" s="617"/>
      <c r="H81" s="466"/>
      <c r="I81" s="477"/>
      <c r="J81" s="477"/>
      <c r="K81" s="1689">
        <f t="shared" si="11"/>
        <v>1524</v>
      </c>
      <c r="L81" s="466">
        <v>1500</v>
      </c>
    </row>
    <row r="82" spans="1:12" x14ac:dyDescent="0.2">
      <c r="A82" s="1526" t="s">
        <v>88</v>
      </c>
      <c r="B82" s="615">
        <v>4170</v>
      </c>
      <c r="C82" s="617"/>
      <c r="D82" s="617"/>
      <c r="E82" s="466"/>
      <c r="F82" s="617"/>
      <c r="G82" s="617"/>
      <c r="H82" s="466"/>
      <c r="I82" s="477"/>
      <c r="J82" s="477"/>
      <c r="K82" s="1689">
        <f t="shared" si="11"/>
        <v>0</v>
      </c>
      <c r="L82" s="466"/>
    </row>
    <row r="83" spans="1:12" x14ac:dyDescent="0.2">
      <c r="A83" s="1530" t="s">
        <v>721</v>
      </c>
      <c r="B83" s="629">
        <v>4190</v>
      </c>
      <c r="C83" s="617"/>
      <c r="D83" s="617"/>
      <c r="E83" s="466"/>
      <c r="F83" s="617"/>
      <c r="G83" s="617"/>
      <c r="H83" s="466">
        <v>199600</v>
      </c>
      <c r="I83" s="477"/>
      <c r="J83" s="477"/>
      <c r="K83" s="1689">
        <f t="shared" si="11"/>
        <v>199600</v>
      </c>
      <c r="L83" s="466">
        <v>199600</v>
      </c>
    </row>
    <row r="84" spans="1:12" ht="13.5" thickBot="1" x14ac:dyDescent="0.25">
      <c r="A84" s="1686" t="s">
        <v>1564</v>
      </c>
      <c r="B84" s="1696">
        <v>4100</v>
      </c>
      <c r="C84" s="617"/>
      <c r="D84" s="617"/>
      <c r="E84" s="1688">
        <f>SUM(E78:E83)</f>
        <v>1524</v>
      </c>
      <c r="F84" s="617"/>
      <c r="G84" s="617"/>
      <c r="H84" s="1688">
        <f>SUM(H78:H83)</f>
        <v>199600</v>
      </c>
      <c r="I84" s="477"/>
      <c r="J84" s="477"/>
      <c r="K84" s="1688">
        <f>SUM(K78:K83)</f>
        <v>201124</v>
      </c>
      <c r="L84" s="1688">
        <f>SUM(L78:L83)</f>
        <v>201100</v>
      </c>
    </row>
    <row r="85" spans="1:12" ht="12.75" customHeight="1" thickTop="1" thickBot="1" x14ac:dyDescent="0.25">
      <c r="A85" s="1533" t="s">
        <v>273</v>
      </c>
      <c r="B85" s="636">
        <v>4210</v>
      </c>
      <c r="C85" s="617"/>
      <c r="D85" s="617"/>
      <c r="E85" s="637"/>
      <c r="F85" s="617"/>
      <c r="G85" s="617"/>
      <c r="H85" s="535"/>
      <c r="I85" s="477"/>
      <c r="J85" s="477"/>
      <c r="K85" s="1695">
        <f>H85</f>
        <v>0</v>
      </c>
      <c r="L85" s="530"/>
    </row>
    <row r="86" spans="1:12" ht="12.75" customHeight="1" thickTop="1" thickBot="1" x14ac:dyDescent="0.25">
      <c r="A86" s="1534" t="s">
        <v>722</v>
      </c>
      <c r="B86" s="638">
        <v>4220</v>
      </c>
      <c r="C86" s="617"/>
      <c r="D86" s="617"/>
      <c r="E86" s="639"/>
      <c r="F86" s="617"/>
      <c r="G86" s="617"/>
      <c r="H86" s="467">
        <v>142062</v>
      </c>
      <c r="I86" s="477"/>
      <c r="J86" s="477"/>
      <c r="K86" s="1695">
        <f t="shared" ref="K86:K98" si="12">H86</f>
        <v>142062</v>
      </c>
      <c r="L86" s="530">
        <v>142062</v>
      </c>
    </row>
    <row r="87" spans="1:12" ht="14.25" thickTop="1" thickBot="1" x14ac:dyDescent="0.25">
      <c r="A87" s="1535" t="s">
        <v>723</v>
      </c>
      <c r="B87" s="640">
        <v>4230</v>
      </c>
      <c r="C87" s="617"/>
      <c r="D87" s="617"/>
      <c r="E87" s="639"/>
      <c r="F87" s="617"/>
      <c r="G87" s="617"/>
      <c r="H87" s="467"/>
      <c r="I87" s="477"/>
      <c r="J87" s="477"/>
      <c r="K87" s="1695">
        <f t="shared" si="12"/>
        <v>0</v>
      </c>
      <c r="L87" s="530"/>
    </row>
    <row r="88" spans="1:12" ht="12.75" customHeight="1" thickTop="1" thickBot="1" x14ac:dyDescent="0.25">
      <c r="A88" s="1535" t="s">
        <v>788</v>
      </c>
      <c r="B88" s="640">
        <v>4240</v>
      </c>
      <c r="C88" s="617"/>
      <c r="D88" s="617"/>
      <c r="E88" s="639"/>
      <c r="F88" s="617"/>
      <c r="G88" s="617"/>
      <c r="H88" s="467"/>
      <c r="I88" s="477"/>
      <c r="J88" s="477"/>
      <c r="K88" s="1695">
        <f t="shared" si="12"/>
        <v>0</v>
      </c>
      <c r="L88" s="530"/>
    </row>
    <row r="89" spans="1:12" ht="12.75" customHeight="1" thickTop="1" thickBot="1" x14ac:dyDescent="0.25">
      <c r="A89" s="1535" t="s">
        <v>724</v>
      </c>
      <c r="B89" s="640">
        <v>4270</v>
      </c>
      <c r="C89" s="617"/>
      <c r="D89" s="617"/>
      <c r="E89" s="639"/>
      <c r="F89" s="617"/>
      <c r="G89" s="617"/>
      <c r="H89" s="467"/>
      <c r="I89" s="477"/>
      <c r="J89" s="477"/>
      <c r="K89" s="1695">
        <f t="shared" si="12"/>
        <v>0</v>
      </c>
      <c r="L89" s="530"/>
    </row>
    <row r="90" spans="1:12" ht="12.75" customHeight="1" thickTop="1" thickBot="1" x14ac:dyDescent="0.25">
      <c r="A90" s="1535" t="s">
        <v>709</v>
      </c>
      <c r="B90" s="640">
        <v>4280</v>
      </c>
      <c r="C90" s="617"/>
      <c r="D90" s="617"/>
      <c r="E90" s="639"/>
      <c r="F90" s="617"/>
      <c r="G90" s="617"/>
      <c r="H90" s="467"/>
      <c r="I90" s="477"/>
      <c r="J90" s="477"/>
      <c r="K90" s="1695">
        <f t="shared" si="12"/>
        <v>0</v>
      </c>
      <c r="L90" s="530"/>
    </row>
    <row r="91" spans="1:12" ht="12.75" customHeight="1" thickTop="1" thickBot="1" x14ac:dyDescent="0.25">
      <c r="A91" s="1535" t="s">
        <v>710</v>
      </c>
      <c r="B91" s="640">
        <v>4290</v>
      </c>
      <c r="C91" s="617"/>
      <c r="D91" s="617"/>
      <c r="E91" s="639"/>
      <c r="F91" s="617"/>
      <c r="G91" s="617"/>
      <c r="H91" s="467"/>
      <c r="I91" s="477"/>
      <c r="J91" s="477"/>
      <c r="K91" s="1695">
        <f t="shared" si="12"/>
        <v>0</v>
      </c>
      <c r="L91" s="530"/>
    </row>
    <row r="92" spans="1:12" ht="14.25" thickTop="1" thickBot="1" x14ac:dyDescent="0.25">
      <c r="A92" s="1698" t="s">
        <v>1640</v>
      </c>
      <c r="B92" s="1696">
        <v>4200</v>
      </c>
      <c r="C92" s="617"/>
      <c r="D92" s="617"/>
      <c r="E92" s="639"/>
      <c r="F92" s="617"/>
      <c r="G92" s="617"/>
      <c r="H92" s="1688">
        <f>SUM(H85:H91)</f>
        <v>142062</v>
      </c>
      <c r="I92" s="477"/>
      <c r="J92" s="477"/>
      <c r="K92" s="1695">
        <f t="shared" si="12"/>
        <v>142062</v>
      </c>
      <c r="L92" s="1688">
        <f>SUM(L85:L91)</f>
        <v>142062</v>
      </c>
    </row>
    <row r="93" spans="1:12" ht="14.25" thickTop="1" thickBot="1" x14ac:dyDescent="0.25">
      <c r="A93" s="1534" t="s">
        <v>711</v>
      </c>
      <c r="B93" s="641">
        <v>4310</v>
      </c>
      <c r="C93" s="617"/>
      <c r="D93" s="617"/>
      <c r="E93" s="639"/>
      <c r="F93" s="617"/>
      <c r="G93" s="617"/>
      <c r="H93" s="642"/>
      <c r="I93" s="477"/>
      <c r="J93" s="477"/>
      <c r="K93" s="1695">
        <f t="shared" si="12"/>
        <v>0</v>
      </c>
      <c r="L93" s="532"/>
    </row>
    <row r="94" spans="1:12" ht="12.75" customHeight="1" thickTop="1" thickBot="1" x14ac:dyDescent="0.25">
      <c r="A94" s="1535" t="s">
        <v>712</v>
      </c>
      <c r="B94" s="640">
        <v>4320</v>
      </c>
      <c r="C94" s="617"/>
      <c r="D94" s="617"/>
      <c r="E94" s="639"/>
      <c r="F94" s="617"/>
      <c r="G94" s="617"/>
      <c r="H94" s="467"/>
      <c r="I94" s="477"/>
      <c r="J94" s="477"/>
      <c r="K94" s="1695">
        <f t="shared" si="12"/>
        <v>0</v>
      </c>
      <c r="L94" s="530"/>
    </row>
    <row r="95" spans="1:12" ht="15" customHeight="1" thickTop="1" thickBot="1" x14ac:dyDescent="0.25">
      <c r="A95" s="1535" t="s">
        <v>1567</v>
      </c>
      <c r="B95" s="640">
        <v>4330</v>
      </c>
      <c r="C95" s="617"/>
      <c r="D95" s="617"/>
      <c r="E95" s="639"/>
      <c r="F95" s="617"/>
      <c r="G95" s="617"/>
      <c r="H95" s="467"/>
      <c r="I95" s="477"/>
      <c r="J95" s="477"/>
      <c r="K95" s="1695">
        <f t="shared" si="12"/>
        <v>0</v>
      </c>
      <c r="L95" s="530"/>
    </row>
    <row r="96" spans="1:12" ht="14.25" thickTop="1" thickBot="1" x14ac:dyDescent="0.25">
      <c r="A96" s="1535" t="s">
        <v>713</v>
      </c>
      <c r="B96" s="640">
        <v>4340</v>
      </c>
      <c r="C96" s="617"/>
      <c r="D96" s="617"/>
      <c r="E96" s="639"/>
      <c r="F96" s="617"/>
      <c r="G96" s="617"/>
      <c r="H96" s="467"/>
      <c r="I96" s="477"/>
      <c r="J96" s="477"/>
      <c r="K96" s="1695">
        <f t="shared" si="12"/>
        <v>0</v>
      </c>
      <c r="L96" s="530"/>
    </row>
    <row r="97" spans="1:14" ht="12.75" customHeight="1" thickTop="1" thickBot="1" x14ac:dyDescent="0.25">
      <c r="A97" s="1535" t="s">
        <v>786</v>
      </c>
      <c r="B97" s="640">
        <v>4370</v>
      </c>
      <c r="C97" s="617"/>
      <c r="D97" s="617"/>
      <c r="E97" s="639"/>
      <c r="F97" s="617"/>
      <c r="G97" s="617"/>
      <c r="H97" s="467"/>
      <c r="I97" s="477"/>
      <c r="J97" s="477"/>
      <c r="K97" s="1695">
        <f t="shared" si="12"/>
        <v>0</v>
      </c>
      <c r="L97" s="530"/>
    </row>
    <row r="98" spans="1:14" ht="14.25" thickTop="1" thickBot="1" x14ac:dyDescent="0.25">
      <c r="A98" s="1535" t="s">
        <v>787</v>
      </c>
      <c r="B98" s="640">
        <v>4380</v>
      </c>
      <c r="C98" s="617"/>
      <c r="D98" s="617"/>
      <c r="E98" s="643"/>
      <c r="F98" s="617"/>
      <c r="G98" s="617"/>
      <c r="H98" s="467"/>
      <c r="I98" s="477"/>
      <c r="J98" s="477"/>
      <c r="K98" s="1695">
        <f t="shared" si="12"/>
        <v>0</v>
      </c>
      <c r="L98" s="530"/>
    </row>
    <row r="99" spans="1:14" ht="14.25" thickTop="1" thickBot="1" x14ac:dyDescent="0.25">
      <c r="A99" s="1535" t="s">
        <v>384</v>
      </c>
      <c r="B99" s="640">
        <v>4390</v>
      </c>
      <c r="C99" s="617"/>
      <c r="D99" s="617"/>
      <c r="E99" s="532"/>
      <c r="F99" s="617"/>
      <c r="G99" s="617"/>
      <c r="H99" s="467"/>
      <c r="I99" s="477"/>
      <c r="J99" s="477"/>
      <c r="K99" s="1695">
        <f>SUM(E99,H99)</f>
        <v>0</v>
      </c>
      <c r="L99" s="530"/>
    </row>
    <row r="100" spans="1:14" ht="14.25" thickTop="1" thickBot="1" x14ac:dyDescent="0.25">
      <c r="A100" s="1698" t="s">
        <v>1565</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2" t="s">
        <v>1568</v>
      </c>
      <c r="B101" s="644" t="s">
        <v>987</v>
      </c>
      <c r="C101" s="617"/>
      <c r="D101" s="617"/>
      <c r="E101" s="531"/>
      <c r="F101" s="617"/>
      <c r="G101" s="617"/>
      <c r="H101" s="531"/>
      <c r="I101" s="477"/>
      <c r="J101" s="477"/>
      <c r="K101" s="1697">
        <f>SUM(C101:J101)</f>
        <v>0</v>
      </c>
      <c r="L101" s="530"/>
    </row>
    <row r="102" spans="1:14" ht="12.75" customHeight="1" thickTop="1" thickBot="1" x14ac:dyDescent="0.25">
      <c r="A102" s="1686" t="s">
        <v>1566</v>
      </c>
      <c r="B102" s="1696">
        <v>4000</v>
      </c>
      <c r="C102" s="617"/>
      <c r="D102" s="617"/>
      <c r="E102" s="1695">
        <f>SUM(E84,E92,E100,E101)</f>
        <v>1524</v>
      </c>
      <c r="F102" s="617"/>
      <c r="G102" s="617"/>
      <c r="H102" s="1695">
        <f>SUM(H84,H92,H100,H101)</f>
        <v>341662</v>
      </c>
      <c r="I102" s="477"/>
      <c r="J102" s="477"/>
      <c r="K102" s="1695">
        <f>SUM(K84,K92,K100,K101)</f>
        <v>343186</v>
      </c>
      <c r="L102" s="1695">
        <f>SUM(L84,L92,L100,L101)</f>
        <v>343162</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89">
        <f>H105</f>
        <v>0</v>
      </c>
      <c r="L105" s="481"/>
      <c r="M105" s="210"/>
      <c r="N105" s="210"/>
    </row>
    <row r="106" spans="1:14" s="598" customFormat="1" x14ac:dyDescent="0.2">
      <c r="A106" s="1526"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89">
        <f>H107</f>
        <v>0</v>
      </c>
      <c r="L107" s="466"/>
      <c r="M107" s="210"/>
      <c r="N107" s="210"/>
    </row>
    <row r="108" spans="1:14" s="598" customFormat="1" x14ac:dyDescent="0.2">
      <c r="A108" s="1526" t="s">
        <v>91</v>
      </c>
      <c r="B108" s="615" t="s">
        <v>609</v>
      </c>
      <c r="C108" s="617"/>
      <c r="D108" s="617"/>
      <c r="E108" s="617"/>
      <c r="F108" s="617"/>
      <c r="G108" s="617"/>
      <c r="H108" s="466"/>
      <c r="I108" s="468"/>
      <c r="J108" s="468"/>
      <c r="K108" s="1689">
        <f>H108</f>
        <v>0</v>
      </c>
      <c r="L108" s="466"/>
      <c r="M108" s="210"/>
      <c r="N108" s="210"/>
    </row>
    <row r="109" spans="1:14" s="598" customFormat="1" x14ac:dyDescent="0.2">
      <c r="A109" s="1526"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1163</v>
      </c>
      <c r="B110" s="1693" t="s">
        <v>741</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658</v>
      </c>
      <c r="B112" s="1687" t="s">
        <v>512</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5678766</v>
      </c>
      <c r="D114" s="1688">
        <f t="shared" ref="D114:K114" si="13">SUM(D33,D74,D75,D102,D112,D113)</f>
        <v>776904</v>
      </c>
      <c r="E114" s="1688">
        <f t="shared" si="13"/>
        <v>442559</v>
      </c>
      <c r="F114" s="1688">
        <f t="shared" si="13"/>
        <v>559466</v>
      </c>
      <c r="G114" s="1688">
        <f t="shared" si="13"/>
        <v>102663</v>
      </c>
      <c r="H114" s="1688">
        <f>SUM(H33,H74,H75,H102,H112,H113)</f>
        <v>1048694</v>
      </c>
      <c r="I114" s="1688">
        <f t="shared" si="13"/>
        <v>20922</v>
      </c>
      <c r="J114" s="1688">
        <f t="shared" si="13"/>
        <v>0</v>
      </c>
      <c r="K114" s="1688">
        <f t="shared" si="13"/>
        <v>8629974</v>
      </c>
      <c r="L114" s="1688">
        <f>SUM(L33,L74,L75,L102,L112,L113)</f>
        <v>8975347</v>
      </c>
    </row>
    <row r="115" spans="1:14" ht="13.5" thickTop="1" x14ac:dyDescent="0.2">
      <c r="A115" s="2206" t="s">
        <v>1052</v>
      </c>
      <c r="B115" s="2207"/>
      <c r="C115" s="619"/>
      <c r="D115" s="619"/>
      <c r="E115" s="619"/>
      <c r="F115" s="619"/>
      <c r="G115" s="619"/>
      <c r="H115" s="619"/>
      <c r="I115" s="619"/>
      <c r="J115" s="619"/>
      <c r="K115" s="1702">
        <f>'Revenues 9-14'!C275-'Expenditures 15-22'!K114</f>
        <v>461745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313</v>
      </c>
      <c r="B117" s="2185"/>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89">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88">
        <f>SUM(C122:J122)</f>
        <v>0</v>
      </c>
      <c r="L122" s="466"/>
    </row>
    <row r="123" spans="1:14" ht="14.25" thickTop="1" thickBot="1" x14ac:dyDescent="0.25">
      <c r="A123" s="1526" t="s">
        <v>4</v>
      </c>
      <c r="B123" s="615">
        <v>2530</v>
      </c>
      <c r="C123" s="466"/>
      <c r="D123" s="466"/>
      <c r="E123" s="466"/>
      <c r="F123" s="466"/>
      <c r="G123" s="466"/>
      <c r="H123" s="466"/>
      <c r="I123" s="467"/>
      <c r="J123" s="467"/>
      <c r="K123" s="1688">
        <f>SUM(C123:J123)</f>
        <v>0</v>
      </c>
      <c r="L123" s="466"/>
    </row>
    <row r="124" spans="1:14" ht="14.25" thickTop="1" thickBot="1" x14ac:dyDescent="0.25">
      <c r="A124" s="1526" t="s">
        <v>206</v>
      </c>
      <c r="B124" s="615">
        <v>2540</v>
      </c>
      <c r="C124" s="466">
        <v>366709</v>
      </c>
      <c r="D124" s="466">
        <v>61630</v>
      </c>
      <c r="E124" s="466">
        <v>151794</v>
      </c>
      <c r="F124" s="466">
        <v>283098</v>
      </c>
      <c r="G124" s="466">
        <v>114628</v>
      </c>
      <c r="H124" s="466">
        <v>290</v>
      </c>
      <c r="I124" s="467">
        <v>3977</v>
      </c>
      <c r="J124" s="467"/>
      <c r="K124" s="1688">
        <f>SUM(C124:J124)</f>
        <v>982126</v>
      </c>
      <c r="L124" s="466">
        <v>1020608</v>
      </c>
    </row>
    <row r="125" spans="1:14" ht="14.25" thickTop="1" thickBot="1" x14ac:dyDescent="0.25">
      <c r="A125" s="1526" t="s">
        <v>1009</v>
      </c>
      <c r="B125" s="615">
        <v>2550</v>
      </c>
      <c r="C125" s="466"/>
      <c r="D125" s="466"/>
      <c r="E125" s="466"/>
      <c r="F125" s="466"/>
      <c r="G125" s="466"/>
      <c r="H125" s="466"/>
      <c r="I125" s="467"/>
      <c r="J125" s="467"/>
      <c r="K125" s="1688">
        <f>SUM(C125:J125)</f>
        <v>0</v>
      </c>
      <c r="L125" s="466"/>
    </row>
    <row r="126" spans="1:14" ht="14.25" thickTop="1" thickBot="1" x14ac:dyDescent="0.25">
      <c r="A126" s="1526"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742</v>
      </c>
      <c r="B127" s="1687" t="s">
        <v>35</v>
      </c>
      <c r="C127" s="1688">
        <f>SUM(C122:C126)</f>
        <v>366709</v>
      </c>
      <c r="D127" s="1688">
        <f t="shared" ref="D127:L127" si="14">SUM(D122:D126)</f>
        <v>61630</v>
      </c>
      <c r="E127" s="1688">
        <f t="shared" si="14"/>
        <v>151794</v>
      </c>
      <c r="F127" s="1688">
        <f t="shared" si="14"/>
        <v>283098</v>
      </c>
      <c r="G127" s="1688">
        <f t="shared" si="14"/>
        <v>114628</v>
      </c>
      <c r="H127" s="1688">
        <f t="shared" si="14"/>
        <v>290</v>
      </c>
      <c r="I127" s="1688">
        <f t="shared" si="14"/>
        <v>3977</v>
      </c>
      <c r="J127" s="1688">
        <f t="shared" si="14"/>
        <v>0</v>
      </c>
      <c r="K127" s="1688">
        <f t="shared" si="14"/>
        <v>982126</v>
      </c>
      <c r="L127" s="1688">
        <f t="shared" si="14"/>
        <v>1020608</v>
      </c>
    </row>
    <row r="128" spans="1:14" ht="12.75" customHeight="1" thickTop="1" x14ac:dyDescent="0.2">
      <c r="A128" s="1533" t="s">
        <v>1036</v>
      </c>
      <c r="B128" s="656" t="s">
        <v>594</v>
      </c>
      <c r="C128" s="657"/>
      <c r="D128" s="657"/>
      <c r="E128" s="657"/>
      <c r="F128" s="657"/>
      <c r="G128" s="657"/>
      <c r="H128" s="657"/>
      <c r="I128" s="535"/>
      <c r="J128" s="535"/>
      <c r="K128" s="1703">
        <f>SUM(C128:J128)</f>
        <v>0</v>
      </c>
      <c r="L128" s="657"/>
    </row>
    <row r="129" spans="1:14" ht="12.75" customHeight="1" thickBot="1" x14ac:dyDescent="0.25">
      <c r="A129" s="1704" t="s">
        <v>864</v>
      </c>
      <c r="B129" s="1705" t="s">
        <v>589</v>
      </c>
      <c r="C129" s="1695">
        <f>SUM(C120,C127,C128)</f>
        <v>366709</v>
      </c>
      <c r="D129" s="1695">
        <f t="shared" ref="D129:L129" si="15">SUM(D120,D127,D128)</f>
        <v>61630</v>
      </c>
      <c r="E129" s="1695">
        <f t="shared" si="15"/>
        <v>151794</v>
      </c>
      <c r="F129" s="1695">
        <f t="shared" si="15"/>
        <v>283098</v>
      </c>
      <c r="G129" s="1695">
        <f t="shared" si="15"/>
        <v>114628</v>
      </c>
      <c r="H129" s="1695">
        <f t="shared" si="15"/>
        <v>290</v>
      </c>
      <c r="I129" s="1695">
        <f t="shared" si="15"/>
        <v>3977</v>
      </c>
      <c r="J129" s="1695">
        <f t="shared" si="15"/>
        <v>0</v>
      </c>
      <c r="K129" s="1695">
        <f t="shared" si="15"/>
        <v>982126</v>
      </c>
      <c r="L129" s="1695">
        <f t="shared" si="15"/>
        <v>1020608</v>
      </c>
    </row>
    <row r="130" spans="1:14" ht="15.75" customHeight="1" thickTop="1" thickBot="1" x14ac:dyDescent="0.25">
      <c r="A130" s="1632" t="s">
        <v>1095</v>
      </c>
      <c r="B130" s="1633" t="s">
        <v>595</v>
      </c>
      <c r="C130" s="576"/>
      <c r="D130" s="576"/>
      <c r="E130" s="576"/>
      <c r="F130" s="576"/>
      <c r="G130" s="576"/>
      <c r="H130" s="576"/>
      <c r="I130" s="531"/>
      <c r="J130" s="531"/>
      <c r="K130" s="1688">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59" t="s">
        <v>1953</v>
      </c>
      <c r="C133" s="468"/>
      <c r="D133" s="468"/>
      <c r="E133" s="642"/>
      <c r="F133" s="468"/>
      <c r="G133" s="468"/>
      <c r="H133" s="642"/>
      <c r="I133" s="468"/>
      <c r="J133" s="468"/>
      <c r="K133" s="1840">
        <f>SUM(E133,H133)</f>
        <v>0</v>
      </c>
      <c r="L133" s="642"/>
      <c r="M133" s="206"/>
      <c r="N133" s="206"/>
    </row>
    <row r="134" spans="1:14" x14ac:dyDescent="0.2">
      <c r="A134" s="1526" t="s">
        <v>321</v>
      </c>
      <c r="B134" s="615">
        <v>4120</v>
      </c>
      <c r="C134" s="617"/>
      <c r="D134" s="617"/>
      <c r="E134" s="478"/>
      <c r="F134" s="617"/>
      <c r="G134" s="617"/>
      <c r="H134" s="481"/>
      <c r="I134" s="477"/>
      <c r="J134" s="617"/>
      <c r="K134" s="1690">
        <f>SUM(E134,H134)</f>
        <v>0</v>
      </c>
      <c r="L134" s="481"/>
    </row>
    <row r="135" spans="1:14" x14ac:dyDescent="0.2">
      <c r="A135" s="1526" t="s">
        <v>720</v>
      </c>
      <c r="B135" s="615">
        <v>4140</v>
      </c>
      <c r="C135" s="617"/>
      <c r="D135" s="617"/>
      <c r="E135" s="467"/>
      <c r="F135" s="617"/>
      <c r="G135" s="617"/>
      <c r="H135" s="466"/>
      <c r="I135" s="477"/>
      <c r="J135" s="617"/>
      <c r="K135" s="1690">
        <f>SUM(E135,H135)</f>
        <v>0</v>
      </c>
      <c r="L135" s="466"/>
    </row>
    <row r="136" spans="1:14" x14ac:dyDescent="0.2">
      <c r="A136" s="1530" t="s">
        <v>721</v>
      </c>
      <c r="B136" s="629">
        <v>4190</v>
      </c>
      <c r="C136" s="617"/>
      <c r="D136" s="617"/>
      <c r="E136" s="467"/>
      <c r="F136" s="617"/>
      <c r="G136" s="617"/>
      <c r="H136" s="466">
        <v>64989</v>
      </c>
      <c r="I136" s="477"/>
      <c r="J136" s="617"/>
      <c r="K136" s="1690">
        <f>SUM(E136,H136)</f>
        <v>64989</v>
      </c>
      <c r="L136" s="466">
        <v>64989</v>
      </c>
    </row>
    <row r="137" spans="1:14" ht="12.75" customHeight="1" thickBot="1" x14ac:dyDescent="0.25">
      <c r="A137" s="1686" t="s">
        <v>500</v>
      </c>
      <c r="B137" s="1696">
        <v>4100</v>
      </c>
      <c r="C137" s="617"/>
      <c r="D137" s="617"/>
      <c r="E137" s="1688">
        <f>SUM(E133:E136)</f>
        <v>0</v>
      </c>
      <c r="F137" s="617"/>
      <c r="G137" s="617"/>
      <c r="H137" s="1688">
        <f>SUM(H133:H136)</f>
        <v>64989</v>
      </c>
      <c r="I137" s="477"/>
      <c r="J137" s="617"/>
      <c r="K137" s="1688">
        <f>SUM(K133:K136)</f>
        <v>64989</v>
      </c>
      <c r="L137" s="1688">
        <f>SUM(L133:L136)</f>
        <v>64989</v>
      </c>
    </row>
    <row r="138" spans="1:14" ht="12.75" customHeight="1" thickTop="1" thickBot="1" x14ac:dyDescent="0.25">
      <c r="A138" s="1532" t="s">
        <v>98</v>
      </c>
      <c r="B138" s="644" t="s">
        <v>987</v>
      </c>
      <c r="C138" s="617"/>
      <c r="D138" s="617"/>
      <c r="E138" s="479"/>
      <c r="F138" s="617"/>
      <c r="G138" s="617"/>
      <c r="H138" s="576"/>
      <c r="I138" s="477"/>
      <c r="J138" s="617"/>
      <c r="K138" s="1690">
        <f>SUM(E138,H138)</f>
        <v>0</v>
      </c>
      <c r="L138" s="576"/>
    </row>
    <row r="139" spans="1:14" ht="12.75" customHeight="1" thickTop="1" thickBot="1" x14ac:dyDescent="0.25">
      <c r="A139" s="1686" t="s">
        <v>1566</v>
      </c>
      <c r="B139" s="1696">
        <v>4000</v>
      </c>
      <c r="C139" s="617"/>
      <c r="D139" s="617"/>
      <c r="E139" s="1688">
        <f>SUM(E137,E138)</f>
        <v>0</v>
      </c>
      <c r="F139" s="617"/>
      <c r="G139" s="617"/>
      <c r="H139" s="1697">
        <f>SUM(H137:H138)</f>
        <v>64989</v>
      </c>
      <c r="I139" s="477"/>
      <c r="J139" s="617"/>
      <c r="K139" s="1690">
        <f>SUM(K137,K138)</f>
        <v>64989</v>
      </c>
      <c r="L139" s="1697">
        <f>SUM(L137,L138)</f>
        <v>64989</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0">
        <f>SUM(H142)</f>
        <v>0</v>
      </c>
      <c r="L142" s="481"/>
    </row>
    <row r="143" spans="1:14" x14ac:dyDescent="0.2">
      <c r="A143" s="1526" t="s">
        <v>90</v>
      </c>
      <c r="B143" s="615">
        <v>5120</v>
      </c>
      <c r="C143" s="617"/>
      <c r="D143" s="617"/>
      <c r="E143" s="617"/>
      <c r="F143" s="617"/>
      <c r="G143" s="617"/>
      <c r="H143" s="466"/>
      <c r="I143" s="468"/>
      <c r="J143" s="617"/>
      <c r="K143" s="1690">
        <f>SUM(H143)</f>
        <v>0</v>
      </c>
      <c r="L143" s="466"/>
    </row>
    <row r="144" spans="1:14" ht="12.75" customHeight="1" x14ac:dyDescent="0.2">
      <c r="A144" s="1526" t="s">
        <v>1231</v>
      </c>
      <c r="B144" s="629" t="s">
        <v>637</v>
      </c>
      <c r="C144" s="617"/>
      <c r="D144" s="617"/>
      <c r="E144" s="617"/>
      <c r="F144" s="617"/>
      <c r="G144" s="617"/>
      <c r="H144" s="466"/>
      <c r="I144" s="468"/>
      <c r="J144" s="617"/>
      <c r="K144" s="1690">
        <f>SUM(H144)</f>
        <v>0</v>
      </c>
      <c r="L144" s="466"/>
    </row>
    <row r="145" spans="1:14" x14ac:dyDescent="0.2">
      <c r="A145" s="1526" t="s">
        <v>91</v>
      </c>
      <c r="B145" s="615" t="s">
        <v>609</v>
      </c>
      <c r="C145" s="617"/>
      <c r="D145" s="617"/>
      <c r="E145" s="617"/>
      <c r="F145" s="617"/>
      <c r="G145" s="617"/>
      <c r="H145" s="466"/>
      <c r="I145" s="468"/>
      <c r="J145" s="617"/>
      <c r="K145" s="1690">
        <f>SUM(H145)</f>
        <v>0</v>
      </c>
      <c r="L145" s="466"/>
    </row>
    <row r="146" spans="1:14" ht="12.75" customHeight="1" x14ac:dyDescent="0.2">
      <c r="A146" s="1526" t="s">
        <v>639</v>
      </c>
      <c r="B146" s="615" t="s">
        <v>638</v>
      </c>
      <c r="C146" s="617"/>
      <c r="D146" s="617"/>
      <c r="E146" s="617"/>
      <c r="F146" s="617"/>
      <c r="G146" s="617"/>
      <c r="H146" s="466"/>
      <c r="I146" s="468"/>
      <c r="J146" s="617"/>
      <c r="K146" s="1690">
        <f>SUM(H146)</f>
        <v>0</v>
      </c>
      <c r="L146" s="466"/>
    </row>
    <row r="147" spans="1:14" ht="12.75" customHeight="1" thickBot="1" x14ac:dyDescent="0.25">
      <c r="A147" s="1537" t="s">
        <v>646</v>
      </c>
      <c r="B147" s="660" t="s">
        <v>741</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1164</v>
      </c>
      <c r="B148" s="662" t="s">
        <v>38</v>
      </c>
      <c r="C148" s="617"/>
      <c r="D148" s="617"/>
      <c r="E148" s="617"/>
      <c r="F148" s="617"/>
      <c r="G148" s="617"/>
      <c r="H148" s="479"/>
      <c r="I148" s="468"/>
      <c r="J148" s="617"/>
      <c r="K148" s="1690">
        <f>SUM(H148)</f>
        <v>0</v>
      </c>
      <c r="L148" s="492"/>
    </row>
    <row r="149" spans="1:14" ht="12.75" customHeight="1" thickBot="1" x14ac:dyDescent="0.25">
      <c r="A149" s="1529" t="s">
        <v>658</v>
      </c>
      <c r="B149" s="618" t="s">
        <v>512</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6" t="s">
        <v>640</v>
      </c>
      <c r="B151" s="2178"/>
      <c r="C151" s="1688">
        <f>SUM(C129,C130,C139,C149,C150)</f>
        <v>366709</v>
      </c>
      <c r="D151" s="1688">
        <f t="shared" ref="D151:K151" si="16">SUM(D129,D130,D139,D149,D150)</f>
        <v>61630</v>
      </c>
      <c r="E151" s="1688">
        <f t="shared" si="16"/>
        <v>151794</v>
      </c>
      <c r="F151" s="1688">
        <f t="shared" si="16"/>
        <v>283098</v>
      </c>
      <c r="G151" s="1688">
        <f t="shared" si="16"/>
        <v>114628</v>
      </c>
      <c r="H151" s="1688">
        <f t="shared" si="16"/>
        <v>65279</v>
      </c>
      <c r="I151" s="1688">
        <f t="shared" si="16"/>
        <v>3977</v>
      </c>
      <c r="J151" s="1688">
        <f t="shared" si="16"/>
        <v>0</v>
      </c>
      <c r="K151" s="1688">
        <f t="shared" si="16"/>
        <v>1047115</v>
      </c>
      <c r="L151" s="1688">
        <f>SUM(L129,L130,L139,L149,L150)</f>
        <v>1085597</v>
      </c>
    </row>
    <row r="152" spans="1:14" ht="12.75" customHeight="1" thickTop="1" x14ac:dyDescent="0.2">
      <c r="A152" s="2199" t="s">
        <v>1239</v>
      </c>
      <c r="B152" s="2200"/>
      <c r="C152" s="619"/>
      <c r="D152" s="619"/>
      <c r="E152" s="619"/>
      <c r="F152" s="619"/>
      <c r="G152" s="619"/>
      <c r="H152" s="619"/>
      <c r="I152" s="619"/>
      <c r="J152" s="617"/>
      <c r="K152" s="1702">
        <f>'Revenues 9-14'!D275-'Expenditures 15-22'!K151</f>
        <v>6024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641</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0"/>
      <c r="I155" s="617"/>
      <c r="J155" s="617"/>
      <c r="K155" s="1844"/>
      <c r="L155" s="1860"/>
      <c r="M155" s="620"/>
      <c r="N155" s="620"/>
    </row>
    <row r="156" spans="1:14" s="621" customFormat="1" ht="15.75" customHeight="1" thickTop="1" x14ac:dyDescent="0.2">
      <c r="A156" s="1841" t="s">
        <v>1954</v>
      </c>
      <c r="B156" s="1842"/>
      <c r="C156" s="617"/>
      <c r="D156" s="617"/>
      <c r="E156" s="617"/>
      <c r="F156" s="617"/>
      <c r="G156" s="617"/>
      <c r="H156" s="1861"/>
      <c r="I156" s="617"/>
      <c r="J156" s="617"/>
      <c r="K156" s="1843"/>
      <c r="L156" s="1861"/>
      <c r="M156" s="620"/>
      <c r="N156" s="620"/>
    </row>
    <row r="157" spans="1:14" s="621" customFormat="1" ht="12" x14ac:dyDescent="0.2">
      <c r="A157" s="1845" t="s">
        <v>516</v>
      </c>
      <c r="B157" s="1846" t="s">
        <v>1953</v>
      </c>
      <c r="C157" s="617"/>
      <c r="D157" s="617"/>
      <c r="E157" s="617"/>
      <c r="F157" s="617"/>
      <c r="G157" s="617"/>
      <c r="H157" s="642"/>
      <c r="I157" s="617"/>
      <c r="J157" s="617"/>
      <c r="K157" s="1689">
        <f>H157</f>
        <v>0</v>
      </c>
      <c r="L157" s="467"/>
      <c r="M157" s="620"/>
      <c r="N157" s="620"/>
    </row>
    <row r="158" spans="1:14" s="621" customFormat="1" ht="12" x14ac:dyDescent="0.2">
      <c r="A158" s="1845" t="s">
        <v>321</v>
      </c>
      <c r="B158" s="1846" t="s">
        <v>1955</v>
      </c>
      <c r="C158" s="617"/>
      <c r="D158" s="617"/>
      <c r="E158" s="617"/>
      <c r="F158" s="617"/>
      <c r="G158" s="617"/>
      <c r="H158" s="467"/>
      <c r="I158" s="617"/>
      <c r="J158" s="617"/>
      <c r="K158" s="1689">
        <f>H158</f>
        <v>0</v>
      </c>
      <c r="L158" s="467"/>
      <c r="M158" s="620"/>
      <c r="N158" s="620"/>
    </row>
    <row r="159" spans="1:14" s="621" customFormat="1" ht="12" x14ac:dyDescent="0.2">
      <c r="A159" s="1845" t="s">
        <v>1956</v>
      </c>
      <c r="B159" s="1846" t="s">
        <v>578</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1957</v>
      </c>
      <c r="B160" s="1848" t="s">
        <v>914</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89">
        <f>SUM(C163:J163)</f>
        <v>0</v>
      </c>
      <c r="L163" s="466"/>
    </row>
    <row r="164" spans="1:14" x14ac:dyDescent="0.2">
      <c r="A164" s="1526" t="s">
        <v>90</v>
      </c>
      <c r="B164" s="615">
        <v>5120</v>
      </c>
      <c r="C164" s="617"/>
      <c r="D164" s="617"/>
      <c r="E164" s="617"/>
      <c r="F164" s="617"/>
      <c r="G164" s="617"/>
      <c r="H164" s="466"/>
      <c r="I164" s="617"/>
      <c r="J164" s="617"/>
      <c r="K164" s="1689">
        <f>SUM(C164:J164)</f>
        <v>0</v>
      </c>
      <c r="L164" s="466"/>
    </row>
    <row r="165" spans="1:14" ht="12.75" customHeight="1" x14ac:dyDescent="0.2">
      <c r="A165" s="1526" t="s">
        <v>1231</v>
      </c>
      <c r="B165" s="615" t="s">
        <v>637</v>
      </c>
      <c r="C165" s="617"/>
      <c r="D165" s="617"/>
      <c r="E165" s="617"/>
      <c r="F165" s="617"/>
      <c r="G165" s="617"/>
      <c r="H165" s="466"/>
      <c r="I165" s="617"/>
      <c r="J165" s="617"/>
      <c r="K165" s="1689">
        <f>SUM(C165:J165)</f>
        <v>0</v>
      </c>
      <c r="L165" s="466"/>
    </row>
    <row r="166" spans="1:14" x14ac:dyDescent="0.2">
      <c r="A166" s="1526" t="s">
        <v>91</v>
      </c>
      <c r="B166" s="629" t="s">
        <v>609</v>
      </c>
      <c r="C166" s="617"/>
      <c r="D166" s="617"/>
      <c r="E166" s="617"/>
      <c r="F166" s="617"/>
      <c r="G166" s="617"/>
      <c r="H166" s="466"/>
      <c r="I166" s="617"/>
      <c r="J166" s="617"/>
      <c r="K166" s="1689">
        <f>SUM(C166:J166)</f>
        <v>0</v>
      </c>
      <c r="L166" s="466"/>
    </row>
    <row r="167" spans="1:14" ht="12.75" customHeight="1" x14ac:dyDescent="0.2">
      <c r="A167" s="1526" t="s">
        <v>639</v>
      </c>
      <c r="B167" s="615" t="s">
        <v>638</v>
      </c>
      <c r="C167" s="617"/>
      <c r="D167" s="617"/>
      <c r="E167" s="617"/>
      <c r="F167" s="617"/>
      <c r="G167" s="617"/>
      <c r="H167" s="466"/>
      <c r="I167" s="617"/>
      <c r="J167" s="617"/>
      <c r="K167" s="1689">
        <f>SUM(C167:J167)</f>
        <v>0</v>
      </c>
      <c r="L167" s="466"/>
    </row>
    <row r="168" spans="1:14" ht="13.5" thickBot="1" x14ac:dyDescent="0.25">
      <c r="A168" s="1686" t="s">
        <v>293</v>
      </c>
      <c r="B168" s="1693" t="s">
        <v>741</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230603</v>
      </c>
      <c r="I169" s="617"/>
      <c r="J169" s="617"/>
      <c r="K169" s="1689">
        <f>SUM(C169:H169)</f>
        <v>230603</v>
      </c>
      <c r="L169" s="657">
        <v>230713</v>
      </c>
    </row>
    <row r="170" spans="1:14" ht="33.75" customHeight="1" x14ac:dyDescent="0.2">
      <c r="A170" s="670" t="s">
        <v>1768</v>
      </c>
      <c r="B170" s="672" t="s">
        <v>31</v>
      </c>
      <c r="C170" s="617"/>
      <c r="D170" s="617"/>
      <c r="E170" s="617"/>
      <c r="F170" s="617"/>
      <c r="G170" s="617"/>
      <c r="H170" s="569">
        <v>510000</v>
      </c>
      <c r="I170" s="617"/>
      <c r="J170" s="617"/>
      <c r="K170" s="1689">
        <f>SUM(C170:J170)</f>
        <v>510000</v>
      </c>
      <c r="L170" s="569">
        <v>510000</v>
      </c>
    </row>
    <row r="171" spans="1:14" ht="15.75" customHeight="1" x14ac:dyDescent="0.2">
      <c r="A171" s="622" t="s">
        <v>789</v>
      </c>
      <c r="B171" s="673" t="s">
        <v>86</v>
      </c>
      <c r="C171" s="617"/>
      <c r="D171" s="617"/>
      <c r="E171" s="466"/>
      <c r="F171" s="617"/>
      <c r="G171" s="617"/>
      <c r="H171" s="569"/>
      <c r="I171" s="477"/>
      <c r="J171" s="617"/>
      <c r="K171" s="1689">
        <f>SUM(C171:J171)</f>
        <v>0</v>
      </c>
      <c r="L171" s="569"/>
    </row>
    <row r="172" spans="1:14" ht="12.75" customHeight="1" thickBot="1" x14ac:dyDescent="0.25">
      <c r="A172" s="1686" t="s">
        <v>658</v>
      </c>
      <c r="B172" s="1687" t="s">
        <v>512</v>
      </c>
      <c r="C172" s="617"/>
      <c r="D172" s="617"/>
      <c r="E172" s="1695">
        <f>SUM(E168,E169,E170,E171)</f>
        <v>0</v>
      </c>
      <c r="F172" s="617"/>
      <c r="G172" s="617"/>
      <c r="H172" s="1695">
        <f>SUM(H168,H169,H170,H171)</f>
        <v>740603</v>
      </c>
      <c r="I172" s="639"/>
      <c r="J172" s="617"/>
      <c r="K172" s="1695">
        <f>SUM(K168,K169,K170,K171)</f>
        <v>740603</v>
      </c>
      <c r="L172" s="1695">
        <f>SUM(L168,L169,L170,L171)</f>
        <v>740713</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740603</v>
      </c>
      <c r="I174" s="639"/>
      <c r="J174" s="617"/>
      <c r="K174" s="1695">
        <f>SUM(K160,K172,K173)</f>
        <v>740603</v>
      </c>
      <c r="L174" s="1695">
        <f>SUM(L160,L172,L173)</f>
        <v>740713</v>
      </c>
    </row>
    <row r="175" spans="1:14" ht="13.5" thickTop="1" x14ac:dyDescent="0.2">
      <c r="A175" s="2206" t="s">
        <v>1052</v>
      </c>
      <c r="B175" s="2207"/>
      <c r="C175" s="617"/>
      <c r="D175" s="617"/>
      <c r="E175" s="617"/>
      <c r="F175" s="617"/>
      <c r="G175" s="617"/>
      <c r="H175" s="619"/>
      <c r="I175" s="617"/>
      <c r="J175" s="617"/>
      <c r="K175" s="1702">
        <f>'Revenues 9-14'!E275-'Expenditures 15-22'!K174</f>
        <v>1808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89">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791698</v>
      </c>
      <c r="D182" s="466">
        <v>165614</v>
      </c>
      <c r="E182" s="466">
        <v>55556</v>
      </c>
      <c r="F182" s="466">
        <v>222610</v>
      </c>
      <c r="G182" s="466">
        <v>657849</v>
      </c>
      <c r="H182" s="466">
        <v>522</v>
      </c>
      <c r="I182" s="467">
        <v>3600</v>
      </c>
      <c r="J182" s="467"/>
      <c r="K182" s="1689">
        <f>SUM(C182:J182)</f>
        <v>1897449</v>
      </c>
      <c r="L182" s="466">
        <v>1912662</v>
      </c>
    </row>
    <row r="183" spans="1:14" ht="12.75" customHeight="1" thickBot="1" x14ac:dyDescent="0.25">
      <c r="A183" s="1531" t="s">
        <v>1036</v>
      </c>
      <c r="B183" s="678">
        <v>2900</v>
      </c>
      <c r="C183" s="573"/>
      <c r="D183" s="573"/>
      <c r="E183" s="573"/>
      <c r="F183" s="573"/>
      <c r="G183" s="573"/>
      <c r="H183" s="573"/>
      <c r="I183" s="532"/>
      <c r="J183" s="532"/>
      <c r="K183" s="1695">
        <f>SUM(C183:J183)</f>
        <v>0</v>
      </c>
      <c r="L183" s="573"/>
    </row>
    <row r="184" spans="1:14" ht="12.75" customHeight="1" thickTop="1" thickBot="1" x14ac:dyDescent="0.25">
      <c r="A184" s="1709" t="s">
        <v>864</v>
      </c>
      <c r="B184" s="1687" t="s">
        <v>589</v>
      </c>
      <c r="C184" s="1695">
        <f>SUM(C180,C182,C183)</f>
        <v>791698</v>
      </c>
      <c r="D184" s="1695">
        <f t="shared" ref="D184:J184" si="17">SUM(D180,D182,D183)</f>
        <v>165614</v>
      </c>
      <c r="E184" s="1695">
        <f t="shared" si="17"/>
        <v>55556</v>
      </c>
      <c r="F184" s="1695">
        <f t="shared" si="17"/>
        <v>222610</v>
      </c>
      <c r="G184" s="1695">
        <f t="shared" si="17"/>
        <v>657849</v>
      </c>
      <c r="H184" s="1695">
        <f t="shared" si="17"/>
        <v>522</v>
      </c>
      <c r="I184" s="1695">
        <f t="shared" si="17"/>
        <v>3600</v>
      </c>
      <c r="J184" s="1695">
        <f t="shared" si="17"/>
        <v>0</v>
      </c>
      <c r="K184" s="1695">
        <f>SUM(K180,K182,K183)</f>
        <v>1897449</v>
      </c>
      <c r="L184" s="1695">
        <f>SUM(L180, L182:L183)</f>
        <v>1912662</v>
      </c>
    </row>
    <row r="185" spans="1:14" ht="15.75" customHeight="1" thickTop="1" thickBot="1" x14ac:dyDescent="0.25">
      <c r="A185" s="1644" t="s">
        <v>995</v>
      </c>
      <c r="B185" s="1633">
        <v>3000</v>
      </c>
      <c r="C185" s="576"/>
      <c r="D185" s="576"/>
      <c r="E185" s="576"/>
      <c r="F185" s="576"/>
      <c r="G185" s="576"/>
      <c r="H185" s="576"/>
      <c r="I185" s="531"/>
      <c r="J185" s="531"/>
      <c r="K185" s="1688">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89">
        <f t="shared" ref="K188:K193" si="18">SUM(E188,H188)</f>
        <v>0</v>
      </c>
      <c r="L188" s="466"/>
    </row>
    <row r="189" spans="1:14" x14ac:dyDescent="0.2">
      <c r="A189" s="1526" t="s">
        <v>321</v>
      </c>
      <c r="B189" s="615">
        <v>4120</v>
      </c>
      <c r="C189" s="617"/>
      <c r="D189" s="617"/>
      <c r="E189" s="466"/>
      <c r="F189" s="617"/>
      <c r="G189" s="617"/>
      <c r="H189" s="466"/>
      <c r="I189" s="477"/>
      <c r="J189" s="617"/>
      <c r="K189" s="1689">
        <f t="shared" si="18"/>
        <v>0</v>
      </c>
      <c r="L189" s="466"/>
    </row>
    <row r="190" spans="1:14" x14ac:dyDescent="0.2">
      <c r="A190" s="1526" t="s">
        <v>322</v>
      </c>
      <c r="B190" s="629">
        <v>4130</v>
      </c>
      <c r="C190" s="617"/>
      <c r="D190" s="617"/>
      <c r="E190" s="466"/>
      <c r="F190" s="617"/>
      <c r="G190" s="617"/>
      <c r="H190" s="466"/>
      <c r="I190" s="477"/>
      <c r="J190" s="617"/>
      <c r="K190" s="1689">
        <f t="shared" si="18"/>
        <v>0</v>
      </c>
      <c r="L190" s="466"/>
    </row>
    <row r="191" spans="1:14" x14ac:dyDescent="0.2">
      <c r="A191" s="1526" t="s">
        <v>720</v>
      </c>
      <c r="B191" s="615">
        <v>4140</v>
      </c>
      <c r="C191" s="617"/>
      <c r="D191" s="617"/>
      <c r="E191" s="466"/>
      <c r="F191" s="617"/>
      <c r="G191" s="617"/>
      <c r="H191" s="466"/>
      <c r="I191" s="477"/>
      <c r="J191" s="617"/>
      <c r="K191" s="1689">
        <f t="shared" si="18"/>
        <v>0</v>
      </c>
      <c r="L191" s="466"/>
    </row>
    <row r="192" spans="1:14" x14ac:dyDescent="0.2">
      <c r="A192" s="1526" t="s">
        <v>88</v>
      </c>
      <c r="B192" s="615">
        <v>4170</v>
      </c>
      <c r="C192" s="617"/>
      <c r="D192" s="617"/>
      <c r="E192" s="466"/>
      <c r="F192" s="617"/>
      <c r="G192" s="617"/>
      <c r="H192" s="466"/>
      <c r="I192" s="477"/>
      <c r="J192" s="617"/>
      <c r="K192" s="1689">
        <f t="shared" si="18"/>
        <v>0</v>
      </c>
      <c r="L192" s="466"/>
    </row>
    <row r="193" spans="1:14" x14ac:dyDescent="0.2">
      <c r="A193" s="1530" t="s">
        <v>721</v>
      </c>
      <c r="B193" s="629">
        <v>4190</v>
      </c>
      <c r="C193" s="617"/>
      <c r="D193" s="617"/>
      <c r="E193" s="466"/>
      <c r="F193" s="617"/>
      <c r="G193" s="617"/>
      <c r="H193" s="466">
        <v>38766</v>
      </c>
      <c r="I193" s="477"/>
      <c r="J193" s="617"/>
      <c r="K193" s="1689">
        <f t="shared" si="18"/>
        <v>38766</v>
      </c>
      <c r="L193" s="466">
        <v>38766</v>
      </c>
    </row>
    <row r="194" spans="1:14" ht="12.75" customHeight="1" thickBot="1" x14ac:dyDescent="0.25">
      <c r="A194" s="1686" t="s">
        <v>1201</v>
      </c>
      <c r="B194" s="1687" t="s">
        <v>579</v>
      </c>
      <c r="C194" s="617"/>
      <c r="D194" s="617"/>
      <c r="E194" s="1688">
        <f>SUM(E188:E193)</f>
        <v>0</v>
      </c>
      <c r="F194" s="617"/>
      <c r="G194" s="617"/>
      <c r="H194" s="1688">
        <f>SUM(H188:H193)</f>
        <v>38766</v>
      </c>
      <c r="I194" s="477"/>
      <c r="J194" s="617"/>
      <c r="K194" s="1688">
        <f>SUM(K188:K193)</f>
        <v>38766</v>
      </c>
      <c r="L194" s="1688">
        <f>SUM(L188:L193)</f>
        <v>38766</v>
      </c>
    </row>
    <row r="195" spans="1:14" ht="15.75" customHeight="1" thickTop="1" x14ac:dyDescent="0.2">
      <c r="A195" s="670" t="s">
        <v>94</v>
      </c>
      <c r="B195" s="679" t="s">
        <v>987</v>
      </c>
      <c r="C195" s="617"/>
      <c r="D195" s="617"/>
      <c r="E195" s="657"/>
      <c r="F195" s="617"/>
      <c r="G195" s="617"/>
      <c r="H195" s="657"/>
      <c r="I195" s="477"/>
      <c r="J195" s="617"/>
      <c r="K195" s="1703">
        <f>SUM(E195,H195)</f>
        <v>0</v>
      </c>
      <c r="L195" s="657"/>
    </row>
    <row r="196" spans="1:14" ht="12.75" customHeight="1" thickBot="1" x14ac:dyDescent="0.25">
      <c r="A196" s="1686" t="s">
        <v>1566</v>
      </c>
      <c r="B196" s="1687" t="s">
        <v>914</v>
      </c>
      <c r="C196" s="617"/>
      <c r="D196" s="617"/>
      <c r="E196" s="1695">
        <f>SUM(E194,E195)</f>
        <v>0</v>
      </c>
      <c r="F196" s="617"/>
      <c r="G196" s="617"/>
      <c r="H196" s="1695">
        <f>SUM(H194,H195)</f>
        <v>38766</v>
      </c>
      <c r="I196" s="477"/>
      <c r="J196" s="617"/>
      <c r="K196" s="1695">
        <f>SUM(K194,K195)</f>
        <v>38766</v>
      </c>
      <c r="L196" s="1695">
        <f>SUM(L194,L195)</f>
        <v>38766</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89">
        <f>SUM(H199)</f>
        <v>0</v>
      </c>
      <c r="L199" s="466"/>
    </row>
    <row r="200" spans="1:14" x14ac:dyDescent="0.2">
      <c r="A200" s="1526" t="s">
        <v>90</v>
      </c>
      <c r="B200" s="615">
        <v>5120</v>
      </c>
      <c r="C200" s="617"/>
      <c r="D200" s="617"/>
      <c r="E200" s="617"/>
      <c r="F200" s="617"/>
      <c r="G200" s="617"/>
      <c r="H200" s="466"/>
      <c r="I200" s="617"/>
      <c r="J200" s="617"/>
      <c r="K200" s="1689">
        <f>SUM(H200)</f>
        <v>0</v>
      </c>
      <c r="L200" s="466"/>
    </row>
    <row r="201" spans="1:14" ht="12.75" customHeight="1" x14ac:dyDescent="0.2">
      <c r="A201" s="1526" t="s">
        <v>1231</v>
      </c>
      <c r="B201" s="629" t="s">
        <v>637</v>
      </c>
      <c r="C201" s="617"/>
      <c r="D201" s="617"/>
      <c r="E201" s="617"/>
      <c r="F201" s="617"/>
      <c r="G201" s="617"/>
      <c r="H201" s="466"/>
      <c r="I201" s="617"/>
      <c r="J201" s="617"/>
      <c r="K201" s="1689">
        <f>SUM(H201)</f>
        <v>0</v>
      </c>
      <c r="L201" s="466"/>
    </row>
    <row r="202" spans="1:14" x14ac:dyDescent="0.2">
      <c r="A202" s="1526" t="s">
        <v>91</v>
      </c>
      <c r="B202" s="615" t="s">
        <v>609</v>
      </c>
      <c r="C202" s="617"/>
      <c r="D202" s="617"/>
      <c r="E202" s="617"/>
      <c r="F202" s="617"/>
      <c r="G202" s="617"/>
      <c r="H202" s="466"/>
      <c r="I202" s="617"/>
      <c r="J202" s="617"/>
      <c r="K202" s="1689">
        <f>SUM(H202)</f>
        <v>0</v>
      </c>
      <c r="L202" s="466"/>
    </row>
    <row r="203" spans="1:14" x14ac:dyDescent="0.2">
      <c r="A203" s="1538" t="s">
        <v>639</v>
      </c>
      <c r="B203" s="615" t="s">
        <v>638</v>
      </c>
      <c r="C203" s="617"/>
      <c r="D203" s="617"/>
      <c r="E203" s="617"/>
      <c r="F203" s="617"/>
      <c r="G203" s="617"/>
      <c r="H203" s="471"/>
      <c r="I203" s="617"/>
      <c r="J203" s="617"/>
      <c r="K203" s="1689">
        <f>SUM(H203)</f>
        <v>0</v>
      </c>
      <c r="L203" s="471"/>
    </row>
    <row r="204" spans="1:14" ht="13.5" thickBot="1" x14ac:dyDescent="0.25">
      <c r="A204" s="1686" t="s">
        <v>293</v>
      </c>
      <c r="B204" s="1687" t="s">
        <v>741</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1769</v>
      </c>
      <c r="B206" s="673" t="s">
        <v>31</v>
      </c>
      <c r="C206" s="617"/>
      <c r="D206" s="617"/>
      <c r="E206" s="617"/>
      <c r="F206" s="617"/>
      <c r="G206" s="617"/>
      <c r="H206" s="466"/>
      <c r="I206" s="617"/>
      <c r="J206" s="617"/>
      <c r="K206" s="1689">
        <f>SUM(H206)</f>
        <v>0</v>
      </c>
      <c r="L206" s="466"/>
    </row>
    <row r="207" spans="1:14" ht="15.75" customHeight="1" x14ac:dyDescent="0.2">
      <c r="A207" s="622" t="s">
        <v>789</v>
      </c>
      <c r="B207" s="673" t="s">
        <v>86</v>
      </c>
      <c r="C207" s="617"/>
      <c r="D207" s="617"/>
      <c r="E207" s="617"/>
      <c r="F207" s="617"/>
      <c r="G207" s="617"/>
      <c r="H207" s="467"/>
      <c r="I207" s="617"/>
      <c r="J207" s="617"/>
      <c r="K207" s="1689">
        <f>H207</f>
        <v>0</v>
      </c>
      <c r="L207" s="466"/>
    </row>
    <row r="208" spans="1:14" ht="12.75" customHeight="1" thickBot="1" x14ac:dyDescent="0.25">
      <c r="A208" s="1704" t="s">
        <v>658</v>
      </c>
      <c r="B208" s="1705" t="s">
        <v>512</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0" t="s">
        <v>294</v>
      </c>
      <c r="B210" s="1711"/>
      <c r="C210" s="1688">
        <f>SUM(C184,C185)</f>
        <v>791698</v>
      </c>
      <c r="D210" s="1688">
        <f>SUM(D184,D185)</f>
        <v>165614</v>
      </c>
      <c r="E210" s="1688">
        <f>SUM(E184,E185,E196)</f>
        <v>55556</v>
      </c>
      <c r="F210" s="1688">
        <f>SUM(F184,F185)</f>
        <v>222610</v>
      </c>
      <c r="G210" s="1688">
        <f>SUM(G184,G185)</f>
        <v>657849</v>
      </c>
      <c r="H210" s="1688">
        <f>SUM(H184,H185,H196,H208,H209)</f>
        <v>39288</v>
      </c>
      <c r="I210" s="1688">
        <f>SUM(I184,I185)</f>
        <v>3600</v>
      </c>
      <c r="J210" s="1688">
        <f>SUM(J184,J185)</f>
        <v>0</v>
      </c>
      <c r="K210" s="1689">
        <f>SUM(K184,K185,K196,K208,K209)</f>
        <v>1936215</v>
      </c>
      <c r="L210" s="1688">
        <f>SUM(L184,L185,L196,L208,L209)</f>
        <v>1951428</v>
      </c>
    </row>
    <row r="211" spans="1:14" ht="13.5" thickTop="1" x14ac:dyDescent="0.2">
      <c r="A211" s="2206" t="s">
        <v>1052</v>
      </c>
      <c r="B211" s="2207"/>
      <c r="C211" s="619"/>
      <c r="D211" s="619"/>
      <c r="E211" s="619"/>
      <c r="F211" s="619"/>
      <c r="G211" s="619"/>
      <c r="H211" s="619"/>
      <c r="I211" s="617"/>
      <c r="J211" s="617"/>
      <c r="K211" s="1702">
        <f>'Revenues 9-14'!F275-'Expenditures 15-22'!K210</f>
        <v>-410318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1021</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75591</v>
      </c>
      <c r="E215" s="617"/>
      <c r="F215" s="617"/>
      <c r="G215" s="617"/>
      <c r="H215" s="617"/>
      <c r="I215" s="617"/>
      <c r="J215" s="617"/>
      <c r="K215" s="1689">
        <f>D215</f>
        <v>75591</v>
      </c>
      <c r="L215" s="466">
        <v>86840</v>
      </c>
    </row>
    <row r="216" spans="1:14" x14ac:dyDescent="0.2">
      <c r="A216" s="1526" t="s">
        <v>165</v>
      </c>
      <c r="B216" s="615" t="s">
        <v>1023</v>
      </c>
      <c r="C216" s="617"/>
      <c r="D216" s="467">
        <v>4903</v>
      </c>
      <c r="E216" s="617"/>
      <c r="F216" s="617"/>
      <c r="G216" s="617"/>
      <c r="H216" s="617"/>
      <c r="I216" s="617"/>
      <c r="J216" s="617"/>
      <c r="K216" s="1689">
        <f t="shared" ref="K216:K228" si="19">D216</f>
        <v>4903</v>
      </c>
      <c r="L216" s="466">
        <v>6974</v>
      </c>
    </row>
    <row r="217" spans="1:14" x14ac:dyDescent="0.2">
      <c r="A217" s="1526" t="s">
        <v>166</v>
      </c>
      <c r="B217" s="615">
        <v>1200</v>
      </c>
      <c r="C217" s="617"/>
      <c r="D217" s="466">
        <v>62943</v>
      </c>
      <c r="E217" s="617"/>
      <c r="F217" s="617"/>
      <c r="G217" s="617"/>
      <c r="H217" s="617"/>
      <c r="I217" s="617"/>
      <c r="J217" s="617"/>
      <c r="K217" s="1689">
        <f t="shared" si="19"/>
        <v>62943</v>
      </c>
      <c r="L217" s="466">
        <v>76622</v>
      </c>
    </row>
    <row r="218" spans="1:14" x14ac:dyDescent="0.2">
      <c r="A218" s="1526" t="s">
        <v>295</v>
      </c>
      <c r="B218" s="615" t="s">
        <v>1024</v>
      </c>
      <c r="C218" s="617"/>
      <c r="D218" s="467"/>
      <c r="E218" s="617"/>
      <c r="F218" s="617"/>
      <c r="G218" s="617"/>
      <c r="H218" s="617"/>
      <c r="I218" s="617"/>
      <c r="J218" s="617"/>
      <c r="K218" s="1689">
        <f t="shared" si="19"/>
        <v>0</v>
      </c>
      <c r="L218" s="466"/>
    </row>
    <row r="219" spans="1:14" x14ac:dyDescent="0.2">
      <c r="A219" s="1526" t="s">
        <v>296</v>
      </c>
      <c r="B219" s="615">
        <v>1250</v>
      </c>
      <c r="C219" s="617"/>
      <c r="D219" s="466">
        <v>24281</v>
      </c>
      <c r="E219" s="617"/>
      <c r="F219" s="617"/>
      <c r="G219" s="617"/>
      <c r="H219" s="617"/>
      <c r="I219" s="617"/>
      <c r="J219" s="617"/>
      <c r="K219" s="1689">
        <f t="shared" si="19"/>
        <v>24281</v>
      </c>
      <c r="L219" s="466">
        <v>22572</v>
      </c>
    </row>
    <row r="220" spans="1:14" x14ac:dyDescent="0.2">
      <c r="A220" s="1526" t="s">
        <v>297</v>
      </c>
      <c r="B220" s="615" t="s">
        <v>163</v>
      </c>
      <c r="C220" s="617"/>
      <c r="D220" s="467"/>
      <c r="E220" s="617"/>
      <c r="F220" s="617"/>
      <c r="G220" s="617"/>
      <c r="H220" s="617"/>
      <c r="I220" s="617"/>
      <c r="J220" s="617"/>
      <c r="K220" s="1689">
        <f t="shared" si="19"/>
        <v>0</v>
      </c>
      <c r="L220" s="466"/>
    </row>
    <row r="221" spans="1:14" x14ac:dyDescent="0.2">
      <c r="A221" s="1526" t="s">
        <v>1018</v>
      </c>
      <c r="B221" s="615">
        <v>1300</v>
      </c>
      <c r="C221" s="617"/>
      <c r="D221" s="466"/>
      <c r="E221" s="617"/>
      <c r="F221" s="617"/>
      <c r="G221" s="617"/>
      <c r="H221" s="617"/>
      <c r="I221" s="617"/>
      <c r="J221" s="617"/>
      <c r="K221" s="1689">
        <f t="shared" si="19"/>
        <v>0</v>
      </c>
      <c r="L221" s="466"/>
    </row>
    <row r="222" spans="1:14" x14ac:dyDescent="0.2">
      <c r="A222" s="1526" t="s">
        <v>746</v>
      </c>
      <c r="B222" s="615">
        <v>1400</v>
      </c>
      <c r="C222" s="617"/>
      <c r="D222" s="466">
        <v>7667</v>
      </c>
      <c r="E222" s="617"/>
      <c r="F222" s="617"/>
      <c r="G222" s="617"/>
      <c r="H222" s="617"/>
      <c r="I222" s="617"/>
      <c r="J222" s="617"/>
      <c r="K222" s="1689">
        <f t="shared" si="19"/>
        <v>7667</v>
      </c>
      <c r="L222" s="466">
        <v>7728</v>
      </c>
    </row>
    <row r="223" spans="1:14" x14ac:dyDescent="0.2">
      <c r="A223" s="1526" t="s">
        <v>1019</v>
      </c>
      <c r="B223" s="615">
        <v>1500</v>
      </c>
      <c r="C223" s="617"/>
      <c r="D223" s="466">
        <v>4627</v>
      </c>
      <c r="E223" s="617"/>
      <c r="F223" s="617"/>
      <c r="G223" s="617"/>
      <c r="H223" s="617"/>
      <c r="I223" s="617"/>
      <c r="J223" s="617"/>
      <c r="K223" s="1689">
        <f t="shared" si="19"/>
        <v>4627</v>
      </c>
      <c r="L223" s="466">
        <v>4833</v>
      </c>
    </row>
    <row r="224" spans="1:14" x14ac:dyDescent="0.2">
      <c r="A224" s="1526" t="s">
        <v>1020</v>
      </c>
      <c r="B224" s="615">
        <v>1600</v>
      </c>
      <c r="C224" s="617"/>
      <c r="D224" s="466"/>
      <c r="E224" s="617"/>
      <c r="F224" s="617"/>
      <c r="G224" s="617"/>
      <c r="H224" s="617"/>
      <c r="I224" s="617"/>
      <c r="J224" s="617"/>
      <c r="K224" s="1689">
        <f t="shared" si="19"/>
        <v>0</v>
      </c>
      <c r="L224" s="466">
        <v>81</v>
      </c>
    </row>
    <row r="225" spans="1:12" x14ac:dyDescent="0.2">
      <c r="A225" s="1526" t="s">
        <v>1043</v>
      </c>
      <c r="B225" s="615">
        <v>1650</v>
      </c>
      <c r="C225" s="617"/>
      <c r="D225" s="466"/>
      <c r="E225" s="617"/>
      <c r="F225" s="617"/>
      <c r="G225" s="617"/>
      <c r="H225" s="617"/>
      <c r="I225" s="617"/>
      <c r="J225" s="617"/>
      <c r="K225" s="1689">
        <f t="shared" si="19"/>
        <v>0</v>
      </c>
      <c r="L225" s="466"/>
    </row>
    <row r="226" spans="1:12" x14ac:dyDescent="0.2">
      <c r="A226" s="1526" t="s">
        <v>747</v>
      </c>
      <c r="B226" s="615" t="s">
        <v>164</v>
      </c>
      <c r="C226" s="617"/>
      <c r="D226" s="467">
        <v>714</v>
      </c>
      <c r="E226" s="617"/>
      <c r="F226" s="617"/>
      <c r="G226" s="617"/>
      <c r="H226" s="617"/>
      <c r="I226" s="617"/>
      <c r="J226" s="617"/>
      <c r="K226" s="1689">
        <f t="shared" si="19"/>
        <v>714</v>
      </c>
      <c r="L226" s="466">
        <v>675</v>
      </c>
    </row>
    <row r="227" spans="1:12" x14ac:dyDescent="0.2">
      <c r="A227" s="1526" t="s">
        <v>1147</v>
      </c>
      <c r="B227" s="615">
        <v>1800</v>
      </c>
      <c r="C227" s="617"/>
      <c r="D227" s="466"/>
      <c r="E227" s="617"/>
      <c r="F227" s="617"/>
      <c r="G227" s="617"/>
      <c r="H227" s="617"/>
      <c r="I227" s="617"/>
      <c r="J227" s="617"/>
      <c r="K227" s="1689">
        <f t="shared" si="19"/>
        <v>0</v>
      </c>
      <c r="L227" s="466"/>
    </row>
    <row r="228" spans="1:12" x14ac:dyDescent="0.2">
      <c r="A228" s="1526" t="s">
        <v>1148</v>
      </c>
      <c r="B228" s="615">
        <v>1900</v>
      </c>
      <c r="C228" s="617"/>
      <c r="D228" s="466"/>
      <c r="E228" s="617"/>
      <c r="F228" s="617"/>
      <c r="G228" s="617"/>
      <c r="H228" s="617"/>
      <c r="I228" s="617"/>
      <c r="J228" s="617"/>
      <c r="K228" s="1689">
        <f t="shared" si="19"/>
        <v>0</v>
      </c>
      <c r="L228" s="466"/>
    </row>
    <row r="229" spans="1:12" ht="12.75" customHeight="1" thickBot="1" x14ac:dyDescent="0.25">
      <c r="A229" s="1686" t="s">
        <v>738</v>
      </c>
      <c r="B229" s="1693" t="s">
        <v>590</v>
      </c>
      <c r="C229" s="617"/>
      <c r="D229" s="1688">
        <f>SUM(D215:D228)</f>
        <v>180726</v>
      </c>
      <c r="E229" s="617"/>
      <c r="F229" s="617"/>
      <c r="G229" s="617"/>
      <c r="H229" s="617"/>
      <c r="I229" s="617"/>
      <c r="J229" s="617"/>
      <c r="K229" s="1688">
        <f>SUM(K215:K228)</f>
        <v>180726</v>
      </c>
      <c r="L229" s="1688">
        <f>SUM(L215:L228)</f>
        <v>206325</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540</v>
      </c>
      <c r="E232" s="617"/>
      <c r="F232" s="617"/>
      <c r="G232" s="617"/>
      <c r="H232" s="617"/>
      <c r="I232" s="617"/>
      <c r="J232" s="617"/>
      <c r="K232" s="1689">
        <f t="shared" ref="K232:K237" si="20">D232</f>
        <v>540</v>
      </c>
      <c r="L232" s="466">
        <v>639</v>
      </c>
    </row>
    <row r="233" spans="1:12" x14ac:dyDescent="0.2">
      <c r="A233" s="1526" t="s">
        <v>1150</v>
      </c>
      <c r="B233" s="615">
        <v>2120</v>
      </c>
      <c r="C233" s="617"/>
      <c r="D233" s="466">
        <v>1151</v>
      </c>
      <c r="E233" s="617"/>
      <c r="F233" s="617"/>
      <c r="G233" s="617"/>
      <c r="H233" s="617"/>
      <c r="I233" s="617"/>
      <c r="J233" s="617"/>
      <c r="K233" s="1689">
        <f t="shared" si="20"/>
        <v>1151</v>
      </c>
      <c r="L233" s="466">
        <v>1244</v>
      </c>
    </row>
    <row r="234" spans="1:12" x14ac:dyDescent="0.2">
      <c r="A234" s="1526" t="s">
        <v>207</v>
      </c>
      <c r="B234" s="615">
        <v>2130</v>
      </c>
      <c r="C234" s="617"/>
      <c r="D234" s="466">
        <v>14740</v>
      </c>
      <c r="E234" s="617"/>
      <c r="F234" s="617"/>
      <c r="G234" s="617"/>
      <c r="H234" s="617"/>
      <c r="I234" s="617"/>
      <c r="J234" s="617"/>
      <c r="K234" s="1689">
        <f t="shared" si="20"/>
        <v>14740</v>
      </c>
      <c r="L234" s="466">
        <v>16947</v>
      </c>
    </row>
    <row r="235" spans="1:12" x14ac:dyDescent="0.2">
      <c r="A235" s="1526" t="s">
        <v>208</v>
      </c>
      <c r="B235" s="615">
        <v>2140</v>
      </c>
      <c r="C235" s="617"/>
      <c r="D235" s="466"/>
      <c r="E235" s="617"/>
      <c r="F235" s="617"/>
      <c r="G235" s="617"/>
      <c r="H235" s="617"/>
      <c r="I235" s="617"/>
      <c r="J235" s="617"/>
      <c r="K235" s="1689">
        <f t="shared" si="20"/>
        <v>0</v>
      </c>
      <c r="L235" s="466"/>
    </row>
    <row r="236" spans="1:12" x14ac:dyDescent="0.2">
      <c r="A236" s="1526" t="s">
        <v>209</v>
      </c>
      <c r="B236" s="615">
        <v>2150</v>
      </c>
      <c r="C236" s="617"/>
      <c r="D236" s="466">
        <v>1903</v>
      </c>
      <c r="E236" s="617"/>
      <c r="F236" s="617"/>
      <c r="G236" s="617"/>
      <c r="H236" s="617"/>
      <c r="I236" s="617"/>
      <c r="J236" s="617"/>
      <c r="K236" s="1689">
        <f t="shared" si="20"/>
        <v>1903</v>
      </c>
      <c r="L236" s="466">
        <v>2349</v>
      </c>
    </row>
    <row r="237" spans="1:12" x14ac:dyDescent="0.2">
      <c r="A237" s="1526" t="s">
        <v>167</v>
      </c>
      <c r="B237" s="615">
        <v>2190</v>
      </c>
      <c r="C237" s="617"/>
      <c r="D237" s="466">
        <v>4774</v>
      </c>
      <c r="E237" s="617"/>
      <c r="F237" s="617"/>
      <c r="G237" s="617"/>
      <c r="H237" s="617"/>
      <c r="I237" s="617"/>
      <c r="J237" s="617"/>
      <c r="K237" s="1689">
        <f t="shared" si="20"/>
        <v>4774</v>
      </c>
      <c r="L237" s="466">
        <v>4617</v>
      </c>
    </row>
    <row r="238" spans="1:12" ht="12.75" customHeight="1" thickBot="1" x14ac:dyDescent="0.25">
      <c r="A238" s="1686" t="s">
        <v>580</v>
      </c>
      <c r="B238" s="1693" t="s">
        <v>739</v>
      </c>
      <c r="C238" s="617"/>
      <c r="D238" s="1688">
        <f>SUM(D232:D237)</f>
        <v>23108</v>
      </c>
      <c r="E238" s="617"/>
      <c r="F238" s="617"/>
      <c r="G238" s="617"/>
      <c r="H238" s="617"/>
      <c r="I238" s="617"/>
      <c r="J238" s="617"/>
      <c r="K238" s="1688">
        <f>SUM(K232:K237)</f>
        <v>23108</v>
      </c>
      <c r="L238" s="1688">
        <f>SUM(L232:L237)</f>
        <v>25796</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208</v>
      </c>
      <c r="E240" s="617"/>
      <c r="F240" s="617"/>
      <c r="G240" s="617"/>
      <c r="H240" s="617"/>
      <c r="I240" s="617"/>
      <c r="J240" s="617"/>
      <c r="K240" s="1690">
        <f>D240</f>
        <v>208</v>
      </c>
      <c r="L240" s="481">
        <v>384</v>
      </c>
    </row>
    <row r="241" spans="1:12" x14ac:dyDescent="0.2">
      <c r="A241" s="1526" t="s">
        <v>868</v>
      </c>
      <c r="B241" s="615">
        <v>2220</v>
      </c>
      <c r="C241" s="617"/>
      <c r="D241" s="466">
        <v>26220</v>
      </c>
      <c r="E241" s="617"/>
      <c r="F241" s="617"/>
      <c r="G241" s="617"/>
      <c r="H241" s="617"/>
      <c r="I241" s="617"/>
      <c r="J241" s="617"/>
      <c r="K241" s="1690">
        <f>D241</f>
        <v>26220</v>
      </c>
      <c r="L241" s="466">
        <v>33172</v>
      </c>
    </row>
    <row r="242" spans="1:12" x14ac:dyDescent="0.2">
      <c r="A242" s="1526" t="s">
        <v>869</v>
      </c>
      <c r="B242" s="615">
        <v>2230</v>
      </c>
      <c r="C242" s="617"/>
      <c r="D242" s="466"/>
      <c r="E242" s="617"/>
      <c r="F242" s="617"/>
      <c r="G242" s="617"/>
      <c r="H242" s="617"/>
      <c r="I242" s="617"/>
      <c r="J242" s="617"/>
      <c r="K242" s="1690">
        <f>D242</f>
        <v>0</v>
      </c>
      <c r="L242" s="466"/>
    </row>
    <row r="243" spans="1:12" ht="12.75" customHeight="1" thickBot="1" x14ac:dyDescent="0.25">
      <c r="A243" s="1712" t="s">
        <v>581</v>
      </c>
      <c r="B243" s="1713">
        <v>2200</v>
      </c>
      <c r="C243" s="617"/>
      <c r="D243" s="1688">
        <f>SUM(D240:D242)</f>
        <v>26428</v>
      </c>
      <c r="E243" s="617"/>
      <c r="F243" s="617"/>
      <c r="G243" s="617"/>
      <c r="H243" s="617"/>
      <c r="I243" s="617"/>
      <c r="J243" s="617"/>
      <c r="K243" s="1688">
        <f>SUM(K240:K242)</f>
        <v>26428</v>
      </c>
      <c r="L243" s="1688">
        <f>SUM(L240:L242)</f>
        <v>33556</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0">
        <f>D245</f>
        <v>0</v>
      </c>
      <c r="L245" s="481"/>
    </row>
    <row r="246" spans="1:12" x14ac:dyDescent="0.2">
      <c r="A246" s="1526" t="s">
        <v>871</v>
      </c>
      <c r="B246" s="615">
        <v>2320</v>
      </c>
      <c r="C246" s="617"/>
      <c r="D246" s="466">
        <v>16528</v>
      </c>
      <c r="E246" s="617"/>
      <c r="F246" s="617"/>
      <c r="G246" s="617"/>
      <c r="H246" s="617"/>
      <c r="I246" s="617"/>
      <c r="J246" s="617"/>
      <c r="K246" s="1690">
        <f t="shared" ref="K246:K256" si="21">D246</f>
        <v>16528</v>
      </c>
      <c r="L246" s="466">
        <v>16565</v>
      </c>
    </row>
    <row r="247" spans="1:12" x14ac:dyDescent="0.2">
      <c r="A247" s="1526" t="s">
        <v>872</v>
      </c>
      <c r="B247" s="615">
        <v>2330</v>
      </c>
      <c r="C247" s="617"/>
      <c r="D247" s="466">
        <v>8308</v>
      </c>
      <c r="E247" s="617"/>
      <c r="F247" s="617"/>
      <c r="G247" s="617"/>
      <c r="H247" s="617"/>
      <c r="I247" s="617"/>
      <c r="J247" s="617"/>
      <c r="K247" s="1690">
        <f t="shared" si="21"/>
        <v>8308</v>
      </c>
      <c r="L247" s="466">
        <v>8871</v>
      </c>
    </row>
    <row r="248" spans="1:12" x14ac:dyDescent="0.2">
      <c r="A248" s="1527" t="s">
        <v>316</v>
      </c>
      <c r="B248" s="603" t="s">
        <v>298</v>
      </c>
      <c r="C248" s="617"/>
      <c r="D248" s="474"/>
      <c r="E248" s="617"/>
      <c r="F248" s="617"/>
      <c r="G248" s="617"/>
      <c r="H248" s="617"/>
      <c r="I248" s="617"/>
      <c r="J248" s="617"/>
      <c r="K248" s="1690">
        <f t="shared" si="21"/>
        <v>0</v>
      </c>
      <c r="L248" s="466"/>
    </row>
    <row r="249" spans="1:12" x14ac:dyDescent="0.2">
      <c r="A249" s="1528" t="s">
        <v>1904</v>
      </c>
      <c r="B249" s="684" t="s">
        <v>299</v>
      </c>
      <c r="C249" s="617"/>
      <c r="D249" s="474"/>
      <c r="E249" s="617"/>
      <c r="F249" s="617"/>
      <c r="G249" s="617"/>
      <c r="H249" s="617"/>
      <c r="I249" s="617"/>
      <c r="J249" s="617"/>
      <c r="K249" s="1690">
        <f t="shared" si="21"/>
        <v>0</v>
      </c>
      <c r="L249" s="466"/>
    </row>
    <row r="250" spans="1:12" x14ac:dyDescent="0.2">
      <c r="A250" s="1527" t="s">
        <v>1905</v>
      </c>
      <c r="B250" s="603" t="s">
        <v>300</v>
      </c>
      <c r="C250" s="617"/>
      <c r="D250" s="474"/>
      <c r="E250" s="617"/>
      <c r="F250" s="617"/>
      <c r="G250" s="617"/>
      <c r="H250" s="617"/>
      <c r="I250" s="617"/>
      <c r="J250" s="617"/>
      <c r="K250" s="1690">
        <f t="shared" si="21"/>
        <v>0</v>
      </c>
      <c r="L250" s="466"/>
    </row>
    <row r="251" spans="1:12" x14ac:dyDescent="0.2">
      <c r="A251" s="1527" t="s">
        <v>256</v>
      </c>
      <c r="B251" s="603" t="s">
        <v>301</v>
      </c>
      <c r="C251" s="617"/>
      <c r="D251" s="474"/>
      <c r="E251" s="617"/>
      <c r="F251" s="617"/>
      <c r="G251" s="617"/>
      <c r="H251" s="617"/>
      <c r="I251" s="617"/>
      <c r="J251" s="617"/>
      <c r="K251" s="1690">
        <f t="shared" si="21"/>
        <v>0</v>
      </c>
      <c r="L251" s="466"/>
    </row>
    <row r="252" spans="1:12" x14ac:dyDescent="0.2">
      <c r="A252" s="1527" t="s">
        <v>725</v>
      </c>
      <c r="B252" s="603" t="s">
        <v>302</v>
      </c>
      <c r="C252" s="617"/>
      <c r="D252" s="474"/>
      <c r="E252" s="617"/>
      <c r="F252" s="617"/>
      <c r="G252" s="617"/>
      <c r="H252" s="617"/>
      <c r="I252" s="617"/>
      <c r="J252" s="617"/>
      <c r="K252" s="1690">
        <f t="shared" si="21"/>
        <v>0</v>
      </c>
      <c r="L252" s="466"/>
    </row>
    <row r="253" spans="1:12" x14ac:dyDescent="0.2">
      <c r="A253" s="1527" t="s">
        <v>257</v>
      </c>
      <c r="B253" s="603" t="s">
        <v>303</v>
      </c>
      <c r="C253" s="617"/>
      <c r="D253" s="474"/>
      <c r="E253" s="617"/>
      <c r="F253" s="617"/>
      <c r="G253" s="617"/>
      <c r="H253" s="617"/>
      <c r="I253" s="617"/>
      <c r="J253" s="617"/>
      <c r="K253" s="1690">
        <f t="shared" si="21"/>
        <v>0</v>
      </c>
      <c r="L253" s="466"/>
    </row>
    <row r="254" spans="1:12" ht="22.5" x14ac:dyDescent="0.2">
      <c r="A254" s="1527" t="s">
        <v>1086</v>
      </c>
      <c r="B254" s="684" t="s">
        <v>304</v>
      </c>
      <c r="C254" s="617"/>
      <c r="D254" s="474"/>
      <c r="E254" s="617"/>
      <c r="F254" s="617"/>
      <c r="G254" s="617"/>
      <c r="H254" s="617"/>
      <c r="I254" s="617"/>
      <c r="J254" s="617"/>
      <c r="K254" s="1690">
        <f t="shared" si="21"/>
        <v>0</v>
      </c>
      <c r="L254" s="466"/>
    </row>
    <row r="255" spans="1:12" x14ac:dyDescent="0.2">
      <c r="A255" s="1527" t="s">
        <v>1087</v>
      </c>
      <c r="B255" s="603" t="s">
        <v>305</v>
      </c>
      <c r="C255" s="617"/>
      <c r="D255" s="474"/>
      <c r="E255" s="617"/>
      <c r="F255" s="617"/>
      <c r="G255" s="617"/>
      <c r="H255" s="617"/>
      <c r="I255" s="617"/>
      <c r="J255" s="617"/>
      <c r="K255" s="1690">
        <f t="shared" si="21"/>
        <v>0</v>
      </c>
      <c r="L255" s="466"/>
    </row>
    <row r="256" spans="1:12" x14ac:dyDescent="0.2">
      <c r="A256" s="1527" t="s">
        <v>1027</v>
      </c>
      <c r="B256" s="615" t="s">
        <v>306</v>
      </c>
      <c r="C256" s="617"/>
      <c r="D256" s="474"/>
      <c r="E256" s="617"/>
      <c r="F256" s="617"/>
      <c r="G256" s="617"/>
      <c r="H256" s="617"/>
      <c r="I256" s="617"/>
      <c r="J256" s="617"/>
      <c r="K256" s="1690">
        <f t="shared" si="21"/>
        <v>0</v>
      </c>
      <c r="L256" s="466"/>
    </row>
    <row r="257" spans="1:14" ht="12.75" customHeight="1" thickBot="1" x14ac:dyDescent="0.25">
      <c r="A257" s="1686" t="s">
        <v>740</v>
      </c>
      <c r="B257" s="1714">
        <v>2300</v>
      </c>
      <c r="C257" s="617"/>
      <c r="D257" s="1688">
        <f>SUM(D245:D256)</f>
        <v>24836</v>
      </c>
      <c r="E257" s="617"/>
      <c r="F257" s="617"/>
      <c r="G257" s="617"/>
      <c r="H257" s="617"/>
      <c r="I257" s="617"/>
      <c r="J257" s="617"/>
      <c r="K257" s="1688">
        <f>SUM(K245:K256)</f>
        <v>24836</v>
      </c>
      <c r="L257" s="1688">
        <f>SUM(L245:L256)</f>
        <v>25436</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53318</v>
      </c>
      <c r="E259" s="617"/>
      <c r="F259" s="617"/>
      <c r="G259" s="617"/>
      <c r="H259" s="617"/>
      <c r="I259" s="617"/>
      <c r="J259" s="617"/>
      <c r="K259" s="1690">
        <f>D259</f>
        <v>53318</v>
      </c>
      <c r="L259" s="481">
        <v>58101</v>
      </c>
    </row>
    <row r="260" spans="1:14" s="598" customFormat="1" x14ac:dyDescent="0.2">
      <c r="A260" s="1544" t="s">
        <v>1903</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53318</v>
      </c>
      <c r="E261" s="617"/>
      <c r="F261" s="617"/>
      <c r="G261" s="617"/>
      <c r="H261" s="617"/>
      <c r="I261" s="617"/>
      <c r="J261" s="617"/>
      <c r="K261" s="1688">
        <f>SUM(K259:K260)</f>
        <v>53318</v>
      </c>
      <c r="L261" s="1688">
        <f>SUM(L259:L260)</f>
        <v>58101</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0">
        <f>D263</f>
        <v>0</v>
      </c>
      <c r="L263" s="481"/>
    </row>
    <row r="264" spans="1:14" x14ac:dyDescent="0.2">
      <c r="A264" s="1526" t="s">
        <v>482</v>
      </c>
      <c r="B264" s="686">
        <v>2520</v>
      </c>
      <c r="C264" s="617"/>
      <c r="D264" s="466">
        <v>14284</v>
      </c>
      <c r="E264" s="617"/>
      <c r="F264" s="617"/>
      <c r="G264" s="617"/>
      <c r="H264" s="617"/>
      <c r="I264" s="617"/>
      <c r="J264" s="617"/>
      <c r="K264" s="1690">
        <f t="shared" ref="K264:K269" si="22">D264</f>
        <v>14284</v>
      </c>
      <c r="L264" s="466">
        <v>14366</v>
      </c>
    </row>
    <row r="265" spans="1:14" x14ac:dyDescent="0.2">
      <c r="A265" s="1526" t="s">
        <v>4</v>
      </c>
      <c r="B265" s="615">
        <v>2530</v>
      </c>
      <c r="C265" s="617"/>
      <c r="D265" s="466"/>
      <c r="E265" s="617"/>
      <c r="F265" s="617"/>
      <c r="G265" s="617"/>
      <c r="H265" s="617"/>
      <c r="I265" s="617"/>
      <c r="J265" s="617"/>
      <c r="K265" s="1690">
        <f t="shared" si="22"/>
        <v>0</v>
      </c>
      <c r="L265" s="466"/>
    </row>
    <row r="266" spans="1:14" x14ac:dyDescent="0.2">
      <c r="A266" s="1526" t="s">
        <v>206</v>
      </c>
      <c r="B266" s="615">
        <v>2540</v>
      </c>
      <c r="C266" s="617"/>
      <c r="D266" s="466">
        <v>114583</v>
      </c>
      <c r="E266" s="617"/>
      <c r="F266" s="617"/>
      <c r="G266" s="617"/>
      <c r="H266" s="617"/>
      <c r="I266" s="617"/>
      <c r="J266" s="617"/>
      <c r="K266" s="1690">
        <f t="shared" si="22"/>
        <v>114583</v>
      </c>
      <c r="L266" s="466">
        <v>124872</v>
      </c>
    </row>
    <row r="267" spans="1:14" x14ac:dyDescent="0.2">
      <c r="A267" s="1526" t="s">
        <v>1009</v>
      </c>
      <c r="B267" s="615">
        <v>2550</v>
      </c>
      <c r="C267" s="617"/>
      <c r="D267" s="466">
        <v>217035</v>
      </c>
      <c r="E267" s="617"/>
      <c r="F267" s="617"/>
      <c r="G267" s="617"/>
      <c r="H267" s="617"/>
      <c r="I267" s="617"/>
      <c r="J267" s="617"/>
      <c r="K267" s="1690">
        <f t="shared" si="22"/>
        <v>217035</v>
      </c>
      <c r="L267" s="466">
        <v>232254</v>
      </c>
    </row>
    <row r="268" spans="1:14" x14ac:dyDescent="0.2">
      <c r="A268" s="1526" t="s">
        <v>102</v>
      </c>
      <c r="B268" s="615">
        <v>2560</v>
      </c>
      <c r="C268" s="617"/>
      <c r="D268" s="466">
        <v>48537</v>
      </c>
      <c r="E268" s="617"/>
      <c r="F268" s="617"/>
      <c r="G268" s="617"/>
      <c r="H268" s="617"/>
      <c r="I268" s="617"/>
      <c r="J268" s="617"/>
      <c r="K268" s="1690">
        <f t="shared" si="22"/>
        <v>48537</v>
      </c>
      <c r="L268" s="466">
        <v>49151</v>
      </c>
    </row>
    <row r="269" spans="1:14" x14ac:dyDescent="0.2">
      <c r="A269" s="1526" t="s">
        <v>103</v>
      </c>
      <c r="B269" s="615">
        <v>2570</v>
      </c>
      <c r="C269" s="617"/>
      <c r="D269" s="466"/>
      <c r="E269" s="617"/>
      <c r="F269" s="617"/>
      <c r="G269" s="617"/>
      <c r="H269" s="617"/>
      <c r="I269" s="617"/>
      <c r="J269" s="617"/>
      <c r="K269" s="1690">
        <f t="shared" si="22"/>
        <v>0</v>
      </c>
      <c r="L269" s="466"/>
    </row>
    <row r="270" spans="1:14" ht="12.75" customHeight="1" thickBot="1" x14ac:dyDescent="0.25">
      <c r="A270" s="1686" t="s">
        <v>742</v>
      </c>
      <c r="B270" s="1693" t="s">
        <v>35</v>
      </c>
      <c r="C270" s="617"/>
      <c r="D270" s="1688">
        <f>SUM(D263:D269)</f>
        <v>394439</v>
      </c>
      <c r="E270" s="617"/>
      <c r="F270" s="617"/>
      <c r="G270" s="617"/>
      <c r="H270" s="617"/>
      <c r="I270" s="617"/>
      <c r="J270" s="617"/>
      <c r="K270" s="1688">
        <f>SUM(K263:K269)</f>
        <v>394439</v>
      </c>
      <c r="L270" s="1688">
        <f>SUM(L263:L269)</f>
        <v>420643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0">
        <f>D272</f>
        <v>0</v>
      </c>
      <c r="L272" s="481"/>
    </row>
    <row r="273" spans="1:12" x14ac:dyDescent="0.2">
      <c r="A273" s="1526" t="s">
        <v>627</v>
      </c>
      <c r="B273" s="629">
        <v>2620</v>
      </c>
      <c r="C273" s="617"/>
      <c r="D273" s="466"/>
      <c r="E273" s="617"/>
      <c r="F273" s="617"/>
      <c r="G273" s="617"/>
      <c r="H273" s="617"/>
      <c r="I273" s="617"/>
      <c r="J273" s="617"/>
      <c r="K273" s="1690">
        <f>D273</f>
        <v>0</v>
      </c>
      <c r="L273" s="466"/>
    </row>
    <row r="274" spans="1:12" ht="12" customHeight="1" x14ac:dyDescent="0.2">
      <c r="A274" s="1526" t="s">
        <v>1120</v>
      </c>
      <c r="B274" s="615">
        <v>2630</v>
      </c>
      <c r="C274" s="617"/>
      <c r="D274" s="466"/>
      <c r="E274" s="617"/>
      <c r="F274" s="617"/>
      <c r="G274" s="617"/>
      <c r="H274" s="617"/>
      <c r="I274" s="617"/>
      <c r="J274" s="617"/>
      <c r="K274" s="1690">
        <f>D274</f>
        <v>0</v>
      </c>
      <c r="L274" s="466"/>
    </row>
    <row r="275" spans="1:12" x14ac:dyDescent="0.2">
      <c r="A275" s="1526" t="s">
        <v>422</v>
      </c>
      <c r="B275" s="615">
        <v>2640</v>
      </c>
      <c r="C275" s="617"/>
      <c r="D275" s="466"/>
      <c r="E275" s="617"/>
      <c r="F275" s="617"/>
      <c r="G275" s="617"/>
      <c r="H275" s="617"/>
      <c r="I275" s="617"/>
      <c r="J275" s="617"/>
      <c r="K275" s="1690">
        <f>D275</f>
        <v>0</v>
      </c>
      <c r="L275" s="466"/>
    </row>
    <row r="276" spans="1:12" x14ac:dyDescent="0.2">
      <c r="A276" s="1526" t="s">
        <v>423</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2" t="s">
        <v>1036</v>
      </c>
      <c r="B278" s="656" t="s">
        <v>594</v>
      </c>
      <c r="C278" s="617"/>
      <c r="D278" s="657"/>
      <c r="E278" s="617"/>
      <c r="F278" s="617"/>
      <c r="G278" s="617"/>
      <c r="H278" s="617"/>
      <c r="I278" s="617"/>
      <c r="J278" s="617"/>
      <c r="K278" s="1703">
        <f>D278</f>
        <v>0</v>
      </c>
      <c r="L278" s="657"/>
    </row>
    <row r="279" spans="1:12" ht="12.75" customHeight="1" thickBot="1" x14ac:dyDescent="0.25">
      <c r="A279" s="1716" t="s">
        <v>864</v>
      </c>
      <c r="B279" s="1699">
        <v>2000</v>
      </c>
      <c r="C279" s="617"/>
      <c r="D279" s="1695">
        <f>SUM(D238,D243,D257,D261,D270,D277,D278)</f>
        <v>522129</v>
      </c>
      <c r="E279" s="617"/>
      <c r="F279" s="617"/>
      <c r="G279" s="617"/>
      <c r="H279" s="617"/>
      <c r="I279" s="617"/>
      <c r="J279" s="617"/>
      <c r="K279" s="1695">
        <f>SUM(K238,K243,K257,K261,K270,K277,K278)</f>
        <v>522129</v>
      </c>
      <c r="L279" s="1695">
        <f>SUM(L238,L243,L257,L261,L270,L277,L278)</f>
        <v>563532</v>
      </c>
    </row>
    <row r="280" spans="1:12" ht="15.75" customHeight="1" thickTop="1" thickBot="1" x14ac:dyDescent="0.25">
      <c r="A280" s="1646" t="s">
        <v>929</v>
      </c>
      <c r="B280" s="1635">
        <v>3000</v>
      </c>
      <c r="C280" s="617"/>
      <c r="D280" s="576">
        <v>335</v>
      </c>
      <c r="E280" s="617"/>
      <c r="F280" s="617"/>
      <c r="G280" s="617"/>
      <c r="H280" s="617"/>
      <c r="I280" s="617"/>
      <c r="J280" s="617"/>
      <c r="K280" s="1697">
        <f>D280</f>
        <v>335</v>
      </c>
      <c r="L280" s="576">
        <v>256</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49" t="s">
        <v>516</v>
      </c>
      <c r="B282" s="691" t="s">
        <v>1953</v>
      </c>
      <c r="C282" s="617"/>
      <c r="D282" s="467"/>
      <c r="E282" s="617"/>
      <c r="F282" s="617"/>
      <c r="G282" s="617"/>
      <c r="H282" s="617"/>
      <c r="I282" s="617"/>
      <c r="J282" s="617"/>
      <c r="K282" s="1689">
        <f>D282</f>
        <v>0</v>
      </c>
      <c r="L282" s="467"/>
    </row>
    <row r="283" spans="1:12" x14ac:dyDescent="0.2">
      <c r="A283" s="1526" t="s">
        <v>321</v>
      </c>
      <c r="B283" s="615">
        <v>4120</v>
      </c>
      <c r="C283" s="617"/>
      <c r="D283" s="466">
        <v>7348</v>
      </c>
      <c r="E283" s="617"/>
      <c r="F283" s="617"/>
      <c r="G283" s="617"/>
      <c r="H283" s="617"/>
      <c r="I283" s="617"/>
      <c r="J283" s="617"/>
      <c r="K283" s="1689">
        <f>D283</f>
        <v>7348</v>
      </c>
      <c r="L283" s="466">
        <v>7349</v>
      </c>
    </row>
    <row r="284" spans="1:12" x14ac:dyDescent="0.2">
      <c r="A284" s="1526" t="s">
        <v>720</v>
      </c>
      <c r="B284" s="615">
        <v>4140</v>
      </c>
      <c r="C284" s="617"/>
      <c r="D284" s="467"/>
      <c r="E284" s="617"/>
      <c r="F284" s="617"/>
      <c r="G284" s="617"/>
      <c r="H284" s="617"/>
      <c r="I284" s="617"/>
      <c r="J284" s="617"/>
      <c r="K284" s="1689">
        <f>D284</f>
        <v>0</v>
      </c>
      <c r="L284" s="466"/>
    </row>
    <row r="285" spans="1:12" ht="12.75" customHeight="1" thickBot="1" x14ac:dyDescent="0.25">
      <c r="A285" s="1686" t="s">
        <v>1566</v>
      </c>
      <c r="B285" s="1687" t="s">
        <v>914</v>
      </c>
      <c r="C285" s="617"/>
      <c r="D285" s="1688">
        <f>SUM(D282:D284)</f>
        <v>7348</v>
      </c>
      <c r="E285" s="617"/>
      <c r="F285" s="617"/>
      <c r="G285" s="617"/>
      <c r="H285" s="617"/>
      <c r="I285" s="617"/>
      <c r="J285" s="617"/>
      <c r="K285" s="1688">
        <f>SUM(K282:K284)</f>
        <v>7348</v>
      </c>
      <c r="L285" s="1688">
        <f>SUM(L282:L284)</f>
        <v>7349</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89">
        <f>H288</f>
        <v>0</v>
      </c>
      <c r="L288" s="466"/>
    </row>
    <row r="289" spans="1:14" x14ac:dyDescent="0.2">
      <c r="A289" s="1526" t="s">
        <v>90</v>
      </c>
      <c r="B289" s="615">
        <v>5120</v>
      </c>
      <c r="C289" s="617"/>
      <c r="D289" s="617"/>
      <c r="E289" s="617"/>
      <c r="F289" s="617"/>
      <c r="G289" s="617"/>
      <c r="H289" s="466"/>
      <c r="I289" s="617"/>
      <c r="J289" s="617"/>
      <c r="K289" s="1689">
        <f>H289</f>
        <v>0</v>
      </c>
      <c r="L289" s="466"/>
    </row>
    <row r="290" spans="1:14" ht="12.75" customHeight="1" x14ac:dyDescent="0.2">
      <c r="A290" s="1526" t="s">
        <v>1231</v>
      </c>
      <c r="B290" s="629" t="s">
        <v>637</v>
      </c>
      <c r="C290" s="617"/>
      <c r="D290" s="617"/>
      <c r="E290" s="617"/>
      <c r="F290" s="617"/>
      <c r="G290" s="617"/>
      <c r="H290" s="466"/>
      <c r="I290" s="617"/>
      <c r="J290" s="617"/>
      <c r="K290" s="1689">
        <f>H290</f>
        <v>0</v>
      </c>
      <c r="L290" s="466"/>
    </row>
    <row r="291" spans="1:14" x14ac:dyDescent="0.2">
      <c r="A291" s="1526" t="s">
        <v>91</v>
      </c>
      <c r="B291" s="615" t="s">
        <v>609</v>
      </c>
      <c r="C291" s="617"/>
      <c r="D291" s="617"/>
      <c r="E291" s="617"/>
      <c r="F291" s="617"/>
      <c r="G291" s="617"/>
      <c r="H291" s="466"/>
      <c r="I291" s="617"/>
      <c r="J291" s="617"/>
      <c r="K291" s="1689">
        <f>H291</f>
        <v>0</v>
      </c>
      <c r="L291" s="466"/>
    </row>
    <row r="292" spans="1:14" x14ac:dyDescent="0.2">
      <c r="A292" s="1526" t="s">
        <v>785</v>
      </c>
      <c r="B292" s="615" t="s">
        <v>638</v>
      </c>
      <c r="C292" s="617"/>
      <c r="D292" s="617"/>
      <c r="E292" s="617"/>
      <c r="F292" s="617"/>
      <c r="G292" s="617"/>
      <c r="H292" s="466"/>
      <c r="I292" s="617"/>
      <c r="J292" s="617"/>
      <c r="K292" s="1689">
        <f>H292</f>
        <v>0</v>
      </c>
      <c r="L292" s="466"/>
    </row>
    <row r="293" spans="1:14" ht="12.75" customHeight="1" thickBot="1" x14ac:dyDescent="0.25">
      <c r="A293" s="1686" t="s">
        <v>504</v>
      </c>
      <c r="B293" s="1687" t="s">
        <v>512</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7" t="s">
        <v>525</v>
      </c>
      <c r="B295" s="2198"/>
      <c r="C295" s="617"/>
      <c r="D295" s="1688">
        <f>SUM(D229,D279,D280,D285)</f>
        <v>710538</v>
      </c>
      <c r="E295" s="617"/>
      <c r="F295" s="617"/>
      <c r="G295" s="617"/>
      <c r="H295" s="1688">
        <f>H293</f>
        <v>0</v>
      </c>
      <c r="I295" s="617"/>
      <c r="J295" s="617"/>
      <c r="K295" s="1688">
        <f>SUM(K229,K279,K280,K285,K293,K294)</f>
        <v>710538</v>
      </c>
      <c r="L295" s="1688">
        <f>SUM(L229,L279,L280,L285,L293,L294)</f>
        <v>777462</v>
      </c>
    </row>
    <row r="296" spans="1:14" ht="13.5" thickTop="1" x14ac:dyDescent="0.2">
      <c r="A296" s="2206" t="s">
        <v>1052</v>
      </c>
      <c r="B296" s="2207"/>
      <c r="C296" s="617"/>
      <c r="D296" s="619"/>
      <c r="E296" s="617"/>
      <c r="F296" s="617"/>
      <c r="G296" s="617"/>
      <c r="H296" s="688"/>
      <c r="I296" s="617"/>
      <c r="J296" s="617"/>
      <c r="K296" s="1702">
        <f>'Revenues 9-14'!G275-'Expenditures 15-22'!K295</f>
        <v>-78829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c r="F301" s="466"/>
      <c r="G301" s="466"/>
      <c r="H301" s="466"/>
      <c r="I301" s="467"/>
      <c r="J301" s="467"/>
      <c r="K301" s="1689">
        <f>SUM(C301:J301)</f>
        <v>0</v>
      </c>
      <c r="L301" s="467"/>
    </row>
    <row r="302" spans="1:14" ht="13.5" customHeight="1" x14ac:dyDescent="0.2">
      <c r="A302" s="1539" t="s">
        <v>1036</v>
      </c>
      <c r="B302" s="615" t="s">
        <v>594</v>
      </c>
      <c r="C302" s="466"/>
      <c r="D302" s="466"/>
      <c r="E302" s="466"/>
      <c r="F302" s="466"/>
      <c r="G302" s="466"/>
      <c r="H302" s="466"/>
      <c r="I302" s="467"/>
      <c r="J302" s="467"/>
      <c r="K302" s="1689">
        <f>SUM(C302:J302)</f>
        <v>0</v>
      </c>
      <c r="L302" s="466"/>
    </row>
    <row r="303" spans="1:14" ht="12.75" customHeight="1" thickBot="1" x14ac:dyDescent="0.25">
      <c r="A303" s="1686" t="s">
        <v>864</v>
      </c>
      <c r="B303" s="1687" t="s">
        <v>589</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89">
        <f>SUM(E306,H306)</f>
        <v>0</v>
      </c>
      <c r="L306" s="467"/>
    </row>
    <row r="307" spans="1:14" x14ac:dyDescent="0.2">
      <c r="A307" s="1526" t="s">
        <v>321</v>
      </c>
      <c r="B307" s="615">
        <v>4120</v>
      </c>
      <c r="C307" s="617"/>
      <c r="D307" s="617"/>
      <c r="E307" s="467"/>
      <c r="F307" s="617"/>
      <c r="G307" s="617"/>
      <c r="H307" s="467"/>
      <c r="I307" s="477"/>
      <c r="J307" s="617"/>
      <c r="K307" s="1689">
        <f>SUM(E307,H307)</f>
        <v>0</v>
      </c>
      <c r="L307" s="466"/>
    </row>
    <row r="308" spans="1:14" x14ac:dyDescent="0.2">
      <c r="A308" s="1526" t="s">
        <v>720</v>
      </c>
      <c r="B308" s="615">
        <v>4140</v>
      </c>
      <c r="C308" s="617"/>
      <c r="D308" s="617"/>
      <c r="E308" s="467"/>
      <c r="F308" s="617"/>
      <c r="G308" s="617"/>
      <c r="H308" s="467"/>
      <c r="I308" s="477"/>
      <c r="J308" s="617"/>
      <c r="K308" s="1689">
        <f>SUM(E308,H308)</f>
        <v>0</v>
      </c>
      <c r="L308" s="466"/>
    </row>
    <row r="309" spans="1:14" ht="12.75" customHeight="1" x14ac:dyDescent="0.2">
      <c r="A309" s="1530" t="s">
        <v>721</v>
      </c>
      <c r="B309" s="629">
        <v>4190</v>
      </c>
      <c r="C309" s="617"/>
      <c r="D309" s="617"/>
      <c r="E309" s="467"/>
      <c r="F309" s="617"/>
      <c r="G309" s="617"/>
      <c r="H309" s="467"/>
      <c r="I309" s="477"/>
      <c r="J309" s="617"/>
      <c r="K309" s="1689">
        <f>SUM(E309,H309)</f>
        <v>0</v>
      </c>
      <c r="L309" s="466"/>
    </row>
    <row r="310" spans="1:14" ht="12.75" customHeight="1" thickBot="1" x14ac:dyDescent="0.25">
      <c r="A310" s="1686" t="s">
        <v>1566</v>
      </c>
      <c r="B310" s="1693" t="s">
        <v>914</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4" t="s">
        <v>294</v>
      </c>
      <c r="B312" s="2195"/>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90" t="s">
        <v>1052</v>
      </c>
      <c r="B313" s="2191"/>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953</v>
      </c>
      <c r="B317" s="2204"/>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89">
        <f>SUM(C319:J319)</f>
        <v>0</v>
      </c>
      <c r="L319" s="467"/>
      <c r="M319" s="666"/>
      <c r="N319" s="666"/>
    </row>
    <row r="320" spans="1:14" s="675" customFormat="1" x14ac:dyDescent="0.2">
      <c r="A320" s="1545" t="s">
        <v>1904</v>
      </c>
      <c r="B320" s="699" t="s">
        <v>299</v>
      </c>
      <c r="C320" s="467"/>
      <c r="D320" s="467"/>
      <c r="E320" s="467">
        <v>95413</v>
      </c>
      <c r="F320" s="467"/>
      <c r="G320" s="467"/>
      <c r="H320" s="467"/>
      <c r="I320" s="467"/>
      <c r="J320" s="467"/>
      <c r="K320" s="1689">
        <f t="shared" ref="K320:K327" si="24">SUM(C320:J320)</f>
        <v>95413</v>
      </c>
      <c r="L320" s="467"/>
      <c r="M320" s="666"/>
      <c r="N320" s="666"/>
    </row>
    <row r="321" spans="1:14" s="675" customFormat="1" x14ac:dyDescent="0.2">
      <c r="A321" s="1541" t="s">
        <v>317</v>
      </c>
      <c r="B321" s="698" t="s">
        <v>300</v>
      </c>
      <c r="C321" s="467"/>
      <c r="D321" s="467"/>
      <c r="E321" s="467"/>
      <c r="F321" s="467"/>
      <c r="G321" s="467"/>
      <c r="H321" s="467"/>
      <c r="I321" s="467"/>
      <c r="J321" s="467"/>
      <c r="K321" s="1689">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89">
        <f t="shared" si="24"/>
        <v>0</v>
      </c>
      <c r="L322" s="467"/>
      <c r="M322" s="666"/>
      <c r="N322" s="666"/>
    </row>
    <row r="323" spans="1:14" s="675" customFormat="1" x14ac:dyDescent="0.2">
      <c r="A323" s="1541" t="s">
        <v>725</v>
      </c>
      <c r="B323" s="698" t="s">
        <v>302</v>
      </c>
      <c r="C323" s="467">
        <v>593483</v>
      </c>
      <c r="D323" s="467"/>
      <c r="E323" s="467">
        <v>235153</v>
      </c>
      <c r="F323" s="467"/>
      <c r="G323" s="467"/>
      <c r="H323" s="467"/>
      <c r="I323" s="467"/>
      <c r="J323" s="467"/>
      <c r="K323" s="1689">
        <f t="shared" si="24"/>
        <v>828636</v>
      </c>
      <c r="L323" s="467">
        <v>1122030</v>
      </c>
      <c r="M323" s="666"/>
      <c r="N323" s="666"/>
    </row>
    <row r="324" spans="1:14" s="675" customFormat="1" x14ac:dyDescent="0.2">
      <c r="A324" s="1541" t="s">
        <v>257</v>
      </c>
      <c r="B324" s="698" t="s">
        <v>303</v>
      </c>
      <c r="C324" s="467"/>
      <c r="D324" s="467"/>
      <c r="E324" s="467"/>
      <c r="F324" s="467"/>
      <c r="G324" s="467"/>
      <c r="H324" s="467"/>
      <c r="I324" s="467"/>
      <c r="J324" s="467"/>
      <c r="K324" s="1689">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89">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89">
        <f t="shared" si="24"/>
        <v>0</v>
      </c>
      <c r="L326" s="467"/>
      <c r="M326" s="666"/>
      <c r="N326" s="666"/>
    </row>
    <row r="327" spans="1:14" s="675" customFormat="1" x14ac:dyDescent="0.2">
      <c r="A327" s="1541" t="s">
        <v>1027</v>
      </c>
      <c r="B327" s="698" t="s">
        <v>306</v>
      </c>
      <c r="C327" s="467"/>
      <c r="D327" s="467"/>
      <c r="E327" s="467">
        <v>109051</v>
      </c>
      <c r="F327" s="467"/>
      <c r="G327" s="467"/>
      <c r="H327" s="467"/>
      <c r="I327" s="467"/>
      <c r="J327" s="467"/>
      <c r="K327" s="1689">
        <f t="shared" si="24"/>
        <v>109051</v>
      </c>
      <c r="L327" s="467"/>
      <c r="M327" s="666"/>
      <c r="N327" s="666"/>
    </row>
    <row r="328" spans="1:14" s="675" customFormat="1" x14ac:dyDescent="0.2">
      <c r="A328" s="1542" t="s">
        <v>491</v>
      </c>
      <c r="B328" s="691" t="s">
        <v>1193</v>
      </c>
      <c r="C328" s="474"/>
      <c r="D328" s="474"/>
      <c r="E328" s="474">
        <v>28127</v>
      </c>
      <c r="F328" s="474"/>
      <c r="G328" s="474"/>
      <c r="H328" s="474"/>
      <c r="I328" s="474"/>
      <c r="J328" s="474"/>
      <c r="K328" s="1717">
        <f>SUM(C328:J328)</f>
        <v>28127</v>
      </c>
      <c r="L328" s="474"/>
      <c r="M328" s="666"/>
      <c r="N328" s="666"/>
    </row>
    <row r="329" spans="1:14" s="675" customFormat="1" x14ac:dyDescent="0.2">
      <c r="A329" s="1542" t="s">
        <v>1194</v>
      </c>
      <c r="B329" s="691" t="s">
        <v>1195</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740</v>
      </c>
      <c r="B330" s="1687" t="s">
        <v>589</v>
      </c>
      <c r="C330" s="1688">
        <f>SUM(C319:C329)</f>
        <v>593483</v>
      </c>
      <c r="D330" s="1688">
        <f t="shared" ref="D330:J330" si="25">SUM(D319:D329)</f>
        <v>0</v>
      </c>
      <c r="E330" s="1688">
        <f t="shared" si="25"/>
        <v>467744</v>
      </c>
      <c r="F330" s="1688">
        <f t="shared" si="25"/>
        <v>0</v>
      </c>
      <c r="G330" s="1688">
        <f t="shared" si="25"/>
        <v>0</v>
      </c>
      <c r="H330" s="1688">
        <f t="shared" si="25"/>
        <v>0</v>
      </c>
      <c r="I330" s="1688">
        <f t="shared" si="25"/>
        <v>0</v>
      </c>
      <c r="J330" s="1688">
        <f t="shared" si="25"/>
        <v>0</v>
      </c>
      <c r="K330" s="1688">
        <f>SUM(K319:K329)</f>
        <v>1061227</v>
      </c>
      <c r="L330" s="1688">
        <f>SUM(L319:L329)</f>
        <v>1122030</v>
      </c>
      <c r="M330" s="666"/>
      <c r="N330" s="666"/>
    </row>
    <row r="331" spans="1:14" s="675" customFormat="1" ht="12.75" customHeight="1" thickTop="1" x14ac:dyDescent="0.2">
      <c r="A331" s="1850" t="s">
        <v>1959</v>
      </c>
      <c r="B331" s="648" t="s">
        <v>914</v>
      </c>
      <c r="C331" s="1852"/>
      <c r="D331" s="1852"/>
      <c r="E331" s="1852"/>
      <c r="F331" s="1852"/>
      <c r="G331" s="1852"/>
      <c r="H331" s="1852"/>
      <c r="I331" s="1852"/>
      <c r="J331" s="1852"/>
      <c r="K331" s="1852"/>
      <c r="L331" s="1852"/>
      <c r="M331" s="666"/>
      <c r="N331" s="666"/>
    </row>
    <row r="332" spans="1:14" s="675" customFormat="1" ht="12.75" customHeight="1" x14ac:dyDescent="0.2">
      <c r="A332" s="1851" t="s">
        <v>516</v>
      </c>
      <c r="B332" s="1846" t="s">
        <v>1953</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321</v>
      </c>
      <c r="B333" s="1846" t="s">
        <v>1955</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1960</v>
      </c>
      <c r="B334" s="1846" t="s">
        <v>914</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89">
        <f>H337</f>
        <v>0</v>
      </c>
      <c r="L337" s="478"/>
    </row>
    <row r="338" spans="1:14" ht="12.75" customHeight="1" x14ac:dyDescent="0.2">
      <c r="A338" s="1540" t="s">
        <v>1231</v>
      </c>
      <c r="B338" s="691" t="s">
        <v>637</v>
      </c>
      <c r="C338" s="639"/>
      <c r="D338" s="639"/>
      <c r="E338" s="639"/>
      <c r="F338" s="639"/>
      <c r="G338" s="639"/>
      <c r="H338" s="478"/>
      <c r="I338" s="639"/>
      <c r="J338" s="639"/>
      <c r="K338" s="1689">
        <f>H338</f>
        <v>0</v>
      </c>
      <c r="L338" s="478"/>
    </row>
    <row r="339" spans="1:14" x14ac:dyDescent="0.2">
      <c r="A339" s="1526" t="s">
        <v>956</v>
      </c>
      <c r="B339" s="629">
        <v>5150</v>
      </c>
      <c r="C339" s="639"/>
      <c r="D339" s="639"/>
      <c r="E339" s="639"/>
      <c r="F339" s="639"/>
      <c r="G339" s="639"/>
      <c r="H339" s="467"/>
      <c r="I339" s="639"/>
      <c r="J339" s="639"/>
      <c r="K339" s="1689">
        <f>H339</f>
        <v>0</v>
      </c>
      <c r="L339" s="467"/>
    </row>
    <row r="340" spans="1:14" ht="13.5" thickBot="1" x14ac:dyDescent="0.25">
      <c r="A340" s="1712" t="s">
        <v>957</v>
      </c>
      <c r="B340" s="1687" t="s">
        <v>512</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4" t="s">
        <v>525</v>
      </c>
      <c r="B342" s="1719"/>
      <c r="C342" s="1688">
        <f>SUM(C330)</f>
        <v>593483</v>
      </c>
      <c r="D342" s="1688">
        <f>SUM(D330)</f>
        <v>0</v>
      </c>
      <c r="E342" s="1688">
        <f>SUM(E330)</f>
        <v>467744</v>
      </c>
      <c r="F342" s="1688">
        <f>SUM(F330)</f>
        <v>0</v>
      </c>
      <c r="G342" s="1688">
        <f>SUM(G330)</f>
        <v>0</v>
      </c>
      <c r="H342" s="1688">
        <f>SUM(H330,H334,H340)</f>
        <v>0</v>
      </c>
      <c r="I342" s="1688">
        <f>SUM(I330)</f>
        <v>0</v>
      </c>
      <c r="J342" s="1688">
        <f>SUM(J330)</f>
        <v>0</v>
      </c>
      <c r="K342" s="1688">
        <f>SUM(K330,K334,K340)</f>
        <v>1061227</v>
      </c>
      <c r="L342" s="1695">
        <f>SUM(L330,L340,L341)</f>
        <v>1122030</v>
      </c>
    </row>
    <row r="343" spans="1:14" ht="12.75" customHeight="1" thickTop="1" x14ac:dyDescent="0.2">
      <c r="A343" s="2192" t="s">
        <v>1052</v>
      </c>
      <c r="B343" s="2193"/>
      <c r="C343" s="617"/>
      <c r="D343" s="617"/>
      <c r="E343" s="617"/>
      <c r="F343" s="617"/>
      <c r="G343" s="617"/>
      <c r="H343" s="617"/>
      <c r="I343" s="617"/>
      <c r="J343" s="617"/>
      <c r="K343" s="1702">
        <f>'Revenues 9-14'!J275-'Expenditures 15-22'!K342</f>
        <v>148343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1022</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89">
        <f>SUM(C348:J348)</f>
        <v>0</v>
      </c>
      <c r="L348" s="466"/>
    </row>
    <row r="349" spans="1:14" x14ac:dyDescent="0.2">
      <c r="A349" s="1526" t="s">
        <v>206</v>
      </c>
      <c r="B349" s="615">
        <v>2540</v>
      </c>
      <c r="C349" s="466"/>
      <c r="D349" s="466"/>
      <c r="E349" s="466">
        <v>35350</v>
      </c>
      <c r="F349" s="466"/>
      <c r="G349" s="466"/>
      <c r="H349" s="466"/>
      <c r="I349" s="467"/>
      <c r="J349" s="467"/>
      <c r="K349" s="1689">
        <f>SUM(C349:J349)</f>
        <v>35350</v>
      </c>
      <c r="L349" s="466">
        <v>36000</v>
      </c>
    </row>
    <row r="350" spans="1:14" ht="12.75" customHeight="1" thickBot="1" x14ac:dyDescent="0.25">
      <c r="A350" s="1686" t="s">
        <v>742</v>
      </c>
      <c r="B350" s="1687" t="s">
        <v>35</v>
      </c>
      <c r="C350" s="1688">
        <f>SUM(C348:C349)</f>
        <v>0</v>
      </c>
      <c r="D350" s="1688">
        <f t="shared" ref="D350:L350" si="26">SUM(D348:D349)</f>
        <v>0</v>
      </c>
      <c r="E350" s="1688">
        <f t="shared" si="26"/>
        <v>35350</v>
      </c>
      <c r="F350" s="1688">
        <f t="shared" si="26"/>
        <v>0</v>
      </c>
      <c r="G350" s="1688">
        <f t="shared" si="26"/>
        <v>0</v>
      </c>
      <c r="H350" s="1688">
        <f t="shared" si="26"/>
        <v>0</v>
      </c>
      <c r="I350" s="1688">
        <f t="shared" si="26"/>
        <v>0</v>
      </c>
      <c r="J350" s="1688">
        <f t="shared" si="26"/>
        <v>0</v>
      </c>
      <c r="K350" s="1688">
        <f t="shared" si="26"/>
        <v>35350</v>
      </c>
      <c r="L350" s="1688">
        <f t="shared" si="26"/>
        <v>36000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86" t="s">
        <v>644</v>
      </c>
      <c r="B352" s="1693" t="s">
        <v>589</v>
      </c>
      <c r="C352" s="1688">
        <f>SUM(C350:C351)</f>
        <v>0</v>
      </c>
      <c r="D352" s="1688">
        <f t="shared" ref="D352:L352" si="27">SUM(D350:D351)</f>
        <v>0</v>
      </c>
      <c r="E352" s="1688">
        <f t="shared" si="27"/>
        <v>35350</v>
      </c>
      <c r="F352" s="1688">
        <f t="shared" si="27"/>
        <v>0</v>
      </c>
      <c r="G352" s="1688">
        <f t="shared" si="27"/>
        <v>0</v>
      </c>
      <c r="H352" s="1688">
        <f t="shared" si="27"/>
        <v>0</v>
      </c>
      <c r="I352" s="1688">
        <f t="shared" si="27"/>
        <v>0</v>
      </c>
      <c r="J352" s="1688">
        <f t="shared" si="27"/>
        <v>0</v>
      </c>
      <c r="K352" s="1688">
        <f t="shared" si="27"/>
        <v>35350</v>
      </c>
      <c r="L352" s="1688">
        <f t="shared" si="27"/>
        <v>36000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3" t="s">
        <v>1961</v>
      </c>
      <c r="B354" s="684" t="s">
        <v>1953</v>
      </c>
      <c r="C354" s="617"/>
      <c r="D354" s="617"/>
      <c r="E354" s="617"/>
      <c r="F354" s="617"/>
      <c r="G354" s="617"/>
      <c r="H354" s="474"/>
      <c r="I354" s="702"/>
      <c r="J354" s="617"/>
      <c r="K354" s="1717">
        <f>H354</f>
        <v>0</v>
      </c>
      <c r="L354" s="471"/>
    </row>
    <row r="355" spans="1:14" ht="12.75" customHeight="1" x14ac:dyDescent="0.2">
      <c r="A355" s="1535" t="s">
        <v>1962</v>
      </c>
      <c r="B355" s="691" t="s">
        <v>1955</v>
      </c>
      <c r="C355" s="617"/>
      <c r="D355" s="617"/>
      <c r="E355" s="617"/>
      <c r="F355" s="617"/>
      <c r="G355" s="617"/>
      <c r="H355" s="467"/>
      <c r="I355" s="702"/>
      <c r="J355" s="617"/>
      <c r="K355" s="1761">
        <f>H355</f>
        <v>0</v>
      </c>
      <c r="L355" s="467"/>
    </row>
    <row r="356" spans="1:14" ht="12.75" customHeight="1" x14ac:dyDescent="0.2">
      <c r="A356" s="1853" t="s">
        <v>721</v>
      </c>
      <c r="B356" s="684" t="s">
        <v>578</v>
      </c>
      <c r="C356" s="617"/>
      <c r="D356" s="617"/>
      <c r="E356" s="617"/>
      <c r="F356" s="617"/>
      <c r="G356" s="617"/>
      <c r="H356" s="479"/>
      <c r="I356" s="702"/>
      <c r="J356" s="617"/>
      <c r="K356" s="1758">
        <f>H356</f>
        <v>0</v>
      </c>
      <c r="L356" s="479"/>
    </row>
    <row r="357" spans="1:14" ht="12.75" customHeight="1" thickBot="1" x14ac:dyDescent="0.25">
      <c r="A357" s="1686" t="s">
        <v>1566</v>
      </c>
      <c r="B357" s="1687" t="s">
        <v>914</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89">
        <f>SUM(C360:J360)</f>
        <v>0</v>
      </c>
      <c r="L360" s="466"/>
    </row>
    <row r="361" spans="1:14" ht="12.75" customHeight="1" x14ac:dyDescent="0.2">
      <c r="A361" s="1527" t="s">
        <v>639</v>
      </c>
      <c r="B361" s="603" t="s">
        <v>638</v>
      </c>
      <c r="C361" s="617"/>
      <c r="D361" s="617"/>
      <c r="E361" s="617"/>
      <c r="F361" s="617"/>
      <c r="G361" s="617"/>
      <c r="H361" s="467"/>
      <c r="I361" s="617"/>
      <c r="J361" s="617"/>
      <c r="K361" s="1689">
        <f>SUM(C361:J361)</f>
        <v>0</v>
      </c>
      <c r="L361" s="466"/>
    </row>
    <row r="362" spans="1:14" ht="12.75" customHeight="1" thickBot="1" x14ac:dyDescent="0.25">
      <c r="A362" s="1686" t="s">
        <v>646</v>
      </c>
      <c r="B362" s="1687" t="s">
        <v>741</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89">
        <f>SUM(C364:J364)</f>
        <v>0</v>
      </c>
      <c r="L364" s="708"/>
    </row>
    <row r="365" spans="1:14" s="675" customFormat="1" ht="12.75" customHeight="1" thickBot="1" x14ac:dyDescent="0.25">
      <c r="A365" s="1543" t="s">
        <v>610</v>
      </c>
      <c r="B365" s="660" t="s">
        <v>512</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v>20000</v>
      </c>
      <c r="M366" s="610"/>
      <c r="N366" s="610"/>
    </row>
    <row r="367" spans="1:14" ht="12.75" customHeight="1" thickTop="1" thickBot="1" x14ac:dyDescent="0.25">
      <c r="A367" s="1710" t="s">
        <v>525</v>
      </c>
      <c r="B367" s="1722"/>
      <c r="C367" s="1688">
        <f t="shared" ref="C367:L367" si="28">SUM(C352,C357,C365,C366)</f>
        <v>0</v>
      </c>
      <c r="D367" s="1688">
        <f t="shared" si="28"/>
        <v>0</v>
      </c>
      <c r="E367" s="1688">
        <f t="shared" si="28"/>
        <v>35350</v>
      </c>
      <c r="F367" s="1688">
        <f t="shared" si="28"/>
        <v>0</v>
      </c>
      <c r="G367" s="1688">
        <f t="shared" si="28"/>
        <v>0</v>
      </c>
      <c r="H367" s="1688">
        <f t="shared" si="28"/>
        <v>0</v>
      </c>
      <c r="I367" s="1688">
        <f t="shared" si="28"/>
        <v>0</v>
      </c>
      <c r="J367" s="1688">
        <f t="shared" si="28"/>
        <v>0</v>
      </c>
      <c r="K367" s="1688">
        <f t="shared" si="28"/>
        <v>35350</v>
      </c>
      <c r="L367" s="1688">
        <f t="shared" si="28"/>
        <v>56000</v>
      </c>
    </row>
    <row r="368" spans="1:14" ht="13.5" thickTop="1" x14ac:dyDescent="0.2">
      <c r="A368" s="2206" t="s">
        <v>1052</v>
      </c>
      <c r="B368" s="2207"/>
      <c r="C368" s="655"/>
      <c r="D368" s="655"/>
      <c r="E368" s="627"/>
      <c r="F368" s="627"/>
      <c r="G368" s="627"/>
      <c r="H368" s="627"/>
      <c r="I368" s="627"/>
      <c r="J368" s="624"/>
      <c r="K368" s="1689">
        <f>'Revenues 9-14'!K275-'Expenditures 15-22'!K367</f>
        <v>64134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purl.org/dc/dcmitype/"/>
    <ds:schemaRef ds:uri="http://www.w3.org/XML/1998/namespace"/>
    <ds:schemaRef ds:uri="http://purl.org/dc/terms/"/>
    <ds:schemaRef ds:uri="4d435f69-8686-490b-bd6d-b153bf22ab50"/>
    <ds:schemaRef ds:uri="d21dc803-237d-4c68-8692-8d731fd29118"/>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2018-10-11T00:43:21Z</cp:lastPrinted>
  <dcterms:created xsi:type="dcterms:W3CDTF">2003-10-29T19:06:34Z</dcterms:created>
  <dcterms:modified xsi:type="dcterms:W3CDTF">2018-11-09T16:30:55Z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03-01d</vt:lpwstr>
  </property>
</Properties>
</file>