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71" i="181"/>
  <c r="G71" i="181" s="1"/>
  <c r="E71" i="181"/>
  <c r="F70" i="181"/>
  <c r="G70" i="181" s="1"/>
  <c r="E70" i="181"/>
  <c r="F69" i="181"/>
  <c r="G69" i="181" s="1"/>
  <c r="E69" i="181"/>
  <c r="F68" i="181"/>
  <c r="G68" i="181" s="1"/>
  <c r="E68" i="181"/>
  <c r="F67" i="181"/>
  <c r="G67" i="181" s="1"/>
  <c r="E67" i="181"/>
  <c r="F66" i="181"/>
  <c r="G66" i="181" s="1"/>
  <c r="E66" i="181"/>
  <c r="F65" i="181"/>
  <c r="G65" i="181" s="1"/>
  <c r="E65" i="181"/>
  <c r="E64" i="181"/>
  <c r="F64" i="181" s="1"/>
  <c r="G64" i="181" s="1"/>
  <c r="F63" i="181"/>
  <c r="G63" i="181" s="1"/>
  <c r="E63" i="181"/>
  <c r="F62" i="181"/>
  <c r="G62" i="181" s="1"/>
  <c r="E62" i="181"/>
  <c r="F61" i="181"/>
  <c r="G61" i="181" s="1"/>
  <c r="E61" i="181"/>
  <c r="F60" i="181"/>
  <c r="G60" i="181" s="1"/>
  <c r="E60" i="181"/>
  <c r="E59" i="181"/>
  <c r="F59" i="181" s="1"/>
  <c r="G59" i="181" s="1"/>
  <c r="F58" i="181"/>
  <c r="G58" i="181" s="1"/>
  <c r="E58" i="181"/>
  <c r="F57" i="181"/>
  <c r="G57" i="181" s="1"/>
  <c r="E57" i="181"/>
  <c r="F56" i="181"/>
  <c r="G56" i="181" s="1"/>
  <c r="E56" i="181"/>
  <c r="E55" i="181"/>
  <c r="F55" i="181" s="1"/>
  <c r="G55" i="181" s="1"/>
  <c r="F54" i="181"/>
  <c r="G54" i="181" s="1"/>
  <c r="E54" i="181"/>
  <c r="F53" i="181"/>
  <c r="G53" i="181" s="1"/>
  <c r="E53" i="181"/>
  <c r="F52" i="181"/>
  <c r="G52" i="181" s="1"/>
  <c r="E52" i="181"/>
  <c r="F51" i="181"/>
  <c r="G51" i="181" s="1"/>
  <c r="E51" i="181"/>
  <c r="F50" i="181"/>
  <c r="G50" i="181" s="1"/>
  <c r="E50" i="181"/>
  <c r="F49" i="181"/>
  <c r="G49" i="181" s="1"/>
  <c r="E49" i="181"/>
  <c r="F48" i="181"/>
  <c r="G48" i="181" s="1"/>
  <c r="E48" i="181"/>
  <c r="F47" i="181"/>
  <c r="G47" i="181" s="1"/>
  <c r="E47" i="181"/>
  <c r="E46" i="181"/>
  <c r="F46" i="181" s="1"/>
  <c r="G46" i="181" s="1"/>
  <c r="F45" i="181"/>
  <c r="G45" i="181" s="1"/>
  <c r="E45" i="181"/>
  <c r="F44" i="181"/>
  <c r="G44" i="181" s="1"/>
  <c r="E44" i="181"/>
  <c r="F43" i="181"/>
  <c r="G43" i="181" s="1"/>
  <c r="E43" i="18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1" i="181"/>
  <c r="G31" i="181" s="1"/>
  <c r="E31" i="181"/>
  <c r="F35" i="181"/>
  <c r="G35" i="181" s="1"/>
  <c r="E35" i="181"/>
  <c r="E34" i="181"/>
  <c r="F34" i="181" s="1"/>
  <c r="G34" i="181" s="1"/>
  <c r="F33" i="181"/>
  <c r="G33" i="181" s="1"/>
  <c r="E33" i="181"/>
  <c r="E32" i="181"/>
  <c r="F32" i="181" s="1"/>
  <c r="G32" i="181" s="1"/>
  <c r="F30" i="181"/>
  <c r="G30" i="181" s="1"/>
  <c r="E30" i="181"/>
  <c r="E29" i="181"/>
  <c r="F29" i="181" s="1"/>
  <c r="G29" i="181" s="1"/>
  <c r="F28" i="181"/>
  <c r="G28" i="181" s="1"/>
  <c r="E28" i="181"/>
  <c r="E27" i="181"/>
  <c r="F27" i="181" s="1"/>
  <c r="G27" i="181" s="1"/>
  <c r="F25" i="181"/>
  <c r="G25" i="181" s="1"/>
  <c r="E25" i="181"/>
  <c r="F24" i="181"/>
  <c r="G24" i="181" s="1"/>
  <c r="E24" i="181"/>
  <c r="E23" i="181"/>
  <c r="F23" i="181" s="1"/>
  <c r="G23" i="181" s="1"/>
  <c r="F22" i="181"/>
  <c r="G22" i="181" s="1"/>
  <c r="E22" i="181"/>
  <c r="F21" i="181"/>
  <c r="G21" i="181" s="1"/>
  <c r="E21" i="181"/>
  <c r="E20" i="181"/>
  <c r="F20" i="181" s="1"/>
  <c r="G20" i="181" s="1"/>
  <c r="F19" i="181"/>
  <c r="G19" i="181" s="1"/>
  <c r="E19" i="181"/>
  <c r="E18" i="181"/>
  <c r="F18" i="181" s="1"/>
  <c r="G18" i="181" s="1"/>
  <c r="F72" i="181"/>
  <c r="G72" i="181" s="1"/>
  <c r="E72" i="181"/>
  <c r="F26" i="181"/>
  <c r="G26" i="181" s="1"/>
  <c r="E26" i="181"/>
  <c r="F17" i="181"/>
  <c r="G17" i="181" s="1"/>
  <c r="E17" i="181"/>
  <c r="D73" i="181" l="1"/>
  <c r="D80" i="36" l="1"/>
  <c r="B7797" i="106"/>
  <c r="E73" i="181"/>
  <c r="E16" i="181"/>
  <c r="F16" i="181" s="1"/>
  <c r="G16" i="181" s="1"/>
  <c r="G73" i="181" l="1"/>
  <c r="G40" i="108" l="1"/>
  <c r="B7799" i="106"/>
  <c r="F73"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C259" i="5"/>
  <c r="B6833" i="106" s="1"/>
  <c r="D6833" i="106" s="1"/>
  <c r="B7761" i="106"/>
  <c r="D7761" i="106" s="1"/>
  <c r="L127" i="29"/>
  <c r="L129" i="29" s="1"/>
  <c r="L139" i="29"/>
  <c r="L149" i="29"/>
  <c r="I7" i="145"/>
  <c r="I6" i="145"/>
  <c r="D82" i="36"/>
  <c r="D78" i="36"/>
  <c r="K75" i="29"/>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B2633" i="106"/>
  <c r="D2633" i="106" s="1"/>
  <c r="D7" i="118"/>
  <c r="D8" i="118"/>
  <c r="D9" i="118"/>
  <c r="H14" i="118"/>
  <c r="H19" i="118"/>
  <c r="H24" i="118"/>
  <c r="G14" i="4" l="1"/>
  <c r="B2609" i="106" s="1"/>
  <c r="D2609" i="106" s="1"/>
  <c r="D31" i="108"/>
  <c r="E38" i="108"/>
  <c r="G26" i="108"/>
  <c r="F71" i="34"/>
  <c r="G34" i="108"/>
  <c r="F62" i="34"/>
  <c r="D26" i="108"/>
  <c r="B2836" i="106"/>
  <c r="D2836" i="106" s="1"/>
  <c r="F72" i="34"/>
  <c r="E28" i="108"/>
  <c r="E35" i="108"/>
  <c r="B7076" i="106"/>
  <c r="D7076" i="106" s="1"/>
  <c r="B6995" i="106"/>
  <c r="D6995" i="106" s="1"/>
  <c r="F36" i="34"/>
  <c r="F56" i="34"/>
  <c r="D27" i="108"/>
  <c r="B2724" i="106"/>
  <c r="D2724" i="106" s="1"/>
  <c r="E26" i="108"/>
  <c r="F70" i="34"/>
  <c r="F41" i="34"/>
  <c r="F28" i="108"/>
  <c r="G35" i="108"/>
  <c r="G29" i="108"/>
  <c r="F26" i="108"/>
  <c r="B1126" i="106"/>
  <c r="D1126" i="106" s="1"/>
  <c r="D11" i="37"/>
  <c r="F49" i="34"/>
  <c r="D68" i="36"/>
  <c r="H29" i="118"/>
  <c r="D31" i="36"/>
  <c r="G39" i="108"/>
  <c r="E30" i="108"/>
  <c r="B2805" i="106"/>
  <c r="D2805" i="106" s="1"/>
  <c r="F37" i="34"/>
  <c r="G30" i="108"/>
  <c r="B7078" i="106"/>
  <c r="D7078" i="106" s="1"/>
  <c r="B7074" i="106"/>
  <c r="D7074" i="106" s="1"/>
  <c r="F64" i="34"/>
  <c r="B5096" i="106"/>
  <c r="D5096" i="106" s="1"/>
  <c r="F38" i="34"/>
  <c r="D6103" i="106"/>
  <c r="B1124" i="106"/>
  <c r="D1124" i="106" s="1"/>
  <c r="L22" i="37"/>
  <c r="F46" i="34"/>
  <c r="G38" i="108"/>
  <c r="B7047" i="106"/>
  <c r="D7047" i="106" s="1"/>
  <c r="B1274" i="106"/>
  <c r="D1274" i="106" s="1"/>
  <c r="H33" i="118"/>
  <c r="D5" i="4"/>
  <c r="B3406" i="106" s="1"/>
  <c r="D3406" i="106" s="1"/>
  <c r="J22" i="37"/>
  <c r="N22" i="3"/>
  <c r="B283" i="106" s="1"/>
  <c r="D283" i="106" s="1"/>
  <c r="I24" i="12"/>
  <c r="I26" i="12" s="1"/>
  <c r="B7741" i="106" s="1"/>
  <c r="D7741" i="106" s="1"/>
  <c r="H28" i="118"/>
  <c r="L5" i="11"/>
  <c r="B2056" i="106" s="1"/>
  <c r="D2056" i="106" s="1"/>
  <c r="L15" i="11"/>
  <c r="B3459" i="106" s="1"/>
  <c r="D3459" i="106" s="1"/>
  <c r="D13" i="7"/>
  <c r="B3726" i="106" s="1"/>
  <c r="D3726" i="106" s="1"/>
  <c r="H342" i="29"/>
  <c r="B7221" i="106" s="1"/>
  <c r="D7221" i="106" s="1"/>
  <c r="F45" i="34"/>
  <c r="F36" i="108"/>
  <c r="F42" i="34"/>
  <c r="F35" i="34"/>
  <c r="D36" i="108"/>
  <c r="F50" i="34"/>
  <c r="L342" i="29"/>
  <c r="J274" i="5"/>
  <c r="B7054" i="106" s="1"/>
  <c r="D7054" i="106" s="1"/>
  <c r="J210" i="29"/>
  <c r="B7072" i="106" s="1"/>
  <c r="D7072" i="106" s="1"/>
  <c r="D5" i="7"/>
  <c r="B1761" i="106" s="1"/>
  <c r="D1761" i="106" s="1"/>
  <c r="D54" i="36"/>
  <c r="E29" i="108"/>
  <c r="I342" i="29"/>
  <c r="B7222" i="106" s="1"/>
  <c r="D7222" i="106" s="1"/>
  <c r="J352" i="29"/>
  <c r="G352" i="29"/>
  <c r="B3649" i="106" s="1"/>
  <c r="D3649" i="106" s="1"/>
  <c r="I173" i="5"/>
  <c r="B4216" i="106" s="1"/>
  <c r="D4216" i="106" s="1"/>
  <c r="K41" i="3"/>
  <c r="J77" i="4"/>
  <c r="B6262" i="106" s="1"/>
  <c r="D6262" i="106" s="1"/>
  <c r="B6289" i="106"/>
  <c r="D6289" i="106" s="1"/>
  <c r="D37" i="108"/>
  <c r="F37" i="108"/>
  <c r="B1223" i="106"/>
  <c r="D1223" i="106" s="1"/>
  <c r="F34" i="34"/>
  <c r="B1329" i="106"/>
  <c r="D1329" i="106" s="1"/>
  <c r="F61" i="34"/>
  <c r="B3619" i="106"/>
  <c r="D3619" i="106" s="1"/>
  <c r="D9" i="7"/>
  <c r="B1767" i="106" s="1"/>
  <c r="D1767" i="106" s="1"/>
  <c r="F106" i="34"/>
  <c r="F128" i="34"/>
  <c r="J129" i="29"/>
  <c r="B7038" i="106" s="1"/>
  <c r="D7038" i="106" s="1"/>
  <c r="K285" i="29"/>
  <c r="B3724" i="106" s="1"/>
  <c r="D3724" i="106" s="1"/>
  <c r="K350" i="29"/>
  <c r="B3670" i="106" s="1"/>
  <c r="D3670" i="106" s="1"/>
  <c r="L367" i="29"/>
  <c r="L312" i="29"/>
  <c r="K184" i="29"/>
  <c r="F13" i="4" s="1"/>
  <c r="B2596" i="106" s="1"/>
  <c r="D2596" i="106" s="1"/>
  <c r="B1995" i="106"/>
  <c r="D1995" i="106" s="1"/>
  <c r="H173" i="5"/>
  <c r="B5906" i="106" s="1"/>
  <c r="D5906" i="106" s="1"/>
  <c r="K274" i="5"/>
  <c r="K7" i="4" s="1"/>
  <c r="B3718" i="106" s="1"/>
  <c r="D3718" i="106" s="1"/>
  <c r="F130" i="34"/>
  <c r="G172" i="5"/>
  <c r="B5770" i="106" s="1"/>
  <c r="D5770" i="106" s="1"/>
  <c r="K173" i="5"/>
  <c r="K6" i="4" s="1"/>
  <c r="B3570" i="106" s="1"/>
  <c r="D3570" i="106" s="1"/>
  <c r="E174" i="29"/>
  <c r="B1309" i="106" s="1"/>
  <c r="D1309" i="106" s="1"/>
  <c r="I129" i="29"/>
  <c r="B7037" i="106" s="1"/>
  <c r="D7037" i="106" s="1"/>
  <c r="H365" i="29"/>
  <c r="B7242" i="106" s="1"/>
  <c r="D7242" i="106" s="1"/>
  <c r="H112" i="29"/>
  <c r="B7018" i="106" s="1"/>
  <c r="D7018" i="106" s="1"/>
  <c r="B1410" i="106"/>
  <c r="D1410" i="106" s="1"/>
  <c r="B3621" i="106"/>
  <c r="D3621" i="106" s="1"/>
  <c r="C367" i="29"/>
  <c r="B3622" i="106" s="1"/>
  <c r="D3622" i="106" s="1"/>
  <c r="C342" i="29"/>
  <c r="B7216" i="106" s="1"/>
  <c r="D7216" i="106" s="1"/>
  <c r="I210" i="29"/>
  <c r="G210" i="29"/>
  <c r="D4" i="7"/>
  <c r="B1760" i="106" s="1"/>
  <c r="D1760" i="106" s="1"/>
  <c r="D12" i="7"/>
  <c r="B1769" i="106" s="1"/>
  <c r="D1769" i="106" s="1"/>
  <c r="D17" i="7"/>
  <c r="B4104" i="106" s="1"/>
  <c r="D4104" i="106" s="1"/>
  <c r="F19" i="7"/>
  <c r="B1807" i="106" s="1"/>
  <c r="D1807" i="106" s="1"/>
  <c r="D69" i="36"/>
  <c r="G15" i="145"/>
  <c r="L13" i="11"/>
  <c r="B2060" i="106" s="1"/>
  <c r="D2060" i="106" s="1"/>
  <c r="B1996" i="106"/>
  <c r="D1996" i="106" s="1"/>
  <c r="K24" i="12"/>
  <c r="D22" i="37"/>
  <c r="F21" i="8"/>
  <c r="D24" i="37"/>
  <c r="B4270" i="106" s="1"/>
  <c r="D4270" i="106" s="1"/>
  <c r="C109" i="5"/>
  <c r="B5121" i="106" s="1"/>
  <c r="D5121" i="106" s="1"/>
  <c r="B5066" i="106"/>
  <c r="D5066" i="106" s="1"/>
  <c r="D7" i="7"/>
  <c r="B1763" i="106" s="1"/>
  <c r="D1763" i="106" s="1"/>
  <c r="G109" i="5"/>
  <c r="F127" i="34"/>
  <c r="D109" i="5"/>
  <c r="H109" i="5"/>
  <c r="F131" i="34"/>
  <c r="B7041" i="106"/>
  <c r="D7041" i="106" s="1"/>
  <c r="E109" i="5"/>
  <c r="E4" i="4" s="1"/>
  <c r="B2630" i="106" s="1"/>
  <c r="D2630" i="106" s="1"/>
  <c r="D15" i="7"/>
  <c r="B1772" i="106" s="1"/>
  <c r="D1772" i="106" s="1"/>
  <c r="I274" i="5"/>
  <c r="I7" i="4" s="1"/>
  <c r="B4444" i="106" s="1"/>
  <c r="D4444" i="106" s="1"/>
  <c r="D11" i="7"/>
  <c r="B1768" i="106" s="1"/>
  <c r="D1768" i="106" s="1"/>
  <c r="C172" i="5"/>
  <c r="F136" i="34"/>
  <c r="F172" i="5"/>
  <c r="B5644" i="106" s="1"/>
  <c r="D5644" i="106" s="1"/>
  <c r="B1746" i="106"/>
  <c r="D1746" i="106" s="1"/>
  <c r="B4357" i="106"/>
  <c r="D4357" i="106" s="1"/>
  <c r="F111" i="34"/>
  <c r="G5" i="4"/>
  <c r="B3409" i="106" s="1"/>
  <c r="D3409" i="106" s="1"/>
  <c r="H76" i="4"/>
  <c r="B3298" i="106" s="1"/>
  <c r="D3298" i="106" s="1"/>
  <c r="K76" i="4"/>
  <c r="B3586" i="106" s="1"/>
  <c r="D3586" i="106" s="1"/>
  <c r="F77" i="4"/>
  <c r="B3255" i="106" s="1"/>
  <c r="D3255" i="106" s="1"/>
  <c r="J41" i="3"/>
  <c r="B6216" i="106" s="1"/>
  <c r="D6216" i="106" s="1"/>
  <c r="B281" i="106"/>
  <c r="D281"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J7" i="4" l="1"/>
  <c r="K28" i="118"/>
  <c r="O27" i="118" s="1"/>
  <c r="O29" i="118" s="1"/>
  <c r="D7255" i="106"/>
  <c r="D7254" i="106"/>
  <c r="D7251" i="106"/>
  <c r="D7250" i="106"/>
  <c r="D7256" i="106"/>
  <c r="D7253" i="106"/>
  <c r="D7252" i="106"/>
  <c r="N23" i="3"/>
  <c r="B284" i="106" s="1"/>
  <c r="D284" i="106" s="1"/>
  <c r="B1328" i="106"/>
  <c r="D1328" i="106" s="1"/>
  <c r="D41" i="108"/>
  <c r="E43" i="108" s="1"/>
  <c r="F41" i="108"/>
  <c r="G43" i="108" s="1"/>
  <c r="K352" i="29"/>
  <c r="I6" i="4"/>
  <c r="B5011" i="106" s="1"/>
  <c r="D5011" i="106" s="1"/>
  <c r="G367" i="29"/>
  <c r="B3650" i="106" s="1"/>
  <c r="D3650" i="106" s="1"/>
  <c r="B1381" i="106"/>
  <c r="D1381" i="106" s="1"/>
  <c r="B1317" i="106"/>
  <c r="D1317" i="106" s="1"/>
  <c r="J151" i="29"/>
  <c r="B7052" i="106" s="1"/>
  <c r="D7052" i="106" s="1"/>
  <c r="B5527" i="106"/>
  <c r="D5527" i="106" s="1"/>
  <c r="G173" i="5"/>
  <c r="B5778" i="106" s="1"/>
  <c r="D5778" i="106" s="1"/>
  <c r="L16" i="11"/>
  <c r="B2061" i="106" s="1"/>
  <c r="D2061" i="106" s="1"/>
  <c r="D51" i="36"/>
  <c r="K77" i="4"/>
  <c r="B3587" i="106" s="1"/>
  <c r="D3587" i="106" s="1"/>
  <c r="B1266" i="106"/>
  <c r="D1266" i="106" s="1"/>
  <c r="J16" i="4"/>
  <c r="B6226" i="106" s="1"/>
  <c r="D6226" i="106" s="1"/>
  <c r="I151" i="29"/>
  <c r="F59" i="34" s="1"/>
  <c r="J367" i="29"/>
  <c r="B7245" i="106" s="1"/>
  <c r="D7245" i="106" s="1"/>
  <c r="B7235" i="106"/>
  <c r="D7235" i="106" s="1"/>
  <c r="B4435" i="106"/>
  <c r="D4435" i="106" s="1"/>
  <c r="B6022" i="106"/>
  <c r="D6022" i="106" s="1"/>
  <c r="D44" i="36"/>
  <c r="B3568" i="106"/>
  <c r="D3568" i="106" s="1"/>
  <c r="D52" i="36"/>
  <c r="H77" i="4"/>
  <c r="B3299" i="106" s="1"/>
  <c r="D3299" i="106" s="1"/>
  <c r="B6014" i="106"/>
  <c r="D6014" i="106" s="1"/>
  <c r="F73" i="34"/>
  <c r="G15" i="4"/>
  <c r="B6032" i="106" s="1"/>
  <c r="D6032" i="106" s="1"/>
  <c r="B1365" i="106"/>
  <c r="D1365" i="106" s="1"/>
  <c r="F65" i="34"/>
  <c r="B7071" i="106"/>
  <c r="D7071" i="106" s="1"/>
  <c r="F66" i="34"/>
  <c r="B3628" i="106"/>
  <c r="D3628" i="106" s="1"/>
  <c r="K342" i="29"/>
  <c r="F13" i="34" s="1"/>
  <c r="F173" i="5"/>
  <c r="H6" i="4"/>
  <c r="B2656" i="106" s="1"/>
  <c r="D2656" i="106" s="1"/>
  <c r="K365" i="29"/>
  <c r="C114" i="29"/>
  <c r="B757" i="106" s="1"/>
  <c r="D757" i="106" s="1"/>
  <c r="F274" i="5"/>
  <c r="B5719" i="106" s="1"/>
  <c r="D5719" i="106" s="1"/>
  <c r="B5914" i="106"/>
  <c r="D5914" i="106" s="1"/>
  <c r="D274" i="5"/>
  <c r="B5507" i="106" s="1"/>
  <c r="D5507" i="106" s="1"/>
  <c r="H275" i="5"/>
  <c r="B5915" i="106" s="1"/>
  <c r="D5915" i="106" s="1"/>
  <c r="C4" i="4"/>
  <c r="B2551" i="106" s="1"/>
  <c r="D2551" i="106" s="1"/>
  <c r="H367" i="29"/>
  <c r="B3660" i="106" s="1"/>
  <c r="D3660" i="106" s="1"/>
  <c r="L114" i="29"/>
  <c r="B7733" i="106"/>
  <c r="D7733" i="106" s="1"/>
  <c r="K26" i="12"/>
  <c r="B7743" i="106" s="1"/>
  <c r="D7743" i="106" s="1"/>
  <c r="B1879" i="106"/>
  <c r="D1879" i="106" s="1"/>
  <c r="H22" i="37"/>
  <c r="B6025" i="106"/>
  <c r="D6025" i="106" s="1"/>
  <c r="H4" i="4"/>
  <c r="B2655" i="106" s="1"/>
  <c r="D2655" i="106" s="1"/>
  <c r="B5356" i="106"/>
  <c r="D5356" i="106" s="1"/>
  <c r="D4" i="4"/>
  <c r="B2564" i="106" s="1"/>
  <c r="D2564" i="106" s="1"/>
  <c r="B6024" i="106"/>
  <c r="D6024" i="106" s="1"/>
  <c r="G4" i="4"/>
  <c r="B2603" i="106" s="1"/>
  <c r="D2603" i="106" s="1"/>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K367" i="29" l="1"/>
  <c r="B3678" i="106" s="1"/>
  <c r="D3678" i="106" s="1"/>
  <c r="G6" i="4"/>
  <c r="B2604" i="106" s="1"/>
  <c r="D2604" i="106" s="1"/>
  <c r="B7243" i="106"/>
  <c r="D7243" i="106" s="1"/>
  <c r="K16" i="4"/>
  <c r="B3574" i="106" s="1"/>
  <c r="D3574" i="106" s="1"/>
  <c r="K13" i="4"/>
  <c r="B3572" i="106" s="1"/>
  <c r="D3572" i="106" s="1"/>
  <c r="B3672" i="106"/>
  <c r="D3672" i="106" s="1"/>
  <c r="B7051" i="106"/>
  <c r="D7051" i="106" s="1"/>
  <c r="D7" i="4"/>
  <c r="B2567" i="106" s="1"/>
  <c r="D2567" i="106" s="1"/>
  <c r="D275" i="5"/>
  <c r="B5508" i="106" s="1"/>
  <c r="D5508" i="106" s="1"/>
  <c r="F275" i="5"/>
  <c r="B5720" i="106" s="1"/>
  <c r="D5720" i="106" s="1"/>
  <c r="B1145" i="106"/>
  <c r="D1145" i="106" s="1"/>
  <c r="B7224" i="106"/>
  <c r="D7224" i="106" s="1"/>
  <c r="F6" i="4"/>
  <c r="B2593" i="106" s="1"/>
  <c r="D2593" i="106" s="1"/>
  <c r="B5653" i="106"/>
  <c r="D5653" i="106" s="1"/>
  <c r="E41" i="108"/>
  <c r="E44" i="108" s="1"/>
  <c r="E45" i="108" s="1"/>
  <c r="H8" i="4"/>
  <c r="F7" i="4"/>
  <c r="B2594" i="106" s="1"/>
  <c r="D2594" i="106" s="1"/>
  <c r="F24" i="37"/>
  <c r="G41" i="108"/>
  <c r="G44" i="108" s="1"/>
  <c r="G45" i="108" s="1"/>
  <c r="B5223" i="106"/>
  <c r="D5223" i="106" s="1"/>
  <c r="C6" i="4"/>
  <c r="B2553" i="106" s="1"/>
  <c r="D2553" i="106" s="1"/>
  <c r="J8" i="4"/>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K17" i="4"/>
  <c r="K20" i="4" s="1"/>
  <c r="F8" i="4"/>
  <c r="F10" i="4" s="1"/>
  <c r="B4125" i="106" s="1"/>
  <c r="D4125" i="106" s="1"/>
  <c r="B6227" i="106"/>
  <c r="D6227" i="106" s="1"/>
  <c r="J20" i="4"/>
  <c r="J78" i="4" s="1"/>
  <c r="B6223" i="106"/>
  <c r="D6223" i="106" s="1"/>
  <c r="F76" i="34"/>
  <c r="J10" i="4"/>
  <c r="B6225" i="106" s="1"/>
  <c r="D6225" i="106" s="1"/>
  <c r="H10" i="4"/>
  <c r="B4127" i="106" s="1"/>
  <c r="D4127" i="106" s="1"/>
  <c r="B2658" i="106"/>
  <c r="D2658" i="106" s="1"/>
  <c r="D10" i="171"/>
  <c r="D19" i="171" s="1"/>
  <c r="D32" i="171" s="1"/>
  <c r="D49" i="171" s="1"/>
  <c r="D8" i="4"/>
  <c r="B2568" i="106" s="1"/>
  <c r="D256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3575" i="106" l="1"/>
  <c r="D3575" i="106" s="1"/>
  <c r="K19" i="4"/>
  <c r="B4144" i="106" s="1"/>
  <c r="D4144" i="106" s="1"/>
  <c r="B2595" i="106"/>
  <c r="D2595" i="106" s="1"/>
  <c r="D8" i="146"/>
  <c r="D10" i="4"/>
  <c r="B4123" i="106" s="1"/>
  <c r="D4123" i="106" s="1"/>
  <c r="C8" i="146"/>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F8" i="146" l="1"/>
  <c r="D78" i="4"/>
  <c r="D81" i="4" s="1"/>
  <c r="F179" i="34"/>
  <c r="F79" i="34"/>
  <c r="D10" i="146"/>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81" i="34"/>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<sst xmlns="http://schemas.openxmlformats.org/spreadsheetml/2006/main" count="5124" uniqueCount="2153">
  <si>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</si>
  <si>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</si>
  <si>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</si>
  <si>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</si>
  <si>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</si>
  <si>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</si>
  <si>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</si>
  <si>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</si>
  <si>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</si>
  <si>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</si>
  <si>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</si>
  <si>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</si>
  <si>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</si>
  <si>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</si>
  <si>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</si>
  <si>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</si>
  <si>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</si>
  <si>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</si>
  <si>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</si>
  <si>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</si>
  <si>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</si>
  <si>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</si>
  <si>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</si>
  <si>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</si>
  <si>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</si>
  <si>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</si>
  <si>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</si>
  <si>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</si>
  <si>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</si>
  <si>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</si>
  <si>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</si>
  <si>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</si>
  <si>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</si>
  <si>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</si>
  <si>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</si>
  <si>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</si>
  <si>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</si>
  <si>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</si>
  <si>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</si>
  <si>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</si>
  <si>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</si>
  <si>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</si>
  <si>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</si>
  <si>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</si>
  <si>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</si>
  <si>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</si>
  <si>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</si>
  <si>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</si>
  <si>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</si>
  <si>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</si>
  <si>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</si>
  <si>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</si>
  <si>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</si>
  <si>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</si>
  <si>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</si>
  <si>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</si>
  <si>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</si>
  <si>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</si>
  <si>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</si>
  <si>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</si>
  <si>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</si>
  <si>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</si>
  <si>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</si>
  <si>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</si>
  <si>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</si>
  <si>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</si>
  <si>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</si>
  <si>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</si>
  <si>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</si>
  <si>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</si>
  <si>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</si>
  <si>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</si>
  <si>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</si>
  <si>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</si>
  <si>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</si>
  <si>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</si>
  <si>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</si>
  <si>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</si>
  <si>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</si>
  <si>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</si>
  <si>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</si>
  <si>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</si>
  <si>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</si>
  <si>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</si>
  <si>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</si>
  <si>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</si>
  <si>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</si>
  <si>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</si>
  <si>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</si>
  <si>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</si>
  <si>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</si>
  <si>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</si>
  <si>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</si>
  <si>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</si>
  <si>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</si>
  <si>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</si>
  <si>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</si>
  <si>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</si>
  <si>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</si>
  <si>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</si>
  <si>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</si>
  <si>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</si>
  <si>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</si>
  <si>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</si>
  <si>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</si>
  <si>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</si>
  <si>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</si>
  <si>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</si>
  <si>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</si>
  <si>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</si>
  <si>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</si>
  <si>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</si>
  <si>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</si>
  <si>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</si>
  <si>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</si>
  <si>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</si>
  <si>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</si>
  <si>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</si>
  <si>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</si>
  <si>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</si>
  <si>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</si>
  <si>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</si>
  <si>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</si>
  <si>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</si>
  <si>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</si>
  <si>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</si>
  <si>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</si>
  <si>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</si>
  <si>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</si>
  <si>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</si>
  <si>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</si>
  <si>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</si>
  <si>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</si>
  <si>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</si>
  <si>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</si>
  <si>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</si>
  <si>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</si>
  <si>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</si>
  <si>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</si>
  <si>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</si>
  <si>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</si>
  <si>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</si>
  <si>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</si>
  <si>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</si>
  <si>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</si>
  <si>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</si>
  <si>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</si>
  <si>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</si>
  <si>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</si>
  <si>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</si>
  <si>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</si>
  <si>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</si>
  <si>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</si>
  <si>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</si>
  <si>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</si>
  <si>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</si>
  <si>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</si>
  <si>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</si>
  <si>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</si>
  <si>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</si>
  <si>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</si>
  <si>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</si>
  <si>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</si>
  <si>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</si>
  <si>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</si>
  <si>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</si>
  <si>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</si>
  <si>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</si>
  <si>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</si>
  <si>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</si>
  <si>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</si>
  <si>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</si>
  <si>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</si>
  <si>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</si>
  <si>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</si>
  <si>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</si>
  <si>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</si>
  <si>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</si>
  <si>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</si>
  <si>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</si>
  <si>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</si>
  <si>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</si>
  <si>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</si>
  <si>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</si>
  <si>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</si>
  <si>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</si>
  <si>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</si>
  <si>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</si>
  <si>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</si>
  <si>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</si>
  <si>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</si>
  <si>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</si>
  <si>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</si>
  <si>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</si>
  <si>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</si>
  <si>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</si>
  <si>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</si>
  <si>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</si>
  <si>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</si>
  <si>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</si>
  <si>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</si>
  <si>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</si>
  <si>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</si>
  <si>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</si>
  <si>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</si>
  <si>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</si>
  <si>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</si>
  <si>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</si>
  <si>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</si>
  <si>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</si>
  <si>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</si>
  <si>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</si>
  <si>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</si>
  <si>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</si>
  <si>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</si>
  <si>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</si>
  <si>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</si>
  <si>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</si>
  <si>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</si>
  <si>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</si>
  <si>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</si>
  <si>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</si>
  <si>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</si>
  <si>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</si>
  <si>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</si>
  <si>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</si>
  <si>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</si>
  <si>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</si>
  <si>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</si>
  <si>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</si>
  <si>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</si>
  <si>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</si>
  <si>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</si>
  <si>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</si>
  <si>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</si>
  <si>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</si>
  <si>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</si>
  <si>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</si>
  <si>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</si>
  <si>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</si>
  <si>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</si>
  <si>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</si>
  <si>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</si>
  <si>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</si>
  <si>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</si>
  <si>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</si>
  <si>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</si>
  <si>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</si>
  <si>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</si>
  <si>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</si>
  <si>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</si>
  <si>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</si>
  <si>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</si>
  <si>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</si>
  <si>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</si>
  <si>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</si>
  <si>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</si>
  <si>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</si>
  <si>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</si>
  <si>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</si>
  <si>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</si>
  <si>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</si>
  <si>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</si>
  <si>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</si>
  <si>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</si>
  <si>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</si>
  <si>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</si>
  <si>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</si>
  <si>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</si>
  <si>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</si>
  <si>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</si>
  <si>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</si>
  <si>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</si>
  <si>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</si>
  <si>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</si>
  <si>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</si>
  <si>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</si>
  <si>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</si>
  <si>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</si>
  <si>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</si>
  <si>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</si>
  <si>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</si>
  <si>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</si>
  <si>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</si>
  <si>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</si>
  <si>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</si>
  <si>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</si>
  <si>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</si>
  <si>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</si>
  <si>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</si>
  <si>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</si>
  <si>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</si>
  <si>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</si>
  <si>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</si>
  <si>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</si>
  <si>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</si>
  <si>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</si>
  <si>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</si>
  <si>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</si>
  <si>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</si>
  <si>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</si>
  <si>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</si>
  <si>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</si>
  <si>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</si>
  <si>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</si>
  <si>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</si>
  <si>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</si>
  <si>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</si>
  <si>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</si>
  <si>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</si>
  <si>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</si>
  <si>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</si>
  <si>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</si>
  <si>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</si>
  <si>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</si>
  <si>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</si>
  <si>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</si>
  <si>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</si>
  <si>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</si>
  <si>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</si>
  <si>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</si>
  <si>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</si>
  <si>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</si>
  <si>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</si>
  <si>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</si>
  <si>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</si>
  <si>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</si>
  <si>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</si>
  <si>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</si>
  <si>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</si>
  <si>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</si>
  <si>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</si>
  <si>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</si>
  <si>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</si>
  <si>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</si>
  <si>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</si>
  <si>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</si>
  <si>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</si>
  <si>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</si>
  <si>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</si>
  <si>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</si>
  <si>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</si>
  <si>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</si>
  <si>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</si>
  <si>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</si>
  <si>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</si>
  <si>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</si>
  <si>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</si>
  <si>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</si>
  <si>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</si>
  <si>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</si>
  <si>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</si>
  <si>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</si>
  <si>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</si>
  <si>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</si>
  <si>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</si>
  <si>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</si>
  <si>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</si>
  <si>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</si>
  <si>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</si>
  <si>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</si>
  <si>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</si>
  <si>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</si>
  <si>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</si>
  <si>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</si>
  <si>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</si>
  <si>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</si>
  <si>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</si>
  <si>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</si>
  <si>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</si>
  <si>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</si>
  <si>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</si>
  <si>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</si>
  <si>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</si>
  <si>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</si>
  <si>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</si>
  <si>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</si>
  <si>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</si>
  <si>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</si>
  <si>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</si>
  <si>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</si>
  <si>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</si>
  <si>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</si>
  <si>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</si>
  <si>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</si>
  <si>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</si>
  <si>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</si>
  <si>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</si>
  <si>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</si>
  <si>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</si>
  <si>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</si>
  <si>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</si>
  <si>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</si>
  <si>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</si>
  <si>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</si>
  <si>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</si>
  <si>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</si>
  <si>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</si>
  <si>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</si>
  <si>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</si>
  <si>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</si>
  <si>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</si>
  <si>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</si>
  <si>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</si>
  <si>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</si>
  <si>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</si>
  <si>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</si>
  <si>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</si>
  <si>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</si>
  <si>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</si>
  <si>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</si>
  <si>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</si>
  <si>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</si>
  <si>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</si>
  <si>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</si>
  <si>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</si>
  <si>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</si>
  <si>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</si>
  <si>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</si>
  <si>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</si>
  <si>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</si>
  <si>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</si>
  <si>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</si>
  <si>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</si>
  <si>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</si>
  <si>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</si>
  <si>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</si>
  <si>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</si>
  <si>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</si>
  <si>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</si>
  <si>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</si>
  <si>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</si>
  <si>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</si>
  <si>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</si>
  <si>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</si>
  <si>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</si>
  <si>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</si>
  <si>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</si>
  <si>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</si>
  <si>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</si>
  <si>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</si>
  <si>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</si>
  <si>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</si>
  <si>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</si>
  <si>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</si>
  <si>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</si>
  <si>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</si>
  <si>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</si>
  <si>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</si>
  <si>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</si>
  <si>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</si>
  <si>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</si>
  <si>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</si>
  <si>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</si>
  <si>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</si>
  <si>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</si>
  <si>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</si>
  <si>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</si>
  <si>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</si>
  <si>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</si>
  <si>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</si>
  <si>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</si>
  <si>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</si>
  <si>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</si>
  <si>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</si>
  <si>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</si>
  <si>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</si>
  <si>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</si>
  <si>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</si>
  <si>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</si>
  <si>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</si>
  <si>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</si>
  <si>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</si>
  <si>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</si>
  <si>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</si>
  <si>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</si>
  <si>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</si>
  <si>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</si>
  <si>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</si>
  <si>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</si>
  <si>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</si>
  <si>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</si>
  <si>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</si>
  <si>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</si>
  <si>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</si>
  <si>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</si>
  <si>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</si>
  <si>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</si>
  <si>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</si>
  <si>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</si>
  <si>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</si>
  <si>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</si>
  <si>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</si>
  <si>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</si>
  <si>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</si>
  <si>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</si>
  <si>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</si>
  <si>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</si>
  <si>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</si>
  <si>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</si>
  <si>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</si>
  <si>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</si>
  <si>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</si>
  <si>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</si>
  <si>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</si>
  <si>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</si>
  <si>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</si>
  <si>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</si>
  <si>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</si>
  <si>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</si>
  <si>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</si>
  <si>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</si>
  <si>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</si>
  <si>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</si>
  <si>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</si>
  <si>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</si>
  <si>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</si>
  <si>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</si>
  <si>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</si>
  <si>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</si>
  <si>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</si>
  <si>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</si>
  <si>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</si>
  <si>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</si>
  <si>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</si>
  <si>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</si>
  <si>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</si>
  <si>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</si>
  <si>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</si>
  <si>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</si>
  <si>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</si>
  <si>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</si>
  <si>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</si>
  <si>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</si>
  <si>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</si>
  <si>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</si>
  <si>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</si>
  <si>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</si>
  <si>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</si>
  <si>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</si>
  <si>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</si>
  <si>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</si>
  <si>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</si>
  <si>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</si>
  <si>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</si>
  <si>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</si>
  <si>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</si>
  <si>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</si>
  <si>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</si>
  <si>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</si>
  <si>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</si>
  <si>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</si>
  <si>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</si>
  <si>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</si>
  <si>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</si>
  <si>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</si>
  <si>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</si>
  <si>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</si>
  <si>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</si>
  <si>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</si>
  <si>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</si>
  <si>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</si>
  <si>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</si>
  <si>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</si>
  <si>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</si>
  <si>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</si>
  <si>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</si>
  <si>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</si>
  <si>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</si>
  <si>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</si>
  <si>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</si>
  <si>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</si>
  <si>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</si>
  <si>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</si>
  <si>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</si>
  <si>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</si>
  <si>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</si>
  <si>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</si>
  <si>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</si>
  <si>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</si>
  <si>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</si>
  <si>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</si>
  <si>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</si>
  <si>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</si>
  <si>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</si>
  <si>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</si>
  <si>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</si>
  <si>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</si>
  <si>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</si>
  <si>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</si>
  <si>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</si>
  <si>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</si>
  <si>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</si>
  <si>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</si>
  <si>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</si>
  <si>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</si>
  <si>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</si>
  <si>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</si>
  <si>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</si>
  <si>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</si>
  <si>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</si>
  <si>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</si>
  <si>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</si>
  <si>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</si>
  <si>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</si>
  <si>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</si>
  <si>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</si>
  <si>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</si>
  <si>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</si>
  <si>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</si>
  <si>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</si>
  <si>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</si>
  <si>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</si>
  <si>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</si>
  <si>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</si>
  <si>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</si>
  <si>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</si>
  <si>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</si>
  <si>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</si>
  <si>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</si>
  <si>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</si>
  <si>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</si>
  <si>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</si>
  <si>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</si>
  <si>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</si>
  <si>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</si>
  <si>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</si>
  <si>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</si>
  <si>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</si>
  <si>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</si>
  <si>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</si>
  <si>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</si>
  <si>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</si>
  <si>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</si>
  <si>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</si>
  <si>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</si>
  <si>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</si>
  <si>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</si>
  <si>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</si>
  <si>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</si>
  <si>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</si>
  <si>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</si>
  <si>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</si>
  <si>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</si>
  <si>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</si>
  <si>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</si>
  <si>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</si>
  <si>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</si>
  <si>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</si>
  <si>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</si>
  <si>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</si>
  <si>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</si>
  <si>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</si>
  <si>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</si>
  <si>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</si>
  <si>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</si>
  <si>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</si>
  <si>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</si>
  <si>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</si>
  <si>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</si>
  <si>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</si>
  <si>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</si>
  <si>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</si>
  <si>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</si>
  <si>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</si>
  <si>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</si>
  <si>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</si>
  <si>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</si>
  <si>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</si>
  <si>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</si>
  <si>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</si>
  <si>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</si>
  <si>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</si>
  <si>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</si>
  <si>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</si>
  <si>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</si>
  <si>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</si>
  <si>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</si>
  <si>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</si>
  <si>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</si>
  <si>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</si>
  <si>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</si>
  <si>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</si>
  <si>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</si>
  <si>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</si>
  <si>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</si>
  <si>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</si>
  <si>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</si>
  <si>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</si>
  <si>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</si>
  <si>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</si>
  <si>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</si>
  <si>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</si>
  <si>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</si>
  <si>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</si>
  <si>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</si>
  <si>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</si>
  <si>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</si>
  <si>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</si>
  <si>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</si>
  <si>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</si>
  <si>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</si>
  <si>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</si>
  <si>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</si>
  <si>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</si>
  <si>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</si>
  <si>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</si>
  <si>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</si>
  <si>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</si>
  <si>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</si>
  <si>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</si>
  <si>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</si>
  <si>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</si>
  <si>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</si>
  <si>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</si>
  <si>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</si>
  <si>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</si>
  <si>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</si>
  <si>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</si>
  <si>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</si>
  <si>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</si>
  <si>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</si>
  <si>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</si>
  <si>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</si>
  <si>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</si>
  <si>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</si>
  <si>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</si>
  <si>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</si>
  <si>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</si>
  <si>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</si>
  <si>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</si>
  <si>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</si>
  <si>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</si>
  <si>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</si>
  <si>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</si>
  <si>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</si>
  <si>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</si>
  <si>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</si>
  <si>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</si>
  <si>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</si>
  <si>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</si>
  <si>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</si>
  <si>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</si>
  <si>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</si>
  <si>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</si>
  <si>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</si>
  <si>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</si>
  <si>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</si>
  <si>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</si>
  <si>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</si>
  <si>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</si>
  <si>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</si>
  <si>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</si>
  <si>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</si>
  <si>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</si>
  <si>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</si>
  <si>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</si>
  <si>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</si>
  <si>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</si>
  <si>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</si>
  <si>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</si>
  <si>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</si>
  <si>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</si>
  <si>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</si>
  <si>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</si>
  <si>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</si>
  <si>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</si>
  <si>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</si>
  <si>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</si>
  <si>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</si>
  <si>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</si>
  <si>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</si>
  <si>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</si>
  <si>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</si>
  <si>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</si>
  <si>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</si>
  <si>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</si>
  <si>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</si>
  <si>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</si>
  <si>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</si>
  <si>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</si>
  <si>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</si>
  <si>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</si>
  <si>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</si>
  <si>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</si>
  <si>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</si>
  <si>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</si>
  <si>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</si>
  <si>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</si>
  <si>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</si>
  <si>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</si>
  <si>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</si>
  <si>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</si>
  <si>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</si>
  <si>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</si>
  <si>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</si>
  <si>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</si>
  <si>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</si>
  <si>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</si>
  <si>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</si>
  <si>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</si>
  <si>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</si>
  <si>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</si>
  <si>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</si>
  <si>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</si>
  <si>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</si>
  <si>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</si>
  <si>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</si>
  <si>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</si>
  <si>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</si>
  <si>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</si>
  <si>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</si>
  <si>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</si>
  <si>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</si>
  <si>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</si>
  <si>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</si>
  <si>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</si>
  <si>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</si>
  <si>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</si>
  <si>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</si>
  <si>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</si>
  <si>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</si>
  <si>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</si>
  <si>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</si>
  <si>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</si>
  <si>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</si>
  <si>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</si>
  <si>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</si>
  <si>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</si>
  <si>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</si>
  <si>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</si>
  <si>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</si>
  <si>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</si>
  <si>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</si>
  <si>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</si>
  <si>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</si>
  <si>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</si>
  <si>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</si>
  <si>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</si>
  <si>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</si>
  <si>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</si>
  <si>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</si>
  <si>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</si>
  <si>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</si>
  <si>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</si>
  <si>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</si>
  <si>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</si>
  <si>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</si>
  <si>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</si>
  <si>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</si>
  <si>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</si>
  <si>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</si>
  <si>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</si>
  <si>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</si>
  <si>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</si>
  <si>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</si>
  <si>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</si>
  <si>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</si>
  <si>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</si>
  <si>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</si>
  <si>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</si>
  <si>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</si>
  <si>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</si>
  <si>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</si>
  <si>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</si>
  <si>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</si>
  <si>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</si>
  <si>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</si>
  <si>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</si>
  <si>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</si>
  <si>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</si>
  <si>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</si>
  <si>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</si>
  <si>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</si>
  <si>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</si>
  <si>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</si>
  <si>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</si>
  <si>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</si>
  <si>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</si>
  <si>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</si>
  <si>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</si>
  <si>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</si>
  <si>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</si>
  <si>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</si>
  <si>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</si>
  <si>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</si>
  <si>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</si>
  <si>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</si>
  <si>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</si>
  <si>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</si>
  <si>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</si>
  <si>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</si>
  <si>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</si>
  <si>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</si>
  <si>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</si>
  <si>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</si>
  <si>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</si>
  <si>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</si>
  <si>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</si>
  <si>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</si>
  <si>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</si>
  <si>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</si>
  <si>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</si>
  <si>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</si>
  <si>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</si>
  <si>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</si>
  <si>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</si>
  <si>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</si>
  <si>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</si>
  <si>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</si>
  <si>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</si>
  <si>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</si>
  <si>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</si>
  <si>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</si>
  <si>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</si>
  <si>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</si>
  <si>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</si>
  <si>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</si>
  <si>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</si>
  <si>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</si>
  <si>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</si>
  <si>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</si>
  <si>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</si>
  <si>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</si>
  <si>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</si>
  <si>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</si>
  <si>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</si>
  <si>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</si>
  <si>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</si>
  <si>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</si>
  <si>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</si>
  <si>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</si>
  <si>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</si>
  <si>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</si>
  <si>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</si>
  <si>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</si>
  <si>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</si>
  <si>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</si>
  <si>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</si>
  <si>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</si>
  <si>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</si>
  <si>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</si>
  <si>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</si>
  <si>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</si>
  <si>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</si>
  <si>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</si>
  <si>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</si>
  <si>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</si>
  <si>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</si>
  <si>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</si>
  <si>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</si>
  <si>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</si>
  <si>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</si>
  <si>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</si>
  <si>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</si>
  <si>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</si>
  <si>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</si>
  <si>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</si>
  <si>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</si>
  <si>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</si>
  <si>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</si>
  <si>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</si>
  <si>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</si>
  <si>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</si>
  <si>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</si>
  <si>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</si>
  <si>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</si>
  <si>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</si>
  <si>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</si>
  <si>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</si>
  <si>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</si>
  <si>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</si>
  <si>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</si>
  <si>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</si>
  <si>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</si>
  <si>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</si>
  <si>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</si>
  <si>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</si>
  <si>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</si>
  <si>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</si>
  <si>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</si>
  <si>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</si>
  <si>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</si>
  <si>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</si>
  <si>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</si>
  <si>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</si>
  <si>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</si>
  <si>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</si>
  <si>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</si>
  <si>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</si>
  <si>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</si>
  <si>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</si>
  <si>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</si>
  <si>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</si>
  <si>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</si>
  <si>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</si>
  <si>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</si>
  <si>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</si>
  <si>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</si>
  <si>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</si>
  <si>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</si>
  <si>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</si>
  <si>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</si>
  <si>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</si>
  <si>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</si>
  <si>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</si>
  <si>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</si>
  <si>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</si>
  <si>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</si>
  <si>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</si>
  <si>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</si>
  <si>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</si>
  <si>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</si>
  <si>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</si>
  <si>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</si>
  <si>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</si>
  <si>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</si>
  <si>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</si>
  <si>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</si>
  <si>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</si>
  <si>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</si>
  <si>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</si>
  <si>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</si>
  <si>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</si>
  <si>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</si>
  <si>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</si>
  <si>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</si>
  <si>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</si>
  <si>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</si>
  <si>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</si>
  <si>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</si>
  <si>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</si>
  <si>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</si>
  <si>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</si>
  <si>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</si>
  <si>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</si>
  <si>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</si>
  <si>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</si>
  <si>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</si>
  <si>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</si>
  <si>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</si>
  <si>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</si>
  <si>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</si>
  <si>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</si>
  <si>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</si>
  <si>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</si>
  <si>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</si>
  <si>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</si>
  <si>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</si>
  <si>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</si>
  <si>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</si>
  <si>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</si>
  <si>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</si>
  <si>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</si>
  <si>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</si>
  <si>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</si>
  <si>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</si>
  <si>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</si>
  <si>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</si>
  <si>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</si>
  <si>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</si>
  <si>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</si>
  <si>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</si>
  <si>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</si>
  <si>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</si>
  <si>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</si>
  <si>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</si>
  <si>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</si>
  <si>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</si>
  <si>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</si>
  <si>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</si>
  <si>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</si>
  <si>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</si>
  <si>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</si>
  <si>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</si>
  <si>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</si>
  <si>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</si>
  <si>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</si>
  <si>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</si>
  <si>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</si>
  <si>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</si>
  <si>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</si>
  <si>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</si>
  <si>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</si>
  <si>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</si>
  <si>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</si>
  <si>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</si>
  <si>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</si>
  <si>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</si>
  <si>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</si>
  <si>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</si>
  <si>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</si>
  <si>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</si>
  <si>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</si>
  <si>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</si>
  <si>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</si>
  <si>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</si>
  <si>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</si>
  <si>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</si>
  <si>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</si>
  <si>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</si>
  <si>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</si>
  <si>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</si>
  <si>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</si>
  <si>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</si>
  <si>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</si>
  <si>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</si>
  <si>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</si>
  <si>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</si>
  <si>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</si>
  <si>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</si>
  <si>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</si>
  <si>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</si>
  <si>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</si>
  <si>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</si>
  <si>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</si>
  <si>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</si>
  <si>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</si>
  <si>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</si>
  <si>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</si>
  <si>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</si>
  <si>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</si>
  <si>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</si>
  <si>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</si>
  <si>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</si>
  <si>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</si>
  <si>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</si>
  <si>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</si>
  <si>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</si>
  <si>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</si>
  <si>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</si>
  <si>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</si>
  <si>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</si>
  <si>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</si>
  <si>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</si>
  <si>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</si>
  <si>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</si>
  <si>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</si>
  <si>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</si>
  <si>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</si>
  <si>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</si>
  <si>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</si>
  <si>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</si>
  <si>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</si>
  <si>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</si>
  <si>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</si>
  <si>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</si>
  <si>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</si>
  <si>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</si>
  <si>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</si>
  <si>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</si>
  <si>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</si>
  <si>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</si>
  <si>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</si>
  <si>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</si>
  <si>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</si>
  <si>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</si>
  <si>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</si>
  <si>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</si>
  <si>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</si>
  <si>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</si>
  <si>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</si>
  <si>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</si>
  <si>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</si>
  <si>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</si>
  <si>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</si>
  <si>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</si>
  <si>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</si>
  <si>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</si>
  <si>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</si>
  <si>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</si>
  <si>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</si>
  <si>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</si>
  <si>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</si>
  <si>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</si>
  <si>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</si>
  <si>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</si>
  <si>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</si>
  <si>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</si>
  <si>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</si>
  <si>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</si>
  <si>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</si>
  <si>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</si>
  <si>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</si>
  <si>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</si>
  <si>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</si>
  <si>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</si>
  <si>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</si>
  <si>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</si>
  <si>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</si>
  <si>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</si>
  <si>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</si>
  <si>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</si>
  <si>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</si>
  <si>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</si>
  <si>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</si>
  <si>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</si>
  <si>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</si>
  <si>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</si>
  <si>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</si>
  <si>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</si>
  <si>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</si>
  <si>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</si>
  <si>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</si>
  <si>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</si>
  <si>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</si>
  <si>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</si>
  <si>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</si>
  <si>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</si>
  <si>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</si>
  <si>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</si>
  <si>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</si>
  <si>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</si>
  <si>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</si>
  <si>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</si>
  <si>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</si>
  <si>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</si>
  <si>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</si>
  <si>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</si>
  <si>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</si>
  <si>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</si>
  <si>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</si>
  <si>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</si>
  <si>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</si>
  <si>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</si>
  <si>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</si>
  <si>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</si>
  <si>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</si>
  <si>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</si>
  <si>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</si>
  <si>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</si>
  <si>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</si>
  <si>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</si>
  <si>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</si>
  <si>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</si>
  <si>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</si>
  <si>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</si>
  <si>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</si>
  <si>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</si>
  <si>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</si>
  <si>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</si>
  <si>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</si>
  <si>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</si>
  <si>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</si>
  <si>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</si>
  <si>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</si>
  <si>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</si>
  <si>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</si>
  <si>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</si>
  <si>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</si>
  <si>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</si>
  <si>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</si>
  <si>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</si>
  <si>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</si>
  <si>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</si>
  <si>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</si>
  <si>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</si>
  <si>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</si>
  <si>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</si>
  <si>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</si>
  <si>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</si>
  <si>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</si>
  <si>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</si>
  <si>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</si>
  <si>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</si>
  <si>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</si>
  <si>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</si>
  <si>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</si>
  <si>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</si>
  <si>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</si>
  <si>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</si>
  <si>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</si>
  <si>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</si>
  <si>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</si>
  <si>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</si>
  <si>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</si>
  <si>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</si>
  <si>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</si>
  <si>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</si>
  <si>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</si>
  <si>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</si>
  <si>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</si>
  <si>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</si>
  <si>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</si>
  <si>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</si>
  <si>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</si>
  <si>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</si>
  <si>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</si>
  <si>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</si>
  <si>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</si>
  <si>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</si>
  <si>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</si>
  <si>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</si>
  <si>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</si>
  <si>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</si>
  <si>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</si>
  <si>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</si>
  <si>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</si>
  <si>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</si>
  <si>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</si>
  <si>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</si>
  <si>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</si>
  <si>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</si>
  <si>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</si>
  <si>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</si>
  <si>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</si>
  <si>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</si>
  <si>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</si>
  <si>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</si>
  <si>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</si>
  <si>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</si>
  <si>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</si>
  <si>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</si>
  <si>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</si>
  <si>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</si>
  <si>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</si>
  <si>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</si>
  <si>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</si>
  <si>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</si>
  <si>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</si>
  <si>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</si>
  <si>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</si>
  <si>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</si>
  <si>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</si>
  <si>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</si>
  <si>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</si>
  <si>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</si>
  <si>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</si>
  <si>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</si>
  <si>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</si>
  <si>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</si>
  <si>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</si>
  <si>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</si>
  <si>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</si>
  <si>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</si>
  <si>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</si>
  <si>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</si>
  <si>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</si>
  <si>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</si>
  <si>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</si>
  <si>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</si>
  <si>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</si>
  <si>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</si>
  <si>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</si>
  <si>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</si>
  <si>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</si>
  <si>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</si>
  <si>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</si>
  <si>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</si>
  <si>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</si>
  <si>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</si>
  <si>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</si>
  <si>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</si>
  <si>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</si>
  <si>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</si>
  <si>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</si>
  <si>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</si>
  <si>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</si>
  <si>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</si>
  <si>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</si>
  <si>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</si>
  <si>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</si>
  <si>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</si>
  <si>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</si>
  <si>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</si>
  <si>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</si>
  <si>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</si>
  <si>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</si>
  <si>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</si>
  <si>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</si>
  <si>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</si>
  <si>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</si>
  <si>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</si>
  <si>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</si>
  <si>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</si>
  <si>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</si>
  <si>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</si>
  <si>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</si>
  <si>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</si>
  <si>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</si>
  <si>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</si>
  <si>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</si>
  <si>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</si>
  <si>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</si>
  <si>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</si>
  <si>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</si>
  <si>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</si>
  <si>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</si>
  <si>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</si>
  <si>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</si>
  <si>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</si>
  <si>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</si>
  <si>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</si>
  <si>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</si>
  <si>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</si>
  <si>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</si>
  <si>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</si>
  <si>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</si>
  <si>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</si>
  <si>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</si>
  <si>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</si>
  <si>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</si>
  <si>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</si>
  <si>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</si>
  <si>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</si>
  <si>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</si>
  <si>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</si>
  <si>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</si>
  <si>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</si>
  <si>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</si>
  <si>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</si>
  <si>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</si>
  <si>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</si>
  <si>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</si>
  <si>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</si>
  <si>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</si>
  <si>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</si>
  <si>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</si>
  <si>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</si>
  <si>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</si>
  <si>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</si>
  <si>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</si>
  <si>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</si>
  <si>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</si>
  <si>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</si>
  <si>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</si>
  <si>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</si>
  <si>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</si>
  <si>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</si>
  <si>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</si>
  <si>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</si>
  <si>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</si>
  <si>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</si>
  <si>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</si>
  <si>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</si>
  <si>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</si>
  <si>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</si>
  <si>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</si>
  <si>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</si>
  <si>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</si>
  <si>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</si>
  <si>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</si>
  <si>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</si>
  <si>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</si>
  <si>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</si>
  <si>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</si>
  <si>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</si>
  <si>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</si>
  <si>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</si>
  <si>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</si>
  <si>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</si>
  <si>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</si>
  <si>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</si>
  <si>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</si>
  <si>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</si>
  <si>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</si>
  <si>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</si>
  <si>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</si>
  <si>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</si>
  <si>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</si>
  <si>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</si>
  <si>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</si>
  <si>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</si>
  <si>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</si>
  <si>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</si>
  <si>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</si>
  <si>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</si>
  <si>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</si>
  <si>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</si>
  <si>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</si>
  <si>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</si>
  <si>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</si>
  <si>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</si>
  <si>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</si>
  <si>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</si>
  <si>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</si>
  <si>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</si>
  <si>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</si>
  <si>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</si>
  <si>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</si>
  <si>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</si>
  <si>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</si>
  <si>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</si>
  <si>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</si>
  <si>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</si>
  <si>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</si>
  <si>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</si>
  <si>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</si>
  <si>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</si>
  <si>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</si>
  <si>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</si>
  <si>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</si>
  <si>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</si>
  <si>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</si>
  <si>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</si>
  <si>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</si>
  <si>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</si>
  <si>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</si>
  <si>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</si>
  <si>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</si>
  <si>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</si>
  <si>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</si>
  <si>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</si>
  <si>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</si>
  <si>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</si>
  <si>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</si>
  <si>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</si>
  <si>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</si>
  <si>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</si>
  <si>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</si>
  <si>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</si>
  <si>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</si>
  <si>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</si>
  <si>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</si>
  <si>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</si>
  <si>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</si>
  <si>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</si>
  <si>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</si>
  <si>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</si>
  <si>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</si>
  <si>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</si>
  <si>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</si>
  <si>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</si>
  <si>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</si>
  <si>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</si>
  <si>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</si>
  <si>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</si>
  <si>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</si>
  <si>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</si>
  <si>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</si>
  <si>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</si>
  <si>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</si>
  <si>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</si>
  <si>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</si>
  <si>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</si>
  <si>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</si>
  <si>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</si>
  <si>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</si>
  <si>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</si>
  <si>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</si>
  <si>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</si>
  <si>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</si>
  <si>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</si>
  <si>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</si>
  <si>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</si>
  <si>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</si>
  <si>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</si>
  <si>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</si>
  <si>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</si>
  <si>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</si>
  <si>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</si>
  <si>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</si>
  <si>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</si>
  <si>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</si>
  <si>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</si>
  <si>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</si>
  <si>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</si>
  <si>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</si>
  <si>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</si>
  <si>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</si>
  <si>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</si>
  <si>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</si>
  <si>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</si>
  <si>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</si>
  <si>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</si>
  <si>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</si>
  <si>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</si>
  <si>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</si>
  <si>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</si>
  <si>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</si>
  <si>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</si>
  <si>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</si>
  <si>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</si>
  <si>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</si>
  <si>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</si>
  <si>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</si>
  <si>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</si>
  <si>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</si>
  <si>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</si>
  <si>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</si>
  <si>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</si>
  <si>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</si>
  <si>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</si>
  <si>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</si>
  <si>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</si>
  <si>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</si>
  <si>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</si>
  <si>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</si>
  <si>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</si>
  <si>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</si>
  <si>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</si>
  <si>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</si>
  <si>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</si>
  <si>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</si>
  <si>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</si>
  <si>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</si>
  <si>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</si>
  <si>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</si>
  <si>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</si>
  <si>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</si>
  <si>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</si>
  <si>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</si>
  <si>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</si>
  <si>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</si>
  <si>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</si>
  <si>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</si>
  <si>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</si>
  <si>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</si>
  <si>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</si>
  <si>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</si>
  <si>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</si>
  <si>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</si>
  <si>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</si>
  <si>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</si>
  <si>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</si>
  <si>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</si>
  <si>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</si>
  <si>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</si>
  <si>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</si>
  <si>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</si>
  <si>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</si>
  <si>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</si>
  <si>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</si>
  <si>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</si>
  <si>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</si>
  <si>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</si>
  <si>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</si>
  <si>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</si>
  <si>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</si>
  <si>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</si>
  <si>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</si>
  <si>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</si>
  <si>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</si>
  <si>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</si>
  <si>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</si>
  <si>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</si>
  <si>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</si>
  <si>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</si>
  <si>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</si>
  <si>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</si>
  <si>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</si>
  <si>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</si>
  <si>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</si>
  <si>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</si>
  <si>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</si>
  <si>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</si>
  <si>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</si>
  <si>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</si>
  <si>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</si>
  <si>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</si>
  <si>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</si>
  <si>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</si>
  <si>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</si>
  <si>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</si>
  <si>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</si>
  <si>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</si>
  <si>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</si>
  <si>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</si>
  <si>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</si>
  <si>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</si>
  <si>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</si>
  <si>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</si>
  <si>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</si>
  <si>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</si>
  <si>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</si>
  <si>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</si>
  <si>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</si>
  <si>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</si>
  <si>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</si>
  <si>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</si>
  <si>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</si>
  <si>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</si>
  <si>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</si>
  <si>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</si>
  <si>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</si>
  <si>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</si>
  <si>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</si>
  <si>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</si>
  <si>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</si>
  <si>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</si>
  <si>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</si>
  <si>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</si>
  <si>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</si>
  <si>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</si>
  <si>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</si>
  <si>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</si>
  <si>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</si>
  <si>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</si>
  <si>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</si>
  <si>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</si>
  <si>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</si>
  <si>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</si>
  <si>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</si>
  <si>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</si>
  <si>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</si>
  <si>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</si>
  <si>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</si>
  <si>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</si>
  <si>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</si>
  <si>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</si>
  <si>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</si>
  <si>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</si>
  <si>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</si>
  <si>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</si>
  <si>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</si>
  <si>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</si>
  <si>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</si>
  <si>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</si>
  <si>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</si>
  <si>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</si>
  <si>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</si>
  <si>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</si>
  <si>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</si>
  <si>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</si>
  <si>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</si>
  <si>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</si>
  <si>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</si>
  <si>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</si>
  <si>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</si>
  <si>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</si>
  <si>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</si>
  <si>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</si>
  <si>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</si>
  <si>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</si>
  <si>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</si>
  <si>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</si>
  <si>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</si>
  <si>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</si>
  <si>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</si>
  <si>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</si>
  <si>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</si>
  <si>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</si>
  <si>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</si>
  <si>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</si>
  <si>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</si>
  <si>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</si>
  <si>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</si>
  <si>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</si>
  <si>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</si>
  <si>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</si>
  <si>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</si>
  <si>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</si>
  <si>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</si>
  <si>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</si>
  <si>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</si>
  <si>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</si>
  <si>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</si>
  <si>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</si>
  <si>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</si>
  <si>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</si>
  <si>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</si>
  <si>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</si>
  <si>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</si>
  <si>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</si>
  <si>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</si>
  <si>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</si>
  <si>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</si>
  <si>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</si>
  <si>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</si>
  <si>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</si>
  <si>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</si>
  <si>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</si>
  <si>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</si>
  <si>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</si>
  <si>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</si>
  <si>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</si>
  <si>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</si>
  <si>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</si>
  <si>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</si>
  <si>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</si>
  <si>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</si>
  <si>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</si>
  <si>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</si>
  <si>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</si>
  <si>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</si>
  <si>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</si>
  <si>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</si>
  <si>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</si>
  <si>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</si>
  <si>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</si>
  <si>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</si>
  <si>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</si>
  <si>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</si>
  <si>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</si>
  <si>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</si>
  <si>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</si>
  <si>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</si>
  <si>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</si>
  <si>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</si>
  <si>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</si>
  <si>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</si>
  <si>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</si>
  <si>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</si>
  <si>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</si>
  <si>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</si>
  <si>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</si>
  <si>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</si>
  <si>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</si>
  <si>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</si>
  <si>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</si>
  <si>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</si>
  <si>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</si>
  <si>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</si>
  <si>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</si>
  <si>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</si>
  <si>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</si>
  <si>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</si>
  <si>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</si>
  <si>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</si>
  <si>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</si>
  <si>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</si>
  <si>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</si>
  <si>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</si>
  <si>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</si>
  <si>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</si>
  <si>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</si>
  <si>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</si>
  <si>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</si>
  <si>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</si>
  <si>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</si>
  <si>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</si>
  <si>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</si>
  <si>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</si>
  <si>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</si>
  <si>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</si>
  <si>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</si>
  <si>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</si>
  <si>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</si>
  <si>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</si>
  <si>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</si>
  <si>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</si>
  <si>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</si>
  <si>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</si>
  <si>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</si>
  <si>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</si>
  <si>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</si>
  <si>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</si>
  <si>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</si>
  <si>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</si>
  <si>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</si>
  <si>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</si>
  <si>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</si>
  <si>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</si>
  <si>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</si>
  <si>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</si>
  <si>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</si>
  <si>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</si>
  <si>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</si>
  <si>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</si>
  <si>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</si>
  <si>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</si>
  <si>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</si>
  <si>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</si>
  <si>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</si>
  <si>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</si>
  <si>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</si>
  <si>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</si>
  <si>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</si>
  <si>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</si>
  <si>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</si>
  <si>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</si>
  <si>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</si>
  <si>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</si>
  <si>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</si>
  <si>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</si>
  <si>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</si>
  <si>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</si>
  <si>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</si>
  <si>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</si>
  <si>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</si>
  <si>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</si>
  <si>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</si>
  <si>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</si>
  <si>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</si>
  <si>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</si>
  <si>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</si>
  <si>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</si>
  <si>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</si>
  <si>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</si>
  <si>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</si>
  <si>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</si>
  <si>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</si>
  <si>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</si>
  <si>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</si>
  <si>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</si>
  <si>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</si>
  <si>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</si>
  <si>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</si>
  <si>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</si>
  <si>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</si>
  <si>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</si>
  <si>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</si>
  <si>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</si>
  <si>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</si>
  <si>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</si>
  <si>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</si>
  <si>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</si>
  <si>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</si>
  <si>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</si>
  <si>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</si>
  <si>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</si>
  <si>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</si>
  <si>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</si>
  <si>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</si>
  <si>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</si>
  <si>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</si>
  <si>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</si>
  <si>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</si>
  <si>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</si>
  <si>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</si>
  <si>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</si>
  <si>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</si>
  <si>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</si>
  <si>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</si>
  <si>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</si>
  <si>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</si>
  <si>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</si>
  <si>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</si>
  <si>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</si>
  <si>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</si>
  <si>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</si>
  <si>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</si>
  <si>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</si>
  <si>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</si>
  <si>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</si>
  <si>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</si>
  <si>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</si>
  <si>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</si>
  <si>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</si>
  <si>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</si>
  <si>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</si>
  <si>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</si>
  <si>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</si>
  <si>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</si>
  <si>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</si>
  <si>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</si>
  <si>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</si>
  <si>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</si>
  <si>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</si>
  <si>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</si>
  <si>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</si>
  <si>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</si>
  <si>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</si>
  <si>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</si>
  <si>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</si>
  <si>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</si>
  <si>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</si>
  <si>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</si>
  <si>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</si>
  <si>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</si>
  <si>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</si>
  <si>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</si>
  <si>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</si>
  <si>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</si>
  <si>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</si>
  <si>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</si>
  <si>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</si>
  <si>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</si>
  <si>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</si>
  <si>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</si>
  <si>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</si>
  <si>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</si>
  <si>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</si>
  <si>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</si>
  <si>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</si>
  <si>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</si>
  <si>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</si>
  <si>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</si>
  <si>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</si>
  <si>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</si>
  <si>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</si>
  <si>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</si>
  <si>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</si>
  <si>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</si>
  <si>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</si>
  <si>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</si>
  <si>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</si>
  <si>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</si>
  <si>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</si>
  <si>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</si>
  <si>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</si>
  <si>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</si>
  <si>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</si>
  <si>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</si>
  <si>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</si>
  <si>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</si>
  <si>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</si>
  <si>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</si>
  <si>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</si>
  <si>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</si>
  <si>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</si>
  <si>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</si>
  <si>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</si>
  <si>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</si>
  <si>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</si>
  <si>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</si>
  <si>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</si>
  <si>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</si>
  <si>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</si>
  <si>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</si>
  <si>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</si>
  <si>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</si>
  <si>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</si>
  <si>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</si>
  <si>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</si>
  <si>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</si>
  <si>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</si>
  <si>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</si>
  <si>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</si>
  <si>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</si>
  <si>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</si>
  <si>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</si>
  <si>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</si>
  <si>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</si>
  <si>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</si>
  <si>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</si>
  <si>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</si>
  <si>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</si>
  <si>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</si>
  <si>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</si>
  <si>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</si>
  <si>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</si>
  <si>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</si>
  <si>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</si>
  <si>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</si>
  <si>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</si>
  <si>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</si>
  <si>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</si>
  <si>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</si>
  <si>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</si>
  <si>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</si>
  <si>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</si>
  <si>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</si>
  <si>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</si>
  <si>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</si>
  <si>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</si>
  <si>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</si>
  <si>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</si>
  <si>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</si>
  <si>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</si>
  <si>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</si>
  <si>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</si>
  <si>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</si>
  <si>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</si>
  <si>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</si>
  <si>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</si>
  <si>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</si>
  <si>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</si>
  <si>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</si>
  <si>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</si>
  <si>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</si>
  <si>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</si>
  <si>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</si>
  <si>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</si>
  <si>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</si>
  <si>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</si>
  <si>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</si>
  <si>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</si>
  <si>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</si>
  <si>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</si>
  <si>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</si>
  <si>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</si>
  <si>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</si>
  <si>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</si>
  <si>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</si>
  <si>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</si>
  <si>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</si>
  <si>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</si>
  <si>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</si>
  <si>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</si>
  <si>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</si>
  <si>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</si>
  <si>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</si>
  <si>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</si>
  <si>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</si>
  <si>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</si>
  <si>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</si>
  <si>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Crawford</t>
  </si>
  <si>
    <t>Hutsonville CUSD 1</t>
  </si>
  <si>
    <t>500 W. Clover Street</t>
  </si>
  <si>
    <t xml:space="preserve">Hutsonville  </t>
  </si>
  <si>
    <t>lcrumrin@roe12.net</t>
  </si>
  <si>
    <t>X</t>
  </si>
  <si>
    <t>Julie Kraemer</t>
  </si>
  <si>
    <t>julie.kraemer@hutsonvilletigers.com</t>
  </si>
  <si>
    <t>618-563-4912</t>
  </si>
  <si>
    <t>618-563-9122</t>
  </si>
  <si>
    <t>Kemper CPA Group</t>
  </si>
  <si>
    <t>Brian Bradbury</t>
  </si>
  <si>
    <t>302 E. Walnut Street</t>
  </si>
  <si>
    <t>Robinson</t>
  </si>
  <si>
    <t>IL</t>
  </si>
  <si>
    <t>618-546-1502</t>
  </si>
  <si>
    <t>618-544-2140</t>
  </si>
  <si>
    <t>066-003998</t>
  </si>
  <si>
    <t>bbradbury@kcpag.com</t>
  </si>
  <si>
    <t>Other miscellaneous receipts - $29,976</t>
  </si>
  <si>
    <t>Page 12, Line 171, Column 10, Other Restricted Revenue from State Sources: State Library Grant - $1,500</t>
  </si>
  <si>
    <t>Page 14, Line 272, Column 10, Other Restricted Revenue from Federal Sources: Rural Achievement Grant - $21,349</t>
  </si>
  <si>
    <t>Page 15, Line 41, Column 300 - Purchased Services: Graduation speakers - $100</t>
  </si>
  <si>
    <t>Page 15, Line 41, Column 400 - Supplies &amp; Materials: Graduation supplies - $1,525</t>
  </si>
  <si>
    <t>Page 18, Line 171, Column 600 - Other Objects: Bank Fees - $500</t>
  </si>
  <si>
    <t>Series 2013 General Obligation Refunding Bonds</t>
  </si>
  <si>
    <t>South Eastern Special Education</t>
  </si>
  <si>
    <t>Twin Rivers Vocational System</t>
  </si>
  <si>
    <t>Internal controls should be in place to provide reasonable assurance that cash receipts and disbursements are properly recorded and authorized.</t>
  </si>
  <si>
    <t>The District has inadequate controls over cash receipts and disbursements due to a lack of segregation of duties.</t>
  </si>
  <si>
    <t>In the absence of proper segregation of duties over cash receipts and disbursements, improper transactions may occur.</t>
  </si>
  <si>
    <t>Due to a lack of segregation of duties over cash receipts and disbursements, cash transactions may occur that are not properly recorded or authorized.</t>
  </si>
  <si>
    <t>The District does not have the resources to hire additional staff to adequately segregate duties.</t>
  </si>
  <si>
    <t>Job duties should be segregated to prevent any one person from controlling conflicting aspects of any single transaction.</t>
  </si>
  <si>
    <t>Due to limited personnel, management believes it is unfeasible to correct this deficiency.</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</si>
  <si>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</si>
  <si>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</si>
  <si>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</si>
  <si>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</si>
  <si>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 xml:space="preserve">The District's personnel have not obtained the necessary knowledge or expertise. </t>
  </si>
  <si>
    <t>The District should provide the necessary training to personnel or contract with an independent contractor with the knowledge to properly prepare the notes to the financial statements.</t>
  </si>
  <si>
    <t>The District does not intend to correct the findings in the next fiscal year.</t>
  </si>
  <si>
    <t>The District has inadequate controls</t>
  </si>
  <si>
    <t>over cash receipts and disbursements due</t>
  </si>
  <si>
    <t>to a lack of segregation of duties</t>
  </si>
  <si>
    <t xml:space="preserve">The District does not have an individual with </t>
  </si>
  <si>
    <t xml:space="preserve">the necessary knowledge and technical </t>
  </si>
  <si>
    <t>expertise to properly prepare the notes to the</t>
  </si>
  <si>
    <t>financial statements.</t>
  </si>
  <si>
    <t>Repeated as Financial Statement Finding 2018-001</t>
  </si>
  <si>
    <t>Repeated as Financial Statement Finding 2018-002</t>
  </si>
  <si>
    <t>Page 23, Line 18, Column E - Other: Prior Year Adjustment - $ (12,247)</t>
  </si>
  <si>
    <t>SESE</t>
  </si>
  <si>
    <t>10-2310-300</t>
  </si>
  <si>
    <t>10-2130-300</t>
  </si>
  <si>
    <t>10-1250-300</t>
  </si>
  <si>
    <t>10-2120-300</t>
  </si>
  <si>
    <t>10-2220-300</t>
  </si>
  <si>
    <t>10-1100-300</t>
  </si>
  <si>
    <t>Crawford Memorial Hospital</t>
  </si>
  <si>
    <t>Crawford County Health Dept.</t>
  </si>
  <si>
    <t>Renaissance Learning</t>
  </si>
  <si>
    <t>Liminex, Inc.</t>
  </si>
  <si>
    <t>Ed-Payments to Other Districts and Government Units-Other Objects</t>
  </si>
  <si>
    <t>Ed-Support Services - Purchased Services</t>
  </si>
  <si>
    <t>Ed-Instruction - Purchased Services</t>
  </si>
  <si>
    <t>Ed-Instruction- Purchased Services</t>
  </si>
  <si>
    <t>Ed-Support Services-Purchased Services</t>
  </si>
  <si>
    <t>2017-001</t>
  </si>
  <si>
    <t>2017-002</t>
  </si>
  <si>
    <t>The Auditor's Report issued a qualified opinion because the financial statements do not include disclosures regarding postemployment health insurance benefits as required by GASB Statement 75 as required by the financial reporting provisions of the ISBE.</t>
  </si>
  <si>
    <t xml:space="preserve">Page 10, Line 107, Column 10, Other Local Revenues: United Way donation- $20,000; </t>
  </si>
  <si>
    <t>Page 10, Line 107, Column 20, Other Local Revenues: Receipt for teacher rescources- $8,668</t>
  </si>
  <si>
    <t>Page 10, Line 107, Column 40, Other Local Revenues: Miscellaneous receipts- $3,800</t>
  </si>
  <si>
    <t>x</t>
  </si>
  <si>
    <t>10-4000-600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</si>
</sst>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52" fillId="0" borderId="0" xfId="3" applyFont="1" applyAlignment="1" applyProtection="1">
      <alignment horizontal="center"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xdr:row>
          <xdr:rowOff>19050</xdr:rowOff>
        </xdr:from>
        <xdr:to>
          <xdr:col>1</xdr:col>
          <xdr:colOff>933450</xdr:colOff>
          <xdr:row>5</xdr:row>
          <xdr:rowOff>57150</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1</xdr:row>
          <xdr:rowOff>38100</xdr:rowOff>
        </xdr:from>
        <xdr:to>
          <xdr:col>1</xdr:col>
          <xdr:colOff>2095500</xdr:colOff>
          <xdr:row>5</xdr:row>
          <xdr:rowOff>76200</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95250</xdr:rowOff>
        </xdr:from>
        <xdr:to>
          <xdr:col>1</xdr:col>
          <xdr:colOff>933450</xdr:colOff>
          <xdr:row>10</xdr:row>
          <xdr:rowOff>133350</xdr:rowOff>
        </xdr:to>
        <xdr:sp macro="" textlink="">
          <xdr:nvSpPr>
            <xdr:cNvPr id="36871" name="Object 7" hidden="1">
              <a:extLst>
                <a:ext uri="{63B3BB69-23CF-44E3-9099-C40C66FF867C}">
                  <a14:compatExt spid="_x0000_s368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6</xdr:row>
          <xdr:rowOff>95250</xdr:rowOff>
        </xdr:from>
        <xdr:to>
          <xdr:col>1</xdr:col>
          <xdr:colOff>2085975</xdr:colOff>
          <xdr:row>10</xdr:row>
          <xdr:rowOff>133350</xdr:rowOff>
        </xdr:to>
        <xdr:sp macro="" textlink="">
          <xdr:nvSpPr>
            <xdr:cNvPr id="36872" name="Object 8" hidden="1">
              <a:extLst>
                <a:ext uri="{63B3BB69-23CF-44E3-9099-C40C66FF867C}">
                  <a14:compatExt spid="_x0000_s368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B6" sqref="B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2151</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2082</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12017001026</v>
      </c>
      <c r="B13" s="2033"/>
      <c r="C13" s="2033"/>
      <c r="D13" s="2033"/>
      <c r="E13" s="2033"/>
      <c r="F13" s="2033"/>
      <c r="G13" s="2033"/>
      <c r="H13" s="2034"/>
      <c r="I13" s="31"/>
      <c r="J13" s="30"/>
      <c r="K13" s="28"/>
      <c r="L13" s="30"/>
      <c r="M13" s="30"/>
      <c r="N13" s="30"/>
      <c r="O13" s="30"/>
      <c r="P13" s="30"/>
      <c r="Q13" s="30"/>
      <c r="R13" s="30"/>
      <c r="S13" s="30"/>
      <c r="T13" s="2037" t="s">
        <v>2087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2077</v>
      </c>
      <c r="B15" s="2035"/>
      <c r="C15" s="2035"/>
      <c r="D15" s="2035"/>
      <c r="E15" s="2035"/>
      <c r="F15" s="2035"/>
      <c r="G15" s="2035"/>
      <c r="H15" s="2036"/>
      <c r="T15" s="2041" t="s">
        <v>2088</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2078</v>
      </c>
      <c r="B17" s="1992"/>
      <c r="C17" s="1992"/>
      <c r="D17" s="1992"/>
      <c r="E17" s="1992"/>
      <c r="F17" s="1992"/>
      <c r="G17" s="1992"/>
      <c r="H17" s="2017"/>
      <c r="T17" s="2048" t="s">
        <v>2089</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2079</v>
      </c>
      <c r="B19" s="1977"/>
      <c r="C19" s="1977"/>
      <c r="D19" s="1977"/>
      <c r="E19" s="1977"/>
      <c r="F19" s="1977"/>
      <c r="G19" s="1977"/>
      <c r="H19" s="1957"/>
      <c r="I19" s="30"/>
      <c r="J19" s="99"/>
      <c r="K19" s="40"/>
      <c r="L19" s="38"/>
      <c r="M19" s="112" t="s">
        <v>333</v>
      </c>
      <c r="P19" s="27"/>
      <c r="Q19" s="27"/>
      <c r="R19" s="27"/>
      <c r="S19" s="31"/>
      <c r="T19" s="2031" t="s">
        <v>2090</v>
      </c>
      <c r="U19" s="1956"/>
      <c r="V19" s="1956"/>
      <c r="W19" s="1957"/>
      <c r="X19" s="2046" t="s">
        <v>2091</v>
      </c>
      <c r="Y19" s="2047"/>
      <c r="Z19" s="2044">
        <v>62454</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2080</v>
      </c>
      <c r="B21" s="1956"/>
      <c r="C21" s="1956"/>
      <c r="D21" s="1956"/>
      <c r="E21" s="1956"/>
      <c r="F21" s="1956"/>
      <c r="G21" s="1956"/>
      <c r="H21" s="1957"/>
      <c r="I21" s="2011" t="s">
        <v>699</v>
      </c>
      <c r="J21" s="2006"/>
      <c r="K21" s="2006"/>
      <c r="L21" s="2006"/>
      <c r="M21" s="2006"/>
      <c r="N21" s="2006"/>
      <c r="O21" s="2006"/>
      <c r="P21" s="2006"/>
      <c r="Q21" s="2006"/>
      <c r="R21" s="2006"/>
      <c r="S21" s="2012"/>
      <c r="T21" s="2055" t="s">
        <v>2092</v>
      </c>
      <c r="U21" s="2056"/>
      <c r="V21" s="2056"/>
      <c r="W21" s="2056"/>
      <c r="X21" s="2061" t="s">
        <v>2093</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2081</v>
      </c>
      <c r="B23" s="2009"/>
      <c r="C23" s="2009"/>
      <c r="D23" s="2009"/>
      <c r="E23" s="2009"/>
      <c r="F23" s="2009"/>
      <c r="G23" s="2009"/>
      <c r="H23" s="2010"/>
      <c r="T23" s="1991" t="s">
        <v>2094</v>
      </c>
      <c r="U23" s="2054"/>
      <c r="V23" s="2054"/>
      <c r="W23" s="2054"/>
      <c r="X23" s="2058">
        <v>43373</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62433</v>
      </c>
      <c r="B25" s="1956"/>
      <c r="C25" s="1956"/>
      <c r="D25" s="1956"/>
      <c r="E25" s="1956"/>
      <c r="F25" s="1956"/>
      <c r="G25" s="1956"/>
      <c r="H25" s="1957"/>
      <c r="I25" s="113"/>
      <c r="J25" s="1980"/>
      <c r="K25" s="1980"/>
      <c r="L25" s="1980"/>
      <c r="M25" s="1980"/>
      <c r="N25" s="1980"/>
      <c r="O25" s="1980"/>
      <c r="P25" s="1980"/>
      <c r="Q25" s="1980"/>
      <c r="R25" s="1980"/>
      <c r="S25" s="1981"/>
      <c r="T25" s="2051" t="s">
        <v>2095</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2082</v>
      </c>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02"/>
      <c r="K30" s="28" t="s">
        <v>597</v>
      </c>
      <c r="L30" s="148" t="s">
        <v>2082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2082</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2083</v>
      </c>
      <c r="B38" s="1992"/>
      <c r="C38" s="1992"/>
      <c r="D38" s="1992"/>
      <c r="E38" s="1992"/>
      <c r="F38" s="1956"/>
      <c r="G38" s="1956"/>
      <c r="H38" s="1957"/>
      <c r="I38" s="1984"/>
      <c r="J38" s="1985"/>
      <c r="K38" s="1985"/>
      <c r="L38" s="1985"/>
      <c r="M38" s="1985"/>
      <c r="N38" s="1985"/>
      <c r="O38" s="1985"/>
      <c r="P38" s="1986"/>
      <c r="Q38" s="1986"/>
      <c r="R38" s="1986"/>
      <c r="S38" s="1987"/>
      <c r="T38" s="2041"/>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2084</v>
      </c>
      <c r="B40" s="1970"/>
      <c r="C40" s="1971"/>
      <c r="D40" s="1971"/>
      <c r="E40" s="1971"/>
      <c r="F40" s="1972"/>
      <c r="G40" s="1972"/>
      <c r="H40" s="1973"/>
      <c r="I40" s="1994"/>
      <c r="J40" s="1995"/>
      <c r="K40" s="1995"/>
      <c r="L40" s="1995"/>
      <c r="M40" s="1995"/>
      <c r="N40" s="1995"/>
      <c r="O40" s="1995"/>
      <c r="P40" s="1995"/>
      <c r="Q40" s="1995"/>
      <c r="R40" s="1995"/>
      <c r="S40" s="1996"/>
      <c r="T40" s="1994"/>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2085</v>
      </c>
      <c r="B42" s="1975"/>
      <c r="C42" s="1976"/>
      <c r="D42" s="1974" t="s">
        <v>2086</v>
      </c>
      <c r="E42" s="1975"/>
      <c r="F42" s="1975"/>
      <c r="G42" s="1975"/>
      <c r="H42" s="1976"/>
      <c r="I42" s="1958"/>
      <c r="J42" s="1959"/>
      <c r="K42" s="1959"/>
      <c r="L42" s="1959"/>
      <c r="M42" s="1959"/>
      <c r="N42" s="1959"/>
      <c r="O42" s="1960"/>
      <c r="P42" s="1993"/>
      <c r="Q42" s="1959"/>
      <c r="R42" s="1959"/>
      <c r="S42" s="1960"/>
      <c r="T42" s="1958"/>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60" zoomScaleNormal="110" workbookViewId="0">
      <selection activeCell="M21" sqref="M2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7" t="s">
        <v>1905</v>
      </c>
      <c r="B2" s="1550" t="s">
        <v>2037</v>
      </c>
      <c r="C2" s="715" t="s">
        <v>1910</v>
      </c>
      <c r="D2" s="715" t="s">
        <v>1911</v>
      </c>
      <c r="E2" s="715" t="s">
        <v>1912</v>
      </c>
      <c r="F2" s="715" t="s">
        <v>1913</v>
      </c>
    </row>
    <row r="3" spans="1:6" ht="12" customHeight="1" x14ac:dyDescent="0.2">
      <c r="A3" s="2198"/>
      <c r="B3" s="1547"/>
      <c r="C3" s="1548"/>
      <c r="D3" s="1549" t="s">
        <v>274</v>
      </c>
      <c r="E3" s="1548"/>
      <c r="F3" s="1549" t="s">
        <v>275</v>
      </c>
    </row>
    <row r="4" spans="1:6" ht="13.7" customHeight="1" x14ac:dyDescent="0.2">
      <c r="A4" s="716" t="s">
        <v>1217</v>
      </c>
      <c r="B4" s="1768">
        <f>'Revenues 9-14'!C5</f>
        <v>592430</v>
      </c>
      <c r="C4" s="1546"/>
      <c r="D4" s="1771">
        <f>B4-C4</f>
        <v>592430</v>
      </c>
      <c r="E4" s="1546">
        <v>618859</v>
      </c>
      <c r="F4" s="1771">
        <f>E4-C4</f>
        <v>618859</v>
      </c>
    </row>
    <row r="5" spans="1:6" ht="13.7" customHeight="1" x14ac:dyDescent="0.2">
      <c r="A5" s="716" t="s">
        <v>925</v>
      </c>
      <c r="B5" s="1769">
        <f>'Revenues 9-14'!D5</f>
        <v>113938</v>
      </c>
      <c r="C5" s="585"/>
      <c r="D5" s="1772">
        <f t="shared" ref="D5:D18" si="0">B5-C5</f>
        <v>113938</v>
      </c>
      <c r="E5" s="585">
        <v>119011</v>
      </c>
      <c r="F5" s="1772">
        <f>E5-C5</f>
        <v>119011</v>
      </c>
    </row>
    <row r="6" spans="1:6" ht="13.7" customHeight="1" x14ac:dyDescent="0.2">
      <c r="A6" s="716" t="s">
        <v>431</v>
      </c>
      <c r="B6" s="1769">
        <f>'Revenues 9-14'!E5</f>
        <v>97830</v>
      </c>
      <c r="C6" s="585"/>
      <c r="D6" s="1772">
        <f t="shared" si="0"/>
        <v>97830</v>
      </c>
      <c r="E6" s="585">
        <v>96561</v>
      </c>
      <c r="F6" s="1772">
        <f t="shared" ref="F6:F18" si="1">E6-C6</f>
        <v>96561</v>
      </c>
    </row>
    <row r="7" spans="1:6" ht="13.7" customHeight="1" x14ac:dyDescent="0.2">
      <c r="A7" s="716" t="s">
        <v>157</v>
      </c>
      <c r="B7" s="1769">
        <f>'Revenues 9-14'!F5</f>
        <v>45599</v>
      </c>
      <c r="C7" s="585"/>
      <c r="D7" s="1772">
        <f t="shared" si="0"/>
        <v>45599</v>
      </c>
      <c r="E7" s="585">
        <v>47605</v>
      </c>
      <c r="F7" s="1772">
        <f t="shared" si="1"/>
        <v>47605</v>
      </c>
    </row>
    <row r="8" spans="1:6" ht="13.7" customHeight="1" x14ac:dyDescent="0.2">
      <c r="A8" s="716" t="s">
        <v>1241</v>
      </c>
      <c r="B8" s="1769">
        <f>'Revenues 9-14'!G5</f>
        <v>64194</v>
      </c>
      <c r="C8" s="585"/>
      <c r="D8" s="1772">
        <f t="shared" si="0"/>
        <v>64194</v>
      </c>
      <c r="E8" s="585">
        <v>53025</v>
      </c>
      <c r="F8" s="1772">
        <f t="shared" si="1"/>
        <v>53025</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11371</v>
      </c>
      <c r="C10" s="585"/>
      <c r="D10" s="1772">
        <f t="shared" si="0"/>
        <v>11371</v>
      </c>
      <c r="E10" s="585">
        <v>11901</v>
      </c>
      <c r="F10" s="1772">
        <f t="shared" si="1"/>
        <v>11901</v>
      </c>
    </row>
    <row r="11" spans="1:6" x14ac:dyDescent="0.2">
      <c r="A11" s="716" t="s">
        <v>429</v>
      </c>
      <c r="B11" s="1769">
        <f>'Revenues 9-14'!J5</f>
        <v>174460</v>
      </c>
      <c r="C11" s="585"/>
      <c r="D11" s="1772">
        <f t="shared" si="0"/>
        <v>174460</v>
      </c>
      <c r="E11" s="585">
        <v>201988</v>
      </c>
      <c r="F11" s="1772">
        <f t="shared" si="1"/>
        <v>201988</v>
      </c>
    </row>
    <row r="12" spans="1:6" ht="13.7" customHeight="1" x14ac:dyDescent="0.2">
      <c r="A12" s="716" t="s">
        <v>159</v>
      </c>
      <c r="B12" s="1769">
        <f>'Revenues 9-14'!K5</f>
        <v>11370</v>
      </c>
      <c r="C12" s="585"/>
      <c r="D12" s="1772">
        <f t="shared" si="0"/>
        <v>11370</v>
      </c>
      <c r="E12" s="585">
        <v>11901</v>
      </c>
      <c r="F12" s="1772">
        <f t="shared" si="1"/>
        <v>11901</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9001</v>
      </c>
      <c r="C14" s="585"/>
      <c r="D14" s="1772">
        <f t="shared" si="0"/>
        <v>9001</v>
      </c>
      <c r="E14" s="585">
        <v>9521</v>
      </c>
      <c r="F14" s="1772">
        <f t="shared" si="1"/>
        <v>9521</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64194</v>
      </c>
      <c r="C16" s="585"/>
      <c r="D16" s="1772">
        <f t="shared" si="0"/>
        <v>64194</v>
      </c>
      <c r="E16" s="585">
        <v>53025</v>
      </c>
      <c r="F16" s="1772">
        <f t="shared" si="1"/>
        <v>53025</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v>-12247</v>
      </c>
      <c r="F18" s="1772">
        <f t="shared" si="1"/>
        <v>-12247</v>
      </c>
    </row>
    <row r="19" spans="1:6" ht="13.7" customHeight="1" thickBot="1" x14ac:dyDescent="0.25">
      <c r="A19" s="1773" t="s">
        <v>1223</v>
      </c>
      <c r="B19" s="1770">
        <f>SUM(B4:B18)</f>
        <v>1184387</v>
      </c>
      <c r="C19" s="1770">
        <f>SUM(C4:C18)</f>
        <v>0</v>
      </c>
      <c r="D19" s="1770">
        <f>SUM(D4:D18)</f>
        <v>1184387</v>
      </c>
      <c r="E19" s="1770">
        <f>SUM(E4:E18)</f>
        <v>1211150</v>
      </c>
      <c r="F19" s="1770">
        <f>SUM(F4:F18)</f>
        <v>1211150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90" zoomScaleNormal="9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2"/>
    </row>
    <row r="2" spans="1:7" ht="33.75" x14ac:dyDescent="0.2">
      <c r="A2" s="2224" t="s">
        <v>1905</v>
      </c>
      <c r="B2" s="2225"/>
      <c r="C2" s="1904" t="s">
        <v>2038</v>
      </c>
      <c r="D2" s="724" t="s">
        <v>2045</v>
      </c>
      <c r="E2" s="724" t="s">
        <v>2046</v>
      </c>
      <c r="F2" s="1904" t="s">
        <v>2039</v>
      </c>
    </row>
    <row r="3" spans="1:7" ht="15.75" customHeight="1" x14ac:dyDescent="0.2">
      <c r="A3" s="2226" t="s">
        <v>1176</v>
      </c>
      <c r="B3" s="2227"/>
      <c r="C3" s="2220"/>
      <c r="D3" s="2221"/>
      <c r="E3" s="2221"/>
      <c r="F3" s="2222"/>
    </row>
    <row r="4" spans="1:7" ht="12.75" customHeight="1" thickBot="1" x14ac:dyDescent="0.25">
      <c r="A4" s="2214" t="s">
        <v>651</v>
      </c>
      <c r="B4" s="2215"/>
      <c r="C4" s="581"/>
      <c r="D4" s="581"/>
      <c r="E4" s="581"/>
      <c r="F4" s="1774">
        <f>SUM(C4+D4)-E4</f>
        <v>0</v>
      </c>
    </row>
    <row r="5" spans="1:7" ht="15.75" customHeight="1" thickTop="1" x14ac:dyDescent="0.2">
      <c r="A5" s="2218" t="s">
        <v>1172</v>
      </c>
      <c r="B5" s="2213"/>
      <c r="C5" s="2207"/>
      <c r="D5" s="2208"/>
      <c r="E5" s="2208"/>
      <c r="F5" s="2209"/>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0" t="s">
        <v>652</v>
      </c>
      <c r="B15" s="2211"/>
      <c r="C15" s="1774">
        <f>SUM(C6:C14)</f>
        <v>0</v>
      </c>
      <c r="D15" s="1774">
        <f>SUM(D6:D14)</f>
        <v>0</v>
      </c>
      <c r="E15" s="1774">
        <f>SUM(E6:E14)</f>
        <v>0</v>
      </c>
      <c r="F15" s="1774">
        <f>SUM(F6:F14)</f>
        <v>0</v>
      </c>
      <c r="G15" s="552"/>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7"/>
      <c r="D17" s="585"/>
      <c r="E17" s="727"/>
      <c r="F17" s="1774">
        <f>SUM(C17+D17)-E17</f>
        <v>0</v>
      </c>
    </row>
    <row r="18" spans="1:11" ht="12.75" customHeight="1" thickTop="1" thickBot="1" x14ac:dyDescent="0.25">
      <c r="A18" s="2205" t="s">
        <v>6</v>
      </c>
      <c r="B18" s="2206"/>
      <c r="C18" s="727"/>
      <c r="D18" s="585"/>
      <c r="E18" s="727"/>
      <c r="F18" s="1774">
        <f>SUM(C18+D18)-E18</f>
        <v>0</v>
      </c>
    </row>
    <row r="19" spans="1:11" ht="12.75" customHeight="1" thickTop="1" thickBot="1" x14ac:dyDescent="0.25">
      <c r="A19" s="2205" t="s">
        <v>406</v>
      </c>
      <c r="B19" s="2206"/>
      <c r="C19" s="727"/>
      <c r="D19" s="585"/>
      <c r="E19" s="727"/>
      <c r="F19" s="1774">
        <f>SUM(C19+D19)-E19</f>
        <v>0</v>
      </c>
    </row>
    <row r="20" spans="1:11" ht="12.75" customHeight="1" thickTop="1" thickBot="1" x14ac:dyDescent="0.25">
      <c r="A20" s="2205" t="s">
        <v>468</v>
      </c>
      <c r="B20" s="2206"/>
      <c r="C20" s="727"/>
      <c r="D20" s="585"/>
      <c r="E20" s="727"/>
      <c r="F20" s="1774">
        <f>SUM(C20+D20)-E20</f>
        <v>0</v>
      </c>
    </row>
    <row r="21" spans="1:11" ht="14.25" thickTop="1" thickBot="1" x14ac:dyDescent="0.25">
      <c r="A21" s="2210" t="s">
        <v>653</v>
      </c>
      <c r="B21" s="2211"/>
      <c r="C21" s="1774">
        <f>SUM(C17:C20)</f>
        <v>0</v>
      </c>
      <c r="D21" s="1774">
        <f>SUM(D17:D20)</f>
        <v>0</v>
      </c>
      <c r="E21" s="1774">
        <f>SUM(E17:E20)</f>
        <v>0</v>
      </c>
      <c r="F21" s="1774">
        <f>SUM(F17:F20)</f>
        <v>0</v>
      </c>
      <c r="G21" s="552"/>
    </row>
    <row r="22" spans="1:11" ht="15.75" customHeight="1" thickTop="1" x14ac:dyDescent="0.2">
      <c r="A22" s="2212" t="s">
        <v>1174</v>
      </c>
      <c r="B22" s="2213"/>
      <c r="C22" s="2207"/>
      <c r="D22" s="2208"/>
      <c r="E22" s="2208"/>
      <c r="F22" s="2209"/>
    </row>
    <row r="23" spans="1:11" ht="13.5" thickBot="1" x14ac:dyDescent="0.25">
      <c r="A23" s="2214" t="s">
        <v>654</v>
      </c>
      <c r="B23" s="2215"/>
      <c r="C23" s="581"/>
      <c r="D23" s="581"/>
      <c r="E23" s="581"/>
      <c r="F23" s="1774">
        <f>SUM(C23+D23)-E23</f>
        <v>0</v>
      </c>
      <c r="G23" s="552"/>
    </row>
    <row r="24" spans="1:11" ht="15.75" customHeight="1" thickTop="1" x14ac:dyDescent="0.2">
      <c r="A24" s="2212" t="s">
        <v>1175</v>
      </c>
      <c r="B24" s="2213"/>
      <c r="C24" s="2207"/>
      <c r="D24" s="2208"/>
      <c r="E24" s="2208"/>
      <c r="F24" s="2209"/>
    </row>
    <row r="25" spans="1:11" ht="13.5" thickBot="1" x14ac:dyDescent="0.25">
      <c r="A25" s="2214" t="s">
        <v>655</v>
      </c>
      <c r="B25" s="2215"/>
      <c r="C25" s="581"/>
      <c r="D25" s="581"/>
      <c r="E25" s="581"/>
      <c r="F25" s="1774">
        <f>SUM(C25+D25)-E25</f>
        <v>0</v>
      </c>
      <c r="G25" s="552"/>
    </row>
    <row r="26" spans="1:11" ht="15.75" customHeight="1" thickTop="1" x14ac:dyDescent="0.2">
      <c r="A26" s="2218" t="s">
        <v>678</v>
      </c>
      <c r="B26" s="2213"/>
      <c r="C26" s="728"/>
      <c r="D26" s="728"/>
      <c r="E26" s="728"/>
      <c r="F26" s="729"/>
    </row>
    <row r="27" spans="1:11" ht="13.5" thickBot="1" x14ac:dyDescent="0.25">
      <c r="A27" s="2210" t="s">
        <v>1130</v>
      </c>
      <c r="B27" s="2211"/>
      <c r="C27" s="585"/>
      <c r="D27" s="585"/>
      <c r="E27" s="585"/>
      <c r="F27" s="1774">
        <f>SUM(C27+D27)-E27</f>
        <v>0</v>
      </c>
      <c r="G27" s="552"/>
    </row>
    <row r="28" spans="1:11" ht="7.5" customHeight="1" thickTop="1" x14ac:dyDescent="0.2">
      <c r="A28" s="594"/>
    </row>
    <row r="29" spans="1:11" ht="23.25" customHeight="1" x14ac:dyDescent="0.2">
      <c r="A29" s="2216" t="s">
        <v>603</v>
      </c>
      <c r="B29" s="2217"/>
      <c r="C29" s="730"/>
      <c r="D29" s="730"/>
      <c r="E29" s="730"/>
      <c r="F29" s="730"/>
      <c r="G29" s="730"/>
      <c r="H29" s="730"/>
      <c r="I29" s="730"/>
      <c r="J29" s="730"/>
    </row>
    <row r="30" spans="1:11" ht="33.75" x14ac:dyDescent="0.2">
      <c r="A30" s="1551" t="s">
        <v>1131</v>
      </c>
      <c r="B30" s="731" t="s">
        <v>1186</v>
      </c>
      <c r="C30" s="1905" t="s">
        <v>604</v>
      </c>
      <c r="D30" s="1905" t="s">
        <v>1772</v>
      </c>
      <c r="E30" s="1905" t="s">
        <v>2040</v>
      </c>
      <c r="F30" s="1905" t="s">
        <v>2041</v>
      </c>
      <c r="G30" s="1905" t="s">
        <v>2044</v>
      </c>
      <c r="H30" s="1905" t="s">
        <v>2042</v>
      </c>
      <c r="I30" s="1905" t="s">
        <v>2043</v>
      </c>
      <c r="J30" s="1906" t="s">
        <v>2</v>
      </c>
      <c r="K30" s="732"/>
    </row>
    <row r="31" spans="1:11" ht="12" customHeight="1" x14ac:dyDescent="0.2">
      <c r="A31" s="733" t="s">
        <v>2102</v>
      </c>
      <c r="B31" s="734">
        <v>41386</v>
      </c>
      <c r="C31" s="735">
        <v>938200</v>
      </c>
      <c r="D31" s="736">
        <v>3</v>
      </c>
      <c r="E31" s="735">
        <v>618600</v>
      </c>
      <c r="F31" s="735"/>
      <c r="G31" s="735"/>
      <c r="H31" s="735">
        <v>83400</v>
      </c>
      <c r="I31" s="1775">
        <f>((E31+F31)-H31)+G31</f>
        <v>535200</v>
      </c>
      <c r="J31" s="735">
        <v>529292</v>
      </c>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938200</v>
      </c>
      <c r="D49" s="746"/>
      <c r="E49" s="1775">
        <f t="shared" ref="E49:J49" si="2">SUM(E31:E48)</f>
        <v>618600</v>
      </c>
      <c r="F49" s="1775">
        <f t="shared" si="2"/>
        <v>0</v>
      </c>
      <c r="G49" s="1775">
        <f t="shared" si="2"/>
        <v>0</v>
      </c>
      <c r="H49" s="1775">
        <f t="shared" si="2"/>
        <v>83400</v>
      </c>
      <c r="I49" s="1775">
        <f t="shared" si="2"/>
        <v>535200</v>
      </c>
      <c r="J49" s="1775">
        <f t="shared" si="2"/>
        <v>529292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199" t="s">
        <v>605</v>
      </c>
      <c r="C52" s="2200"/>
      <c r="D52" s="2200"/>
      <c r="E52" s="750" t="s">
        <v>900</v>
      </c>
      <c r="F52" s="2201"/>
      <c r="G52" s="2202"/>
      <c r="H52" s="737"/>
      <c r="I52" s="737"/>
      <c r="J52" s="747"/>
    </row>
    <row r="53" spans="1:11" ht="11.25" customHeight="1" x14ac:dyDescent="0.2">
      <c r="A53" s="751" t="s">
        <v>969</v>
      </c>
      <c r="B53" s="752" t="s">
        <v>1008</v>
      </c>
      <c r="C53" s="747"/>
      <c r="D53" s="738"/>
      <c r="E53" s="750" t="s">
        <v>518</v>
      </c>
      <c r="F53" s="2203"/>
      <c r="G53" s="2204"/>
      <c r="H53" s="737"/>
      <c r="I53" s="737"/>
      <c r="J53" s="747"/>
    </row>
    <row r="54" spans="1:11" ht="11.25" customHeight="1" x14ac:dyDescent="0.2">
      <c r="A54" s="753" t="s">
        <v>970</v>
      </c>
      <c r="B54" s="748" t="s">
        <v>1009</v>
      </c>
      <c r="C54" s="747"/>
      <c r="D54" s="738"/>
      <c r="E54" s="750" t="s">
        <v>519</v>
      </c>
      <c r="F54" s="2203"/>
      <c r="G54" s="220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Q37" sqref="Q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2"/>
      <c r="I1" s="761"/>
      <c r="J1" s="433"/>
    </row>
    <row r="2" spans="1:11" ht="26.25" x14ac:dyDescent="0.2">
      <c r="A2" s="2247" t="s">
        <v>1776</v>
      </c>
      <c r="B2" s="2248"/>
      <c r="C2" s="2248"/>
      <c r="D2" s="2248"/>
      <c r="E2" s="2249"/>
      <c r="F2" s="762" t="s">
        <v>960</v>
      </c>
      <c r="G2" s="763" t="s">
        <v>1773</v>
      </c>
      <c r="H2" s="763" t="s">
        <v>430</v>
      </c>
      <c r="I2" s="763" t="s">
        <v>1220</v>
      </c>
      <c r="J2" s="763" t="s">
        <v>1919</v>
      </c>
      <c r="K2" s="763" t="s">
        <v>140</v>
      </c>
    </row>
    <row r="3" spans="1:11" x14ac:dyDescent="0.2">
      <c r="A3" s="2250" t="s">
        <v>1698</v>
      </c>
      <c r="B3" s="2251"/>
      <c r="C3" s="2251"/>
      <c r="D3" s="2251"/>
      <c r="E3" s="2252"/>
      <c r="F3" s="764"/>
      <c r="G3" s="765"/>
      <c r="H3" s="765"/>
      <c r="I3" s="765"/>
      <c r="J3" s="766"/>
      <c r="K3" s="766"/>
    </row>
    <row r="4" spans="1:11" x14ac:dyDescent="0.2">
      <c r="A4" s="2253" t="s">
        <v>387</v>
      </c>
      <c r="B4" s="2254"/>
      <c r="C4" s="2254"/>
      <c r="D4" s="2254"/>
      <c r="E4" s="2200"/>
      <c r="F4" s="767"/>
      <c r="G4" s="768"/>
      <c r="H4" s="769"/>
      <c r="I4" s="768"/>
      <c r="J4" s="770"/>
      <c r="K4" s="770"/>
    </row>
    <row r="5" spans="1:11" x14ac:dyDescent="0.2">
      <c r="A5" s="2231" t="s">
        <v>1129</v>
      </c>
      <c r="B5" s="2232"/>
      <c r="C5" s="2232"/>
      <c r="D5" s="2232"/>
      <c r="E5" s="2233"/>
      <c r="F5" s="771" t="s">
        <v>903</v>
      </c>
      <c r="G5" s="772"/>
      <c r="H5" s="765">
        <v>9001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5503</v>
      </c>
    </row>
    <row r="10" spans="1:11" x14ac:dyDescent="0.2">
      <c r="A10" s="2231" t="s">
        <v>1920</v>
      </c>
      <c r="B10" s="2232"/>
      <c r="C10" s="2232"/>
      <c r="D10" s="2232"/>
      <c r="E10" s="2234"/>
      <c r="F10" s="784" t="s">
        <v>917</v>
      </c>
      <c r="G10" s="783"/>
      <c r="H10" s="785"/>
      <c r="I10" s="765"/>
      <c r="J10" s="766"/>
      <c r="K10" s="766"/>
    </row>
    <row r="11" spans="1:11" x14ac:dyDescent="0.2">
      <c r="A11" s="2231" t="s">
        <v>162</v>
      </c>
      <c r="B11" s="2232"/>
      <c r="C11" s="2232"/>
      <c r="D11" s="2232"/>
      <c r="E11" s="2233"/>
      <c r="F11" s="771" t="s">
        <v>907</v>
      </c>
      <c r="G11" s="772"/>
      <c r="H11" s="765"/>
      <c r="I11" s="765"/>
      <c r="J11" s="766"/>
      <c r="K11" s="774"/>
    </row>
    <row r="12" spans="1:11" ht="13.5" thickBot="1" x14ac:dyDescent="0.25">
      <c r="A12" s="2258" t="s">
        <v>961</v>
      </c>
      <c r="B12" s="2259"/>
      <c r="C12" s="2259"/>
      <c r="D12" s="2259"/>
      <c r="E12" s="2260"/>
      <c r="F12" s="1776"/>
      <c r="G12" s="1777">
        <f>SUM(G5:G11)</f>
        <v>0</v>
      </c>
      <c r="H12" s="1777">
        <f>SUM(H5:H11)</f>
        <v>9001</v>
      </c>
      <c r="I12" s="1777">
        <f>SUM(I5:I11)</f>
        <v>0</v>
      </c>
      <c r="J12" s="1777">
        <f>SUM(J5:J11)</f>
        <v>0</v>
      </c>
      <c r="K12" s="1777">
        <f>SUM(K5:K11)</f>
        <v>5503</v>
      </c>
    </row>
    <row r="13" spans="1:11" ht="13.5" thickTop="1" x14ac:dyDescent="0.2">
      <c r="A13" s="2255" t="s">
        <v>388</v>
      </c>
      <c r="B13" s="2256"/>
      <c r="C13" s="2256"/>
      <c r="D13" s="2256"/>
      <c r="E13" s="2257"/>
      <c r="F13" s="786"/>
      <c r="G13" s="787"/>
      <c r="H13" s="788"/>
      <c r="I13" s="789"/>
      <c r="J13" s="789"/>
      <c r="K13" s="789"/>
    </row>
    <row r="14" spans="1:11" x14ac:dyDescent="0.2">
      <c r="A14" s="2238" t="s">
        <v>476</v>
      </c>
      <c r="B14" s="2238"/>
      <c r="C14" s="2238"/>
      <c r="D14" s="2238"/>
      <c r="E14" s="2239"/>
      <c r="F14" s="790" t="s">
        <v>909</v>
      </c>
      <c r="G14" s="783"/>
      <c r="H14" s="765">
        <v>9001</v>
      </c>
      <c r="I14" s="772"/>
      <c r="J14" s="774"/>
      <c r="K14" s="766">
        <v>5503</v>
      </c>
    </row>
    <row r="15" spans="1:11" x14ac:dyDescent="0.2">
      <c r="A15" s="2232" t="s">
        <v>4</v>
      </c>
      <c r="B15" s="2232"/>
      <c r="C15" s="2232"/>
      <c r="D15" s="2232"/>
      <c r="E15" s="2233"/>
      <c r="F15" s="790" t="s">
        <v>910</v>
      </c>
      <c r="G15" s="772"/>
      <c r="H15" s="765"/>
      <c r="I15" s="765"/>
      <c r="J15" s="766"/>
      <c r="K15" s="766"/>
    </row>
    <row r="16" spans="1:11" x14ac:dyDescent="0.2">
      <c r="A16" s="2232" t="s">
        <v>316</v>
      </c>
      <c r="B16" s="2232"/>
      <c r="C16" s="2232"/>
      <c r="D16" s="2232"/>
      <c r="E16" s="2233"/>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42" t="s">
        <v>386</v>
      </c>
      <c r="B18" s="2243"/>
      <c r="C18" s="2243"/>
      <c r="D18" s="2243"/>
      <c r="E18" s="2244"/>
      <c r="F18" s="790" t="s">
        <v>989</v>
      </c>
      <c r="G18" s="783"/>
      <c r="H18" s="783"/>
      <c r="I18" s="783"/>
      <c r="J18" s="766"/>
      <c r="K18" s="796"/>
    </row>
    <row r="19" spans="1:11" ht="21.75" customHeight="1" x14ac:dyDescent="0.2">
      <c r="A19" s="2240" t="s">
        <v>1916</v>
      </c>
      <c r="B19" s="2240"/>
      <c r="C19" s="2240"/>
      <c r="D19" s="2240"/>
      <c r="E19" s="2241"/>
      <c r="F19" s="790" t="s">
        <v>990</v>
      </c>
      <c r="G19" s="783"/>
      <c r="H19" s="783"/>
      <c r="I19" s="783"/>
      <c r="J19" s="766"/>
      <c r="K19" s="796"/>
    </row>
    <row r="20" spans="1:11" x14ac:dyDescent="0.2">
      <c r="A20" s="2242" t="s">
        <v>1921</v>
      </c>
      <c r="B20" s="2243"/>
      <c r="C20" s="2243"/>
      <c r="D20" s="2243"/>
      <c r="E20" s="2244"/>
      <c r="F20" s="790" t="s">
        <v>991</v>
      </c>
      <c r="G20" s="783"/>
      <c r="H20" s="783"/>
      <c r="I20" s="783"/>
      <c r="J20" s="766"/>
      <c r="K20" s="796"/>
    </row>
    <row r="21" spans="1:11" ht="13.5" thickBot="1" x14ac:dyDescent="0.25">
      <c r="A21" s="2261" t="s">
        <v>659</v>
      </c>
      <c r="B21" s="2261"/>
      <c r="C21" s="2261"/>
      <c r="D21" s="2261"/>
      <c r="E21" s="2261"/>
      <c r="F21" s="1778"/>
      <c r="G21" s="793"/>
      <c r="H21" s="797"/>
      <c r="I21" s="797"/>
      <c r="J21" s="1779">
        <f>SUM(J18:J20)</f>
        <v>0</v>
      </c>
      <c r="K21" s="794"/>
    </row>
    <row r="22" spans="1:11" ht="13.5" thickTop="1" x14ac:dyDescent="0.2">
      <c r="A22" s="2232" t="s">
        <v>1922</v>
      </c>
      <c r="B22" s="2232"/>
      <c r="C22" s="2232"/>
      <c r="D22" s="2232"/>
      <c r="E22" s="2233"/>
      <c r="F22" s="790" t="s">
        <v>917</v>
      </c>
      <c r="G22" s="783"/>
      <c r="H22" s="765"/>
      <c r="I22" s="765"/>
      <c r="J22" s="798"/>
      <c r="K22" s="766"/>
    </row>
    <row r="23" spans="1:11" ht="13.5" thickBot="1" x14ac:dyDescent="0.25">
      <c r="A23" s="2262" t="s">
        <v>962</v>
      </c>
      <c r="B23" s="2261"/>
      <c r="C23" s="2261"/>
      <c r="D23" s="2261"/>
      <c r="E23" s="2261"/>
      <c r="F23" s="1780"/>
      <c r="G23" s="1777">
        <f>SUM(G14:G16,G21,G22)</f>
        <v>0</v>
      </c>
      <c r="H23" s="1777">
        <f>SUM(H14:H16,H21,H22)</f>
        <v>9001</v>
      </c>
      <c r="I23" s="1777">
        <f>SUM(I14:I16,I21,I22)</f>
        <v>0</v>
      </c>
      <c r="J23" s="1777">
        <f>SUM(J14:J16,J21,J22)</f>
        <v>0</v>
      </c>
      <c r="K23" s="1777">
        <f>SUM(K14:K16,K21,K22)</f>
        <v>5503</v>
      </c>
    </row>
    <row r="24" spans="1:11" ht="14.25" thickTop="1" thickBot="1" x14ac:dyDescent="0.25">
      <c r="A24" s="2262" t="s">
        <v>2026</v>
      </c>
      <c r="B24" s="2261"/>
      <c r="C24" s="2261"/>
      <c r="D24" s="2261"/>
      <c r="E24" s="2261"/>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0" t="s">
        <v>2036</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t="s">
        <v>2082</v>
      </c>
      <c r="E30" s="809" t="s">
        <v>792</v>
      </c>
      <c r="F30" s="202"/>
      <c r="G30" s="806"/>
    </row>
    <row r="31" spans="1:11" x14ac:dyDescent="0.2">
      <c r="A31" s="810"/>
      <c r="D31" s="237"/>
      <c r="E31" s="811" t="s">
        <v>793</v>
      </c>
      <c r="F31" s="812" t="s">
        <v>560</v>
      </c>
      <c r="G31" s="765"/>
      <c r="H31" s="2235"/>
      <c r="I31" s="2236"/>
      <c r="J31" s="2236"/>
      <c r="K31" s="2236"/>
    </row>
    <row r="32" spans="1:11" x14ac:dyDescent="0.2">
      <c r="A32" s="810"/>
      <c r="B32" s="237"/>
      <c r="C32" s="237"/>
      <c r="D32" s="237"/>
      <c r="E32" s="806"/>
      <c r="F32" s="812" t="s">
        <v>561</v>
      </c>
      <c r="G32" s="765"/>
      <c r="H32" s="2237"/>
      <c r="I32" s="2236"/>
      <c r="J32" s="2236"/>
      <c r="K32" s="2236"/>
    </row>
    <row r="33" spans="1:11" ht="1.5" customHeight="1" x14ac:dyDescent="0.2">
      <c r="A33" s="813" t="s">
        <v>1231</v>
      </c>
      <c r="B33" s="364"/>
      <c r="C33" s="364"/>
      <c r="D33" s="364"/>
      <c r="E33" s="364"/>
      <c r="F33" s="364"/>
      <c r="G33" s="814"/>
      <c r="H33" s="2237"/>
      <c r="I33" s="2236"/>
      <c r="J33" s="2236"/>
      <c r="K33" s="223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45"/>
      <c r="C41" s="2245"/>
      <c r="D41" s="2245"/>
      <c r="E41" s="2245"/>
      <c r="F41" s="224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I17" sqref="I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2035</v>
      </c>
      <c r="B1" s="2268"/>
      <c r="C1" s="2269"/>
      <c r="D1" s="827"/>
      <c r="E1" s="828"/>
      <c r="F1" s="828"/>
      <c r="G1" s="829"/>
      <c r="H1" s="830"/>
      <c r="I1" s="831"/>
      <c r="J1" s="2265"/>
      <c r="K1" s="2266"/>
      <c r="L1" s="226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15425</v>
      </c>
      <c r="D5" s="842"/>
      <c r="E5" s="842"/>
      <c r="F5" s="1779">
        <f>(C5+D5)-E5</f>
        <v>15425</v>
      </c>
      <c r="G5" s="838"/>
      <c r="H5" s="843"/>
      <c r="I5" s="843"/>
      <c r="J5" s="843"/>
      <c r="K5" s="794"/>
      <c r="L5" s="1788">
        <f>F5-K5</f>
        <v>15425</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7658784</v>
      </c>
      <c r="D8" s="845"/>
      <c r="E8" s="845"/>
      <c r="F8" s="1779">
        <f>(C8+D8)-E8</f>
        <v>7658784</v>
      </c>
      <c r="G8" s="844">
        <v>50</v>
      </c>
      <c r="H8" s="766">
        <v>2870424</v>
      </c>
      <c r="I8" s="766">
        <v>151758</v>
      </c>
      <c r="J8" s="766"/>
      <c r="K8" s="1788">
        <f>(H8+I8)-J8</f>
        <v>3022182</v>
      </c>
      <c r="L8" s="1788">
        <f>F8-K8</f>
        <v>4636602</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397541</v>
      </c>
      <c r="D10" s="847"/>
      <c r="E10" s="847"/>
      <c r="F10" s="1783">
        <f>(C10+D10)-E10</f>
        <v>397541</v>
      </c>
      <c r="G10" s="844">
        <v>20</v>
      </c>
      <c r="H10" s="848">
        <v>181064</v>
      </c>
      <c r="I10" s="848">
        <v>37895</v>
      </c>
      <c r="J10" s="848"/>
      <c r="K10" s="1788">
        <f>(H10+I10)-J10</f>
        <v>218959</v>
      </c>
      <c r="L10" s="1788">
        <f>F10-K10</f>
        <v>178582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333016</v>
      </c>
      <c r="D12" s="845"/>
      <c r="E12" s="845">
        <v>72776</v>
      </c>
      <c r="F12" s="1779">
        <f>(C12+D12)-E12</f>
        <v>260240</v>
      </c>
      <c r="G12" s="844">
        <v>10</v>
      </c>
      <c r="H12" s="766">
        <v>201080</v>
      </c>
      <c r="I12" s="766">
        <v>46766</v>
      </c>
      <c r="J12" s="766">
        <v>72776</v>
      </c>
      <c r="K12" s="1788">
        <f>(H12+I12)-J12</f>
        <v>175070</v>
      </c>
      <c r="L12" s="1788">
        <f>F12-K12</f>
        <v>85170</v>
      </c>
    </row>
    <row r="13" spans="1:14" ht="14.25" thickTop="1" thickBot="1" x14ac:dyDescent="0.25">
      <c r="A13" s="849" t="s">
        <v>1184</v>
      </c>
      <c r="B13" s="841">
        <v>252</v>
      </c>
      <c r="C13" s="845">
        <v>711960</v>
      </c>
      <c r="D13" s="845"/>
      <c r="E13" s="845"/>
      <c r="F13" s="1779">
        <f>(C13+D13)-E13</f>
        <v>711960</v>
      </c>
      <c r="G13" s="844">
        <v>5</v>
      </c>
      <c r="H13" s="766">
        <v>666077</v>
      </c>
      <c r="I13" s="766">
        <v>15731</v>
      </c>
      <c r="J13" s="766"/>
      <c r="K13" s="1788">
        <f>(H13+I13)-J13</f>
        <v>681808</v>
      </c>
      <c r="L13" s="1788">
        <f>F13-K13</f>
        <v>30152</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v>49698</v>
      </c>
      <c r="E15" s="845"/>
      <c r="F15" s="1779">
        <f>(C15+D15)-E15</f>
        <v>49698</v>
      </c>
      <c r="G15" s="850" t="s">
        <v>917</v>
      </c>
      <c r="H15" s="782"/>
      <c r="I15" s="782"/>
      <c r="J15" s="782"/>
      <c r="K15" s="782"/>
      <c r="L15" s="1788">
        <f>F15-K15</f>
        <v>49698</v>
      </c>
    </row>
    <row r="16" spans="1:14" ht="15" customHeight="1" thickTop="1" thickBot="1" x14ac:dyDescent="0.25">
      <c r="A16" s="1784" t="s">
        <v>664</v>
      </c>
      <c r="B16" s="1785">
        <v>200</v>
      </c>
      <c r="C16" s="1779">
        <f>SUM(C3,C5:C6,C8:C10,C12:C15)</f>
        <v>9116726</v>
      </c>
      <c r="D16" s="1779">
        <f>SUM(D3,D5:D6,D8:D10,D12:D15)</f>
        <v>49698</v>
      </c>
      <c r="E16" s="1779">
        <f>SUM(E3,E5:E6,E8:E10,E12:E15)</f>
        <v>72776</v>
      </c>
      <c r="F16" s="1779">
        <f>SUM(F3,F5:F6,F8:F10,F12:F15)</f>
        <v>9093648</v>
      </c>
      <c r="G16" s="844"/>
      <c r="H16" s="1779">
        <f>SUM(H3,H6,H8:H10,H12:H14,)</f>
        <v>3918645</v>
      </c>
      <c r="I16" s="1779">
        <f>SUM(I3,I6,I8:I10,I12:I14,)</f>
        <v>252150</v>
      </c>
      <c r="J16" s="1779">
        <f>SUM(J3,J6,J8:J10,J12:J14,)</f>
        <v>72776</v>
      </c>
      <c r="K16" s="1779">
        <f>(H16+I16)-J16</f>
        <v>4098019</v>
      </c>
      <c r="L16" s="1779">
        <f>F16-K16</f>
        <v>4995629</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4375</v>
      </c>
      <c r="G17" s="838">
        <v>10</v>
      </c>
      <c r="H17" s="770"/>
      <c r="I17" s="1788">
        <f>F17/G17</f>
        <v>437.5</v>
      </c>
      <c r="J17" s="770"/>
      <c r="K17" s="796"/>
      <c r="L17" s="796"/>
    </row>
    <row r="18" spans="1:12" ht="14.25" thickTop="1" thickBot="1" x14ac:dyDescent="0.25">
      <c r="A18" s="1786" t="s">
        <v>706</v>
      </c>
      <c r="B18" s="1787"/>
      <c r="C18" s="772"/>
      <c r="D18" s="772"/>
      <c r="E18" s="772"/>
      <c r="F18" s="851"/>
      <c r="G18" s="852"/>
      <c r="H18" s="774"/>
      <c r="I18" s="1779">
        <f>SUM(I16,I17)</f>
        <v>252587.5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2461916</v>
      </c>
      <c r="G8" s="866"/>
    </row>
    <row r="9" spans="1:7" x14ac:dyDescent="0.2">
      <c r="A9" s="870" t="s">
        <v>480</v>
      </c>
      <c r="B9" s="871" t="s">
        <v>1989</v>
      </c>
      <c r="C9" s="872"/>
      <c r="D9" s="870" t="s">
        <v>522</v>
      </c>
      <c r="E9" s="869"/>
      <c r="F9" s="1930">
        <f>'Expenditures 15-22'!K151</f>
        <v>338716</v>
      </c>
      <c r="G9" s="873"/>
    </row>
    <row r="10" spans="1:7" x14ac:dyDescent="0.2">
      <c r="A10" s="870" t="s">
        <v>520</v>
      </c>
      <c r="B10" s="871" t="s">
        <v>1990</v>
      </c>
      <c r="C10" s="872"/>
      <c r="D10" s="870" t="s">
        <v>522</v>
      </c>
      <c r="E10" s="869"/>
      <c r="F10" s="1930">
        <f>'Expenditures 15-22'!K174</f>
        <v>95885</v>
      </c>
      <c r="G10" s="873"/>
    </row>
    <row r="11" spans="1:7" x14ac:dyDescent="0.2">
      <c r="A11" s="870" t="s">
        <v>481</v>
      </c>
      <c r="B11" s="871" t="s">
        <v>1991</v>
      </c>
      <c r="C11" s="872"/>
      <c r="D11" s="870" t="s">
        <v>522</v>
      </c>
      <c r="E11" s="869"/>
      <c r="F11" s="1930">
        <f>'Expenditures 15-22'!K210</f>
        <v>284014</v>
      </c>
      <c r="G11" s="873"/>
    </row>
    <row r="12" spans="1:7" x14ac:dyDescent="0.2">
      <c r="A12" s="870" t="s">
        <v>482</v>
      </c>
      <c r="B12" s="871" t="s">
        <v>1992</v>
      </c>
      <c r="C12" s="872"/>
      <c r="D12" s="870" t="s">
        <v>522</v>
      </c>
      <c r="E12" s="869"/>
      <c r="F12" s="1930">
        <f>'Expenditures 15-22'!K295</f>
        <v>142462</v>
      </c>
      <c r="G12" s="873"/>
    </row>
    <row r="13" spans="1:7" x14ac:dyDescent="0.2">
      <c r="A13" s="870" t="s">
        <v>108</v>
      </c>
      <c r="B13" s="871" t="s">
        <v>1993</v>
      </c>
      <c r="C13" s="872"/>
      <c r="D13" s="870" t="s">
        <v>522</v>
      </c>
      <c r="E13" s="869"/>
      <c r="F13" s="1930">
        <f>'Expenditures 15-22'!K342</f>
        <v>175806</v>
      </c>
      <c r="G13" s="874"/>
    </row>
    <row r="14" spans="1:7" ht="12" customHeight="1" thickBot="1" x14ac:dyDescent="0.25">
      <c r="A14" s="1789"/>
      <c r="B14" s="1790"/>
      <c r="C14" s="1791"/>
      <c r="D14" s="1792" t="s">
        <v>522</v>
      </c>
      <c r="E14" s="1793" t="s">
        <v>1015</v>
      </c>
      <c r="F14" s="1794">
        <f>SUM(F8:F13)</f>
        <v>3498799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153590</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4">
        <f>'Expenditures 15-22'!K102</f>
        <v>118191</v>
      </c>
      <c r="G53" s="866"/>
    </row>
    <row r="54" spans="1:7" x14ac:dyDescent="0.2">
      <c r="A54" s="870" t="s">
        <v>479</v>
      </c>
      <c r="B54" s="870" t="s">
        <v>1552</v>
      </c>
      <c r="C54" s="890" t="s">
        <v>1039</v>
      </c>
      <c r="D54" s="886" t="s">
        <v>1157</v>
      </c>
      <c r="E54" s="869"/>
      <c r="F54" s="1934">
        <f>'Expenditures 15-22'!G114</f>
        <v>0</v>
      </c>
      <c r="G54" s="866"/>
    </row>
    <row r="55" spans="1:7" x14ac:dyDescent="0.2">
      <c r="A55" s="870" t="s">
        <v>479</v>
      </c>
      <c r="B55" s="870" t="s">
        <v>1553</v>
      </c>
      <c r="C55" s="890" t="s">
        <v>1039</v>
      </c>
      <c r="D55" s="886" t="s">
        <v>309</v>
      </c>
      <c r="E55" s="869"/>
      <c r="F55" s="1934">
        <f>'Expenditures 15-22'!I114</f>
        <v>0</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4">
        <f>'Expenditures 15-22'!K139</f>
        <v>0</v>
      </c>
      <c r="G57" s="866"/>
    </row>
    <row r="58" spans="1:7" x14ac:dyDescent="0.2">
      <c r="A58" s="870" t="s">
        <v>480</v>
      </c>
      <c r="B58" s="870" t="s">
        <v>1995</v>
      </c>
      <c r="C58" s="887" t="s">
        <v>1039</v>
      </c>
      <c r="D58" s="886" t="s">
        <v>1157</v>
      </c>
      <c r="E58" s="869"/>
      <c r="F58" s="1936">
        <f>'Expenditures 15-22'!G151</f>
        <v>49698</v>
      </c>
      <c r="G58" s="866"/>
    </row>
    <row r="59" spans="1:7" x14ac:dyDescent="0.2">
      <c r="A59" s="894" t="s">
        <v>480</v>
      </c>
      <c r="B59" s="857" t="s">
        <v>1996</v>
      </c>
      <c r="C59" s="895" t="s">
        <v>1039</v>
      </c>
      <c r="D59" s="857" t="s">
        <v>309</v>
      </c>
      <c r="F59" s="1937">
        <f>'Expenditures 15-22'!I151</f>
        <v>4375</v>
      </c>
      <c r="G59" s="866"/>
    </row>
    <row r="60" spans="1:7" x14ac:dyDescent="0.2">
      <c r="A60" s="894" t="s">
        <v>520</v>
      </c>
      <c r="B60" s="857" t="s">
        <v>1997</v>
      </c>
      <c r="C60" s="895">
        <v>4000</v>
      </c>
      <c r="D60" s="857" t="s">
        <v>330</v>
      </c>
      <c r="F60" s="1935">
        <f>'Expenditures 15-22'!K160</f>
        <v>0</v>
      </c>
      <c r="G60" s="866"/>
    </row>
    <row r="61" spans="1:7" x14ac:dyDescent="0.2">
      <c r="A61" s="896" t="s">
        <v>520</v>
      </c>
      <c r="B61" s="896" t="s">
        <v>1998</v>
      </c>
      <c r="C61" s="897" t="str">
        <f>'Expenditures 15-22'!B170</f>
        <v>5300</v>
      </c>
      <c r="D61" s="898" t="s">
        <v>329</v>
      </c>
      <c r="E61" s="880"/>
      <c r="F61" s="1934">
        <f>'Expenditures 15-22'!K170</f>
        <v>83400</v>
      </c>
      <c r="G61" s="866"/>
    </row>
    <row r="62" spans="1:7" x14ac:dyDescent="0.2">
      <c r="A62" s="870" t="s">
        <v>481</v>
      </c>
      <c r="B62" s="870" t="s">
        <v>1999</v>
      </c>
      <c r="C62" s="887">
        <f>'Expenditures 15-22'!B185</f>
        <v>3000</v>
      </c>
      <c r="D62" s="877" t="s">
        <v>469</v>
      </c>
      <c r="E62" s="869"/>
      <c r="F62" s="1934">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4">
        <f>'Expenditures 15-22'!K196</f>
        <v>0</v>
      </c>
      <c r="G63" s="866"/>
    </row>
    <row r="64" spans="1:7" x14ac:dyDescent="0.2">
      <c r="A64" s="896" t="s">
        <v>481</v>
      </c>
      <c r="B64" s="896" t="s">
        <v>2001</v>
      </c>
      <c r="C64" s="897" t="str">
        <f>'Expenditures 15-22'!B206</f>
        <v>5300</v>
      </c>
      <c r="D64" s="893" t="s">
        <v>329</v>
      </c>
      <c r="E64" s="869"/>
      <c r="F64" s="1934">
        <f>'Expenditures 15-22'!K206</f>
        <v>0</v>
      </c>
      <c r="G64" s="866"/>
    </row>
    <row r="65" spans="1:8" x14ac:dyDescent="0.2">
      <c r="A65" s="870" t="s">
        <v>481</v>
      </c>
      <c r="B65" s="870" t="s">
        <v>2002</v>
      </c>
      <c r="C65" s="887" t="s">
        <v>1039</v>
      </c>
      <c r="D65" s="886" t="s">
        <v>1157</v>
      </c>
      <c r="E65" s="869"/>
      <c r="F65" s="1934">
        <f>'Expenditures 15-22'!G210</f>
        <v>0</v>
      </c>
      <c r="G65" s="866"/>
    </row>
    <row r="66" spans="1:8" x14ac:dyDescent="0.2">
      <c r="A66" s="870" t="s">
        <v>481</v>
      </c>
      <c r="B66" s="870" t="s">
        <v>2003</v>
      </c>
      <c r="C66" s="887" t="s">
        <v>1039</v>
      </c>
      <c r="D66" s="886" t="s">
        <v>309</v>
      </c>
      <c r="E66" s="869"/>
      <c r="F66" s="1934">
        <f>'Expenditures 15-22'!I210</f>
        <v>0</v>
      </c>
      <c r="G66" s="866"/>
    </row>
    <row r="67" spans="1:8" x14ac:dyDescent="0.2">
      <c r="A67" s="870" t="s">
        <v>482</v>
      </c>
      <c r="B67" s="870" t="s">
        <v>2004</v>
      </c>
      <c r="C67" s="887" t="str">
        <f>'Expenditures 15-22'!B216</f>
        <v>1125</v>
      </c>
      <c r="D67" s="893" t="str">
        <f>'Expenditures 15-22'!A216</f>
        <v>Pre-K Programs</v>
      </c>
      <c r="E67" s="869"/>
      <c r="F67" s="1934">
        <f>'Expenditures 15-22'!K216</f>
        <v>13767</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2006</v>
      </c>
      <c r="C70" s="887">
        <f>'Expenditures 15-22'!B221</f>
        <v>1300</v>
      </c>
      <c r="D70" s="888" t="str">
        <f>'Expenditures 15-22'!A221</f>
        <v>Adult/Continuing Education Programs</v>
      </c>
      <c r="E70" s="869"/>
      <c r="F70" s="1934">
        <f>'Expenditures 15-22'!K221</f>
        <v>0</v>
      </c>
      <c r="G70" s="866"/>
    </row>
    <row r="71" spans="1:8" x14ac:dyDescent="0.2">
      <c r="A71" s="870" t="s">
        <v>482</v>
      </c>
      <c r="B71" s="870" t="s">
        <v>2007</v>
      </c>
      <c r="C71" s="887">
        <f>'Expenditures 15-22'!B224</f>
        <v>1600</v>
      </c>
      <c r="D71" s="888" t="str">
        <f>'Expenditures 15-22'!A224</f>
        <v>Summer School Programs</v>
      </c>
      <c r="E71" s="869"/>
      <c r="F71" s="1934">
        <f>'Expenditures 15-22'!K224</f>
        <v>0</v>
      </c>
      <c r="G71" s="866"/>
    </row>
    <row r="72" spans="1:8" x14ac:dyDescent="0.2">
      <c r="A72" s="870" t="s">
        <v>482</v>
      </c>
      <c r="B72" s="870" t="s">
        <v>2008</v>
      </c>
      <c r="C72" s="887">
        <f>'Expenditures 15-22'!B280</f>
        <v>3000</v>
      </c>
      <c r="D72" s="877" t="s">
        <v>469</v>
      </c>
      <c r="E72" s="869"/>
      <c r="F72" s="1934">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4">
        <f>'Expenditures 15-22'!K285</f>
        <v>0</v>
      </c>
      <c r="G73" s="866"/>
    </row>
    <row r="74" spans="1:8" x14ac:dyDescent="0.2">
      <c r="A74" s="870" t="s">
        <v>456</v>
      </c>
      <c r="B74" s="870" t="s">
        <v>2010</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2011</v>
      </c>
      <c r="E76" s="1793" t="s">
        <v>1015</v>
      </c>
      <c r="F76" s="1797">
        <f>SUM(F18:F74)</f>
        <v>423021</v>
      </c>
      <c r="G76" s="866"/>
    </row>
    <row r="77" spans="1:8" s="894" customFormat="1" ht="12" customHeight="1" thickTop="1" thickBot="1" x14ac:dyDescent="0.25">
      <c r="A77" s="1798"/>
      <c r="B77" s="1795"/>
      <c r="C77" s="1791"/>
      <c r="D77" s="1796" t="s">
        <v>2012</v>
      </c>
      <c r="E77" s="1793"/>
      <c r="F77" s="1799">
        <f>(F14-F76)</f>
        <v>3075778</v>
      </c>
      <c r="G77" s="870"/>
    </row>
    <row r="78" spans="1:8" s="894" customFormat="1" ht="12" customHeight="1" thickTop="1" x14ac:dyDescent="0.2">
      <c r="A78" s="1800"/>
      <c r="B78" s="1795"/>
      <c r="C78" s="1791"/>
      <c r="D78" s="1796" t="s">
        <v>2059</v>
      </c>
      <c r="E78" s="1793"/>
      <c r="F78" s="899">
        <v>280.57</v>
      </c>
      <c r="G78" s="900"/>
      <c r="H78" s="870"/>
    </row>
    <row r="79" spans="1:8" s="894" customFormat="1" ht="12" customHeight="1" thickBot="1" x14ac:dyDescent="0.25">
      <c r="A79" s="1801"/>
      <c r="B79" s="1795"/>
      <c r="C79" s="1791"/>
      <c r="D79" s="1796" t="s">
        <v>2013</v>
      </c>
      <c r="E79" s="1793" t="s">
        <v>1015</v>
      </c>
      <c r="F79" s="1802">
        <f>IF(F78&gt;0,F77/F78," Complete Line 78")</f>
        <v>10962.604697579927</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51247</v>
      </c>
      <c r="G94" s="913"/>
    </row>
    <row r="95" spans="1:7" x14ac:dyDescent="0.2">
      <c r="A95" s="909" t="s">
        <v>142</v>
      </c>
      <c r="B95" s="909" t="s">
        <v>177</v>
      </c>
      <c r="C95" s="911">
        <v>1700</v>
      </c>
      <c r="D95" s="919" t="str">
        <f>'Revenues 9-14'!A82</f>
        <v>Total District/School Activity Income</v>
      </c>
      <c r="E95" s="907"/>
      <c r="F95" s="1808">
        <f>SUM('Revenues 9-14'!C82,'Revenues 9-14'!D82)</f>
        <v>19315</v>
      </c>
      <c r="G95" s="913"/>
    </row>
    <row r="96" spans="1:7" x14ac:dyDescent="0.2">
      <c r="A96" s="909" t="s">
        <v>479</v>
      </c>
      <c r="B96" s="909" t="s">
        <v>178</v>
      </c>
      <c r="C96" s="911">
        <f>'Revenues 9-14'!B84</f>
        <v>1811</v>
      </c>
      <c r="D96" s="912" t="str">
        <f>'Revenues 9-14'!A84</f>
        <v>Rentals - Regular Textbooks</v>
      </c>
      <c r="E96" s="907"/>
      <c r="F96" s="1808">
        <f>'Revenues 9-14'!C84</f>
        <v>12866</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30500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40516</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0</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1576</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5503</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203974</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112839</v>
      </c>
      <c r="G129" s="931"/>
    </row>
    <row r="130" spans="1:7" x14ac:dyDescent="0.2">
      <c r="A130" s="928" t="s">
        <v>689</v>
      </c>
      <c r="B130" s="928" t="s">
        <v>804</v>
      </c>
      <c r="C130" s="933">
        <v>4300</v>
      </c>
      <c r="D130" s="934" t="str">
        <f>'Revenues 9-14'!A211</f>
        <v>Total Title I</v>
      </c>
      <c r="E130" s="907"/>
      <c r="F130" s="1808">
        <f>SUM('Revenues 9-14'!C211,'Revenues 9-14'!D211,'Revenues 9-14'!F211,'Revenues 9-14'!G211)</f>
        <v>81239</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6863</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21349</v>
      </c>
      <c r="G174" s="928"/>
    </row>
    <row r="175" spans="1:7" x14ac:dyDescent="0.2">
      <c r="A175" s="1939" t="s">
        <v>5</v>
      </c>
      <c r="B175" s="1940" t="s">
        <v>2058</v>
      </c>
      <c r="C175" s="1941">
        <v>3100</v>
      </c>
      <c r="D175" s="1942" t="s">
        <v>2061</v>
      </c>
      <c r="E175" s="907"/>
      <c r="F175" s="1926"/>
      <c r="G175" s="928"/>
    </row>
    <row r="176" spans="1:7" x14ac:dyDescent="0.2">
      <c r="A176" s="1939" t="s">
        <v>685</v>
      </c>
      <c r="B176" s="1940" t="s">
        <v>2058</v>
      </c>
      <c r="C176" s="1941">
        <v>3300</v>
      </c>
      <c r="D176" s="1942" t="s">
        <v>2062</v>
      </c>
      <c r="E176" s="907"/>
      <c r="F176" s="1926"/>
      <c r="G176" s="928"/>
    </row>
    <row r="177" spans="1:7" ht="6" customHeight="1" x14ac:dyDescent="0.2">
      <c r="A177" s="928"/>
      <c r="B177" s="928"/>
      <c r="C177" s="950"/>
      <c r="D177" s="928"/>
      <c r="E177" s="907"/>
      <c r="F177" s="951"/>
      <c r="G177" s="948"/>
    </row>
    <row r="178" spans="1:7" x14ac:dyDescent="0.2">
      <c r="A178" s="1789"/>
      <c r="B178" s="1803"/>
      <c r="C178" s="1804"/>
      <c r="D178" s="1805" t="s">
        <v>2014</v>
      </c>
      <c r="E178" s="1806" t="s">
        <v>1015</v>
      </c>
      <c r="F178" s="1807">
        <f>SUM(F84:F136,F161:F176)</f>
        <v>589287</v>
      </c>
    </row>
    <row r="179" spans="1:7" ht="12" customHeight="1" x14ac:dyDescent="0.2">
      <c r="A179" s="1789"/>
      <c r="B179" s="1803"/>
      <c r="C179" s="1804"/>
      <c r="D179" s="1805" t="s">
        <v>2015</v>
      </c>
      <c r="E179" s="1806"/>
      <c r="F179" s="1808">
        <f>'PCTC-OEPP 27-28'!F77-F178</f>
        <v>2486491</v>
      </c>
    </row>
    <row r="180" spans="1:7" ht="12" customHeight="1" x14ac:dyDescent="0.2">
      <c r="A180" s="1789"/>
      <c r="B180" s="1803"/>
      <c r="C180" s="1804"/>
      <c r="D180" s="1805" t="s">
        <v>1924</v>
      </c>
      <c r="E180" s="1806"/>
      <c r="F180" s="1808">
        <f>'Cap Outlay Deprec 26'!I18</f>
        <v>252587.5</v>
      </c>
    </row>
    <row r="181" spans="1:7" ht="12" customHeight="1" x14ac:dyDescent="0.2">
      <c r="A181" s="1789"/>
      <c r="B181" s="1803"/>
      <c r="C181" s="1804"/>
      <c r="D181" s="1805" t="s">
        <v>2016</v>
      </c>
      <c r="E181" s="1806"/>
      <c r="F181" s="1808">
        <f>F179+F180</f>
        <v>2739078.5</v>
      </c>
    </row>
    <row r="182" spans="1:7" ht="12" customHeight="1" x14ac:dyDescent="0.2">
      <c r="A182" s="1789"/>
      <c r="B182" s="1809"/>
      <c r="C182" s="1804"/>
      <c r="D182" s="1805" t="str">
        <f>D78</f>
        <v>9 Month ADA from District Average Daily Attendance/Prior General State Aid Inquiry 2017-2018</v>
      </c>
      <c r="E182" s="1806"/>
      <c r="F182" s="1810">
        <f>'PCTC-OEPP 27-28'!F78</f>
        <v>280.57</v>
      </c>
      <c r="G182" s="931"/>
    </row>
    <row r="183" spans="1:7" ht="12" customHeight="1" thickBot="1" x14ac:dyDescent="0.25">
      <c r="A183" s="1789"/>
      <c r="B183" s="1809"/>
      <c r="C183" s="1804"/>
      <c r="D183" s="1805" t="s">
        <v>2017</v>
      </c>
      <c r="E183" s="1806" t="s">
        <v>1626</v>
      </c>
      <c r="F183" s="1811">
        <f>F181/F182</f>
        <v>9762.549452899455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3" customFormat="1" ht="12.2" customHeight="1" x14ac:dyDescent="0.2">
      <c r="A186" s="1943" t="s">
        <v>2065</v>
      </c>
      <c r="B186" s="1944"/>
      <c r="C186" s="1945"/>
      <c r="D186" s="1944"/>
      <c r="E186" s="1945"/>
      <c r="F186" s="1944"/>
      <c r="G186" s="1944"/>
    </row>
    <row r="187" spans="1:7" s="1943" customFormat="1" ht="12.2" customHeight="1" x14ac:dyDescent="0.2">
      <c r="A187" s="1946" t="s">
        <v>2066</v>
      </c>
      <c r="C187" s="1945"/>
      <c r="D187" s="1944"/>
      <c r="E187" s="1945"/>
      <c r="F187" s="1944"/>
      <c r="G187" s="1944"/>
    </row>
    <row r="188" spans="1:7" ht="12" customHeight="1" x14ac:dyDescent="0.2">
      <c r="C188" s="950"/>
      <c r="D188" s="931"/>
      <c r="E188" s="950"/>
      <c r="F188" s="931"/>
      <c r="G188" s="931"/>
    </row>
    <row r="189" spans="1:7" x14ac:dyDescent="0.2">
      <c r="A189" s="1947" t="s">
        <v>2064</v>
      </c>
      <c r="B189" s="1948"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3"/>
  <sheetViews>
    <sheetView showGridLines="0" workbookViewId="0">
      <pane ySplit="16" topLeftCell="A17" activePane="bottomLeft" state="frozen"/>
      <selection pane="bottomLeft" activeCell="B18" sqref="B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84" t="s">
        <v>1925</v>
      </c>
      <c r="B4" s="2285"/>
      <c r="C4" s="2285"/>
      <c r="D4" s="2285"/>
      <c r="E4" s="2285"/>
      <c r="F4" s="2285"/>
      <c r="G4" s="2286"/>
    </row>
    <row r="5" spans="1:7" x14ac:dyDescent="0.25">
      <c r="A5" s="2287"/>
      <c r="B5" s="2288"/>
      <c r="C5" s="2288"/>
      <c r="D5" s="2288"/>
      <c r="E5" s="2288"/>
      <c r="F5" s="2288"/>
      <c r="G5" s="2289"/>
    </row>
    <row r="6" spans="1:7" ht="18.75" x14ac:dyDescent="0.25">
      <c r="A6" s="1556" t="s">
        <v>1926</v>
      </c>
      <c r="B6" s="1557"/>
      <c r="C6" s="1557"/>
      <c r="D6" s="1557"/>
      <c r="E6" s="1557"/>
      <c r="F6" s="1557"/>
      <c r="G6" s="1558"/>
    </row>
    <row r="7" spans="1:7" ht="30.75" customHeight="1" x14ac:dyDescent="0.25">
      <c r="A7" s="2290" t="s">
        <v>2075</v>
      </c>
      <c r="B7" s="2291"/>
      <c r="C7" s="2291"/>
      <c r="D7" s="2291"/>
      <c r="E7" s="2291"/>
      <c r="F7" s="2291"/>
      <c r="G7" s="2292"/>
    </row>
    <row r="8" spans="1:7" ht="15.75" customHeight="1" x14ac:dyDescent="0.25">
      <c r="A8" s="2293" t="s">
        <v>2024</v>
      </c>
      <c r="B8" s="2294"/>
      <c r="C8" s="2294"/>
      <c r="D8" s="2294"/>
      <c r="E8" s="2294"/>
      <c r="F8" s="2294"/>
      <c r="G8" s="2295"/>
    </row>
    <row r="9" spans="1:7" ht="35.25" customHeight="1" x14ac:dyDescent="0.25">
      <c r="A9" s="2290" t="s">
        <v>2023</v>
      </c>
      <c r="B9" s="2291"/>
      <c r="C9" s="2291"/>
      <c r="D9" s="2291"/>
      <c r="E9" s="2291"/>
      <c r="F9" s="2291"/>
      <c r="G9" s="2292"/>
    </row>
    <row r="10" spans="1:7" ht="15" customHeight="1" x14ac:dyDescent="0.25">
      <c r="A10" s="1559" t="s">
        <v>1927</v>
      </c>
      <c r="B10" s="1560"/>
      <c r="C10" s="1560"/>
      <c r="D10" s="1560"/>
      <c r="E10" s="1560"/>
      <c r="F10" s="1560"/>
      <c r="G10" s="1561"/>
    </row>
    <row r="11" spans="1:7" ht="17.25" customHeight="1" x14ac:dyDescent="0.25">
      <c r="A11" s="2290" t="s">
        <v>1941</v>
      </c>
      <c r="B11" s="2291"/>
      <c r="C11" s="2291"/>
      <c r="D11" s="2291"/>
      <c r="E11" s="2291"/>
      <c r="F11" s="2291"/>
      <c r="G11" s="2292"/>
    </row>
    <row r="12" spans="1:7" ht="15" customHeight="1" x14ac:dyDescent="0.25">
      <c r="A12" s="1559" t="s">
        <v>1932</v>
      </c>
      <c r="B12" s="1560"/>
      <c r="C12" s="1560"/>
      <c r="D12" s="1560"/>
      <c r="E12" s="1560"/>
      <c r="F12" s="1560"/>
      <c r="G12" s="1561"/>
    </row>
    <row r="13" spans="1:7" ht="32.25" customHeight="1" x14ac:dyDescent="0.25">
      <c r="A13" s="2281" t="s">
        <v>1933</v>
      </c>
      <c r="B13" s="2282"/>
      <c r="C13" s="2282"/>
      <c r="D13" s="2282"/>
      <c r="E13" s="2282"/>
      <c r="F13" s="2282"/>
      <c r="G13" s="2283"/>
    </row>
    <row r="14" spans="1:7" x14ac:dyDescent="0.25">
      <c r="A14" s="1680" t="s">
        <v>1942</v>
      </c>
      <c r="B14" s="1681"/>
      <c r="C14" s="1681"/>
      <c r="D14" s="1681"/>
      <c r="E14" s="1681"/>
      <c r="F14" s="1681"/>
      <c r="G14" s="1682"/>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69" t="s">
        <v>1943</v>
      </c>
      <c r="B16" s="1670" t="s">
        <v>1931</v>
      </c>
      <c r="C16" s="1671" t="s">
        <v>1929</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ht="30" x14ac:dyDescent="0.25">
      <c r="A17" s="1954" t="s">
        <v>2140</v>
      </c>
      <c r="B17" s="2501" t="s">
        <v>2152</v>
      </c>
      <c r="C17" s="1953" t="s">
        <v>2129</v>
      </c>
      <c r="D17" s="1864">
        <v>77381</v>
      </c>
      <c r="E17" s="1562">
        <f t="shared" ref="E17:E72" si="1">IF(D17&lt;=25000,D17,IF(D17&gt;25000,25000,0))</f>
        <v>25000</v>
      </c>
      <c r="F17" s="1812">
        <f t="shared" ref="F17:F72"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3">
        <f t="shared" ref="G17:G72" si="3">IF(F17=0,0,D17-F17)</f>
        <v>0</v>
      </c>
    </row>
    <row r="18" spans="1:7" x14ac:dyDescent="0.25">
      <c r="A18" s="1954" t="s">
        <v>2141</v>
      </c>
      <c r="B18" s="1952" t="s">
        <v>2130</v>
      </c>
      <c r="C18" s="1953" t="s">
        <v>2136</v>
      </c>
      <c r="D18" s="1864">
        <v>1875</v>
      </c>
      <c r="E18" s="1562">
        <f t="shared" si="1"/>
        <v>1875</v>
      </c>
      <c r="F18" s="1812">
        <f t="shared" si="2"/>
        <v>0</v>
      </c>
      <c r="G18" s="1813">
        <f t="shared" si="3"/>
        <v>0</v>
      </c>
    </row>
    <row r="19" spans="1:7" x14ac:dyDescent="0.25">
      <c r="A19" s="1954" t="s">
        <v>2141</v>
      </c>
      <c r="B19" s="1952" t="s">
        <v>2131</v>
      </c>
      <c r="C19" s="1953" t="s">
        <v>2137</v>
      </c>
      <c r="D19" s="1864">
        <v>1455</v>
      </c>
      <c r="E19" s="1562">
        <f t="shared" si="1"/>
        <v>1455</v>
      </c>
      <c r="F19" s="1812">
        <f t="shared" si="2"/>
        <v>0</v>
      </c>
      <c r="G19" s="1813">
        <f t="shared" si="3"/>
        <v>0</v>
      </c>
    </row>
    <row r="20" spans="1:7" x14ac:dyDescent="0.25">
      <c r="A20" s="1954" t="s">
        <v>2142</v>
      </c>
      <c r="B20" s="1952" t="s">
        <v>2132</v>
      </c>
      <c r="C20" s="1953" t="s">
        <v>2138</v>
      </c>
      <c r="D20" s="1864">
        <v>5272</v>
      </c>
      <c r="E20" s="1562">
        <f t="shared" si="1"/>
        <v>5272</v>
      </c>
      <c r="F20" s="1812">
        <f t="shared" si="2"/>
        <v>0</v>
      </c>
      <c r="G20" s="1813">
        <f t="shared" si="3"/>
        <v>0</v>
      </c>
    </row>
    <row r="21" spans="1:7" x14ac:dyDescent="0.25">
      <c r="A21" s="1954" t="s">
        <v>2143</v>
      </c>
      <c r="B21" s="1952" t="s">
        <v>2132</v>
      </c>
      <c r="C21" s="1953" t="s">
        <v>2138</v>
      </c>
      <c r="D21" s="1864">
        <v>1387</v>
      </c>
      <c r="E21" s="1562">
        <f t="shared" si="1"/>
        <v>1387</v>
      </c>
      <c r="F21" s="1812">
        <f t="shared" si="2"/>
        <v>0</v>
      </c>
      <c r="G21" s="1813">
        <f t="shared" si="3"/>
        <v>0</v>
      </c>
    </row>
    <row r="22" spans="1:7" x14ac:dyDescent="0.25">
      <c r="A22" s="1954" t="s">
        <v>2142</v>
      </c>
      <c r="B22" s="1952" t="s">
        <v>2132</v>
      </c>
      <c r="C22" s="1953" t="s">
        <v>2138</v>
      </c>
      <c r="D22" s="1864">
        <v>555</v>
      </c>
      <c r="E22" s="1562">
        <f t="shared" si="1"/>
        <v>555</v>
      </c>
      <c r="F22" s="1812">
        <f t="shared" si="2"/>
        <v>0</v>
      </c>
      <c r="G22" s="1813">
        <f t="shared" si="3"/>
        <v>0</v>
      </c>
    </row>
    <row r="23" spans="1:7" x14ac:dyDescent="0.25">
      <c r="A23" s="1954" t="s">
        <v>2141</v>
      </c>
      <c r="B23" s="1952" t="s">
        <v>2133</v>
      </c>
      <c r="C23" s="1953" t="s">
        <v>2138</v>
      </c>
      <c r="D23" s="1864">
        <v>734</v>
      </c>
      <c r="E23" s="1562">
        <f t="shared" si="1"/>
        <v>734</v>
      </c>
      <c r="F23" s="1812">
        <f t="shared" si="2"/>
        <v>0</v>
      </c>
      <c r="G23" s="1813">
        <f t="shared" si="3"/>
        <v>0</v>
      </c>
    </row>
    <row r="24" spans="1:7" x14ac:dyDescent="0.25">
      <c r="A24" s="1954" t="s">
        <v>2144</v>
      </c>
      <c r="B24" s="1952" t="s">
        <v>2134</v>
      </c>
      <c r="C24" s="1953" t="s">
        <v>2138</v>
      </c>
      <c r="D24" s="1864">
        <v>1391</v>
      </c>
      <c r="E24" s="1562">
        <f t="shared" si="1"/>
        <v>1391</v>
      </c>
      <c r="F24" s="1812">
        <f t="shared" si="2"/>
        <v>0</v>
      </c>
      <c r="G24" s="1813">
        <f t="shared" si="3"/>
        <v>0</v>
      </c>
    </row>
    <row r="25" spans="1:7" x14ac:dyDescent="0.25">
      <c r="A25" s="1954" t="s">
        <v>2142</v>
      </c>
      <c r="B25" s="1952" t="s">
        <v>2135</v>
      </c>
      <c r="C25" s="1953" t="s">
        <v>2139</v>
      </c>
      <c r="D25" s="1864">
        <v>1388</v>
      </c>
      <c r="E25" s="1562">
        <f t="shared" ref="E25" si="4">IF(D25&lt;=25000,D25,IF(D25&gt;25000,25000,0))</f>
        <v>1388</v>
      </c>
      <c r="F25" s="1812">
        <f t="shared" ref="F25" si="5">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3">
        <f t="shared" ref="G25" si="6">IF(F25=0,0,D25-F25)</f>
        <v>0</v>
      </c>
    </row>
    <row r="26" spans="1:7" x14ac:dyDescent="0.25">
      <c r="A26" s="1954" t="s">
        <v>2142</v>
      </c>
      <c r="B26" s="1952" t="s">
        <v>2135</v>
      </c>
      <c r="C26" s="1953" t="s">
        <v>2139</v>
      </c>
      <c r="D26" s="1864">
        <v>2684</v>
      </c>
      <c r="E26" s="1562">
        <f t="shared" si="1"/>
        <v>2684</v>
      </c>
      <c r="F26" s="1812">
        <f t="shared" si="2"/>
        <v>0</v>
      </c>
      <c r="G26" s="1813">
        <f t="shared" si="3"/>
        <v>0</v>
      </c>
    </row>
    <row r="27" spans="1:7" x14ac:dyDescent="0.25">
      <c r="A27" s="1954" t="s">
        <v>2142</v>
      </c>
      <c r="B27" s="1952" t="s">
        <v>2132</v>
      </c>
      <c r="C27" s="1953" t="s">
        <v>2139</v>
      </c>
      <c r="D27" s="1864">
        <v>1388</v>
      </c>
      <c r="E27" s="1562">
        <f t="shared" ref="E27:E30" si="7">IF(D27&lt;=25000,D27,IF(D27&gt;25000,25000,0))</f>
        <v>1388</v>
      </c>
      <c r="F27" s="1812">
        <f t="shared" ref="F27:F30" si="8">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3">
        <f t="shared" ref="G27:G30" si="9">IF(F27=0,0,D27-F27)</f>
        <v>0</v>
      </c>
    </row>
    <row r="28" spans="1:7" x14ac:dyDescent="0.25">
      <c r="A28" s="1954" t="s">
        <v>2142</v>
      </c>
      <c r="B28" s="1952" t="s">
        <v>2132</v>
      </c>
      <c r="C28" s="1953" t="s">
        <v>2139</v>
      </c>
      <c r="D28" s="1864">
        <v>556</v>
      </c>
      <c r="E28" s="1562">
        <f t="shared" si="7"/>
        <v>556</v>
      </c>
      <c r="F28" s="1812">
        <f t="shared" si="8"/>
        <v>0</v>
      </c>
      <c r="G28" s="1813">
        <f t="shared" si="9"/>
        <v>0</v>
      </c>
    </row>
    <row r="29" spans="1:7" x14ac:dyDescent="0.25">
      <c r="A29" s="1954" t="s">
        <v>2142</v>
      </c>
      <c r="B29" s="1952" t="s">
        <v>2132</v>
      </c>
      <c r="C29" s="1953" t="s">
        <v>2139</v>
      </c>
      <c r="D29" s="1864">
        <v>1694</v>
      </c>
      <c r="E29" s="1562">
        <f t="shared" si="7"/>
        <v>1694</v>
      </c>
      <c r="F29" s="1812">
        <f t="shared" si="8"/>
        <v>0</v>
      </c>
      <c r="G29" s="1813">
        <f t="shared" si="9"/>
        <v>0</v>
      </c>
    </row>
    <row r="30" spans="1:7" x14ac:dyDescent="0.25">
      <c r="A30" s="1674"/>
      <c r="B30" s="1686"/>
      <c r="C30" s="1675"/>
      <c r="D30" s="1864"/>
      <c r="E30" s="1562">
        <f t="shared" si="7"/>
        <v>0</v>
      </c>
      <c r="F30" s="1812">
        <f t="shared" si="8"/>
        <v>0</v>
      </c>
      <c r="G30" s="1813">
        <f t="shared" si="9"/>
        <v>0</v>
      </c>
    </row>
    <row r="31" spans="1:7" x14ac:dyDescent="0.25">
      <c r="A31" s="1674"/>
      <c r="B31" s="1686"/>
      <c r="C31" s="1675"/>
      <c r="D31" s="1864"/>
      <c r="E31" s="1562">
        <f t="shared" ref="E31" si="10">IF(D31&lt;=25000,D31,IF(D31&gt;25000,25000,0))</f>
        <v>0</v>
      </c>
      <c r="F31" s="1812">
        <f t="shared" ref="F31" si="11">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3">
        <f t="shared" ref="G31" si="12">IF(F31=0,0,D31-F31)</f>
        <v>0</v>
      </c>
    </row>
    <row r="32" spans="1:7" x14ac:dyDescent="0.25">
      <c r="A32" s="1674"/>
      <c r="B32" s="1686"/>
      <c r="C32" s="1675"/>
      <c r="D32" s="1864"/>
      <c r="E32" s="1562">
        <f t="shared" ref="E32:E44" si="13">IF(D32&lt;=25000,D32,IF(D32&gt;25000,25000,0))</f>
        <v>0</v>
      </c>
      <c r="F32" s="1812">
        <f t="shared" ref="F32:F44" si="14">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813">
        <f t="shared" ref="G32:G44" si="15">IF(F32=0,0,D32-F32)</f>
        <v>0</v>
      </c>
    </row>
    <row r="33" spans="1:7" x14ac:dyDescent="0.25">
      <c r="A33" s="1674"/>
      <c r="B33" s="1686"/>
      <c r="C33" s="1675"/>
      <c r="D33" s="1864"/>
      <c r="E33" s="1562">
        <f t="shared" si="13"/>
        <v>0</v>
      </c>
      <c r="F33" s="1812">
        <f t="shared" si="14"/>
        <v>0</v>
      </c>
      <c r="G33" s="1813">
        <f t="shared" si="15"/>
        <v>0</v>
      </c>
    </row>
    <row r="34" spans="1:7" x14ac:dyDescent="0.25">
      <c r="A34" s="1674"/>
      <c r="B34" s="1686"/>
      <c r="C34" s="1675"/>
      <c r="D34" s="1864"/>
      <c r="E34" s="1562">
        <f t="shared" si="13"/>
        <v>0</v>
      </c>
      <c r="F34" s="1812">
        <f t="shared" si="14"/>
        <v>0</v>
      </c>
      <c r="G34" s="1813">
        <f t="shared" si="15"/>
        <v>0</v>
      </c>
    </row>
    <row r="35" spans="1:7" x14ac:dyDescent="0.25">
      <c r="A35" s="1674"/>
      <c r="B35" s="1686"/>
      <c r="C35" s="1675"/>
      <c r="D35" s="1864"/>
      <c r="E35" s="1562">
        <f t="shared" si="13"/>
        <v>0</v>
      </c>
      <c r="F35" s="1812">
        <f t="shared" si="14"/>
        <v>0</v>
      </c>
      <c r="G35" s="1813">
        <f t="shared" si="15"/>
        <v>0</v>
      </c>
    </row>
    <row r="36" spans="1:7" x14ac:dyDescent="0.25">
      <c r="A36" s="1674"/>
      <c r="B36" s="1686"/>
      <c r="C36" s="1675"/>
      <c r="D36" s="1864"/>
      <c r="E36" s="1562">
        <f t="shared" si="13"/>
        <v>0</v>
      </c>
      <c r="F36" s="1812">
        <f t="shared" si="14"/>
        <v>0</v>
      </c>
      <c r="G36" s="1813">
        <f t="shared" si="15"/>
        <v>0</v>
      </c>
    </row>
    <row r="37" spans="1:7" x14ac:dyDescent="0.25">
      <c r="A37" s="1674"/>
      <c r="B37" s="1686"/>
      <c r="C37" s="1675"/>
      <c r="D37" s="1864"/>
      <c r="E37" s="1562">
        <f t="shared" si="13"/>
        <v>0</v>
      </c>
      <c r="F37" s="1812">
        <f t="shared" si="14"/>
        <v>0</v>
      </c>
      <c r="G37" s="1813">
        <f t="shared" si="15"/>
        <v>0</v>
      </c>
    </row>
    <row r="38" spans="1:7" x14ac:dyDescent="0.25">
      <c r="A38" s="1674"/>
      <c r="B38" s="1686"/>
      <c r="C38" s="1675"/>
      <c r="D38" s="1864"/>
      <c r="E38" s="1562">
        <f t="shared" si="13"/>
        <v>0</v>
      </c>
      <c r="F38" s="1812">
        <f t="shared" si="14"/>
        <v>0</v>
      </c>
      <c r="G38" s="1813">
        <f t="shared" si="15"/>
        <v>0</v>
      </c>
    </row>
    <row r="39" spans="1:7" x14ac:dyDescent="0.25">
      <c r="A39" s="1674"/>
      <c r="B39" s="1686"/>
      <c r="C39" s="1675"/>
      <c r="D39" s="1864"/>
      <c r="E39" s="1562">
        <f t="shared" si="13"/>
        <v>0</v>
      </c>
      <c r="F39" s="1812">
        <f t="shared" si="14"/>
        <v>0</v>
      </c>
      <c r="G39" s="1813">
        <f t="shared" si="15"/>
        <v>0</v>
      </c>
    </row>
    <row r="40" spans="1:7" x14ac:dyDescent="0.25">
      <c r="A40" s="1674"/>
      <c r="B40" s="1686"/>
      <c r="C40" s="1675"/>
      <c r="D40" s="1864"/>
      <c r="E40" s="1562">
        <f t="shared" si="13"/>
        <v>0</v>
      </c>
      <c r="F40" s="1812">
        <f t="shared" si="14"/>
        <v>0</v>
      </c>
      <c r="G40" s="1813">
        <f t="shared" si="15"/>
        <v>0</v>
      </c>
    </row>
    <row r="41" spans="1:7" x14ac:dyDescent="0.25">
      <c r="A41" s="1674"/>
      <c r="B41" s="1686"/>
      <c r="C41" s="1675"/>
      <c r="D41" s="1864"/>
      <c r="E41" s="1562">
        <f t="shared" si="13"/>
        <v>0</v>
      </c>
      <c r="F41" s="1812">
        <f t="shared" si="14"/>
        <v>0</v>
      </c>
      <c r="G41" s="1813">
        <f t="shared" si="15"/>
        <v>0</v>
      </c>
    </row>
    <row r="42" spans="1:7" x14ac:dyDescent="0.25">
      <c r="A42" s="1674"/>
      <c r="B42" s="1686"/>
      <c r="C42" s="1675"/>
      <c r="D42" s="1864"/>
      <c r="E42" s="1562">
        <f t="shared" si="13"/>
        <v>0</v>
      </c>
      <c r="F42" s="1812">
        <f t="shared" si="14"/>
        <v>0</v>
      </c>
      <c r="G42" s="1813">
        <f t="shared" si="15"/>
        <v>0</v>
      </c>
    </row>
    <row r="43" spans="1:7" x14ac:dyDescent="0.25">
      <c r="A43" s="1674"/>
      <c r="B43" s="1686"/>
      <c r="C43" s="1675"/>
      <c r="D43" s="1864"/>
      <c r="E43" s="1562">
        <f t="shared" si="13"/>
        <v>0</v>
      </c>
      <c r="F43" s="1812">
        <f t="shared" si="14"/>
        <v>0</v>
      </c>
      <c r="G43" s="1813">
        <f t="shared" si="15"/>
        <v>0</v>
      </c>
    </row>
    <row r="44" spans="1:7" x14ac:dyDescent="0.25">
      <c r="A44" s="1674"/>
      <c r="B44" s="1686"/>
      <c r="C44" s="1675"/>
      <c r="D44" s="1864"/>
      <c r="E44" s="1562">
        <f t="shared" si="13"/>
        <v>0</v>
      </c>
      <c r="F44" s="1812">
        <f t="shared" si="14"/>
        <v>0</v>
      </c>
      <c r="G44" s="1813">
        <f t="shared" si="15"/>
        <v>0</v>
      </c>
    </row>
    <row r="45" spans="1:7" x14ac:dyDescent="0.25">
      <c r="A45" s="1674"/>
      <c r="B45" s="1686"/>
      <c r="C45" s="1675"/>
      <c r="D45" s="1864"/>
      <c r="E45" s="1562">
        <f t="shared" ref="E45:E57" si="16">IF(D45&lt;=25000,D45,IF(D45&gt;25000,25000,0))</f>
        <v>0</v>
      </c>
      <c r="F45" s="1812">
        <f t="shared" ref="F45:F57" si="17">IF(OR(B45="10-1000-100",B45="10-1000-200",B45="10-1000-300",B45="10-1000-400",B45="10-1000-600",B45="10-1000-800",B45="50-1000-200",B45="10-2100-100",B45="10-2100-200",B45="10-2100-300",B45="10-2100-400",B45="10-2100-600",B45="10-2100-800",B45="20-2100-200",B45="20-2190-100",B45="20-2190-200",B45="20-2190-300",B45="20-2190-400",B45="20-2190-600",B45="20-2190-800",B45="40-2190-100",B45="40-2190-200",B45="40-2190-300",B45="40-2190-400",B45="40-2190-600",B45="40-2190-800",B45="50-2190-200",B45="10-2200-100",B45="10-2200-200",B45="10-2200-300",B45="10-2200-400",B45="10-2200-600",B45="10-2200-800",B45="50-2200-200",B45="10-2300-100",B45="10-2300-200",B45="10-2300-300",B45="10-2300-400",B45="10-2300-600",B45="10-2300-800",B45="50-2300-200",B45="80-2300-100",B45="80-2300-200",B45="80-2300-300",B45="80-2300-400",B45="80-2300-600",B45="80-2300-800",B45="10-2400-100",B45="10-2400-200",B45="10-2400-300",B45="10-2400-400",B45="10-2400-600",B45="10-2400-800",B45="50-2400-200",B45="10-2510-100",B45="10-2510-200",B45="10-2510-300",B45="10-2510-400",B45="10-2510-600",B45="10-2510-800",B45="20-2510-100",B45="20-2510-200",B45="20-2510-300",B45="20-2510-400",B45="20-2510-600",B45="20-2510-800",B45="50-2510-200",B45="10-2520-100",B45="10-2520-200",B45="10-2520-300",B45="10-2520-400",B45="10-2520-600",B45="10-2520-800",B45="50-2520-200",B45="10-2540-100",B45="10-2540-200",B45="10-2540-300",B45="10-2540-400",B45="10-2540-600",B45="20-2540-800",B45="20-2540-100",B45="20-2540-200",B45="20-2540-300",B45="20-2540-400",B45="20-2540-600",B45="50-2540-200",B45="90-2540-100",B45="90-2540-200",B45="90-2540-300",B45="90-2540-400",B45="90-2540-600",B45="90-2540-800",B45="90-2540-800",B45="10-2550-100",B45="10-2550-200",B45="10-2550-300",B45="10-2550-400",B45="10-2550-600",B45="10-2550-800",B45="20-2550-100",B45="20-2550-200",B45="20-2550-300",B45="20-2550-400",B45="20-2550-600",B45="20-2550-800",B45="40-2550-100",B45="40-2550-200",B45="40-2550-300",B45="40-2550-400",B45="40-2550-600",B45="40-2550-800",B45="50-2550-200",B45="10-2560-100",B45="10-2560-200",B45="10-2560-300",B45="10-2560-400",B45="10-2560-600",B45="10-2560-800",B45="20-2560-100",B45="20-2560-200",B45="20-2560-300",B45="20-2560-400",B45="20-2560-600",B45="20-2560-800",B45="50-2560-200",B45="10-2570-100",B45="10-2570-200",B45="10-2570-300",B45="10-2570-400",B45="10-2570-600",B45="10-2570-800",B45="50-2570-200",B45="10-2610-100",B45="10-2610-200",B45="10-2610-300",B45="10-2610-400",B45="10-2610-600",B45="10-2610-800",B45="50-2610-200",B45="10-2620-100",B45="10-2620-200",B45="10-2620-300",B45="10-2620-400",B45="10-2620-600",B45="10-2620-800",B45="50-2620-200",B45="10-2630-100",B45="10-2630-200",B45="10-2630-300",B45="10-2630-400",B45="10-2630-600",B45="10-2630-800",B45="50-2630-200",B45="10-2640-100",B45="10-2640-200",B45="10-2640-300",B45="10-2640-400",B45="10-2640-600",B45="10-2640-800",B45="50-2640-200",B45="10-2660-100",B45="10-2660-200",B45="10-2660-300",B45="10-2660-400",B45="10-2660-600",B45="10-2660-800",B45="50-2660-200",B45="10-2900-100",B45="10-2900-200",B45="10-2900-300",B45="10-2900-400",B45="10-2900-600",B45="10-2900-800",B45="20-2900-100",B45="20-2900-200",B45="20-2900-300",B45="20-2900-400",B45="20-2900-600",B45="20-2900-800",B45="40-2900-100",B45="40-2900-200",B45="40-2900-300",B45="40-2900-400",B45="40-2900-600",B45="40-2900-800",B45="50-2900-200",B45="60-2900-100",B45="60-2900-200",B45="60-2900-300",B45="60-2900-400",B45="60-2900-600",B45="60-2900-800",B45="90-2900-100",B45="90-2900-200",B45="90-2900-300",B45="90-2900-400",B45="90-2900-600",B45="90-2900-800",B45="10-3000-100",B45="10-3000-200",B45="10-3000-300",B45="10-3000-400",B45="10-3000-600",B45="10-3000-800",B45="20-3000-100",B45="20-3000-200",B45="20-3000-300",B45="20-3000-400",B45="20-3000-600",B45="20-3000-800",B45="40-3000-100",B45="40-3000-200",B45="40-3000-300",B45="40-3000-400",B45="40-3000-600",B45="40-3000-800",B45="50-3000-200"),E45,0)</f>
        <v>0</v>
      </c>
      <c r="G45" s="1813">
        <f t="shared" ref="G45:G57" si="18">IF(F45=0,0,D45-F45)</f>
        <v>0</v>
      </c>
    </row>
    <row r="46" spans="1:7" x14ac:dyDescent="0.25">
      <c r="A46" s="1674"/>
      <c r="B46" s="1686"/>
      <c r="C46" s="1675"/>
      <c r="D46" s="1864"/>
      <c r="E46" s="1562">
        <f t="shared" si="16"/>
        <v>0</v>
      </c>
      <c r="F46" s="1812">
        <f t="shared" si="17"/>
        <v>0</v>
      </c>
      <c r="G46" s="1813">
        <f t="shared" si="18"/>
        <v>0</v>
      </c>
    </row>
    <row r="47" spans="1:7" x14ac:dyDescent="0.25">
      <c r="A47" s="1674"/>
      <c r="B47" s="1686"/>
      <c r="C47" s="1675"/>
      <c r="D47" s="1864"/>
      <c r="E47" s="1562">
        <f t="shared" si="16"/>
        <v>0</v>
      </c>
      <c r="F47" s="1812">
        <f t="shared" si="17"/>
        <v>0</v>
      </c>
      <c r="G47" s="1813">
        <f t="shared" si="18"/>
        <v>0</v>
      </c>
    </row>
    <row r="48" spans="1:7" x14ac:dyDescent="0.25">
      <c r="A48" s="1674"/>
      <c r="B48" s="1686"/>
      <c r="C48" s="1675"/>
      <c r="D48" s="1864"/>
      <c r="E48" s="1562">
        <f t="shared" si="16"/>
        <v>0</v>
      </c>
      <c r="F48" s="1812">
        <f t="shared" si="17"/>
        <v>0</v>
      </c>
      <c r="G48" s="1813">
        <f t="shared" si="18"/>
        <v>0</v>
      </c>
    </row>
    <row r="49" spans="1:7" x14ac:dyDescent="0.25">
      <c r="A49" s="1674"/>
      <c r="B49" s="1686"/>
      <c r="C49" s="1675"/>
      <c r="D49" s="1864"/>
      <c r="E49" s="1562">
        <f t="shared" si="16"/>
        <v>0</v>
      </c>
      <c r="F49" s="1812">
        <f t="shared" si="17"/>
        <v>0</v>
      </c>
      <c r="G49" s="1813">
        <f t="shared" si="18"/>
        <v>0</v>
      </c>
    </row>
    <row r="50" spans="1:7" x14ac:dyDescent="0.25">
      <c r="A50" s="1674"/>
      <c r="B50" s="1686"/>
      <c r="C50" s="1675"/>
      <c r="D50" s="1864"/>
      <c r="E50" s="1562">
        <f t="shared" si="16"/>
        <v>0</v>
      </c>
      <c r="F50" s="1812">
        <f t="shared" si="17"/>
        <v>0</v>
      </c>
      <c r="G50" s="1813">
        <f t="shared" si="18"/>
        <v>0</v>
      </c>
    </row>
    <row r="51" spans="1:7" x14ac:dyDescent="0.25">
      <c r="A51" s="1674"/>
      <c r="B51" s="1686"/>
      <c r="C51" s="1675"/>
      <c r="D51" s="1864"/>
      <c r="E51" s="1562">
        <f t="shared" si="16"/>
        <v>0</v>
      </c>
      <c r="F51" s="1812">
        <f t="shared" si="17"/>
        <v>0</v>
      </c>
      <c r="G51" s="1813">
        <f t="shared" si="18"/>
        <v>0</v>
      </c>
    </row>
    <row r="52" spans="1:7" x14ac:dyDescent="0.25">
      <c r="A52" s="1674"/>
      <c r="B52" s="1686"/>
      <c r="C52" s="1675"/>
      <c r="D52" s="1864"/>
      <c r="E52" s="1562">
        <f t="shared" si="16"/>
        <v>0</v>
      </c>
      <c r="F52" s="1812">
        <f t="shared" si="17"/>
        <v>0</v>
      </c>
      <c r="G52" s="1813">
        <f t="shared" si="18"/>
        <v>0</v>
      </c>
    </row>
    <row r="53" spans="1:7" x14ac:dyDescent="0.25">
      <c r="A53" s="1674"/>
      <c r="B53" s="1686"/>
      <c r="C53" s="1675"/>
      <c r="D53" s="1864"/>
      <c r="E53" s="1562">
        <f t="shared" si="16"/>
        <v>0</v>
      </c>
      <c r="F53" s="1812">
        <f t="shared" si="17"/>
        <v>0</v>
      </c>
      <c r="G53" s="1813">
        <f t="shared" si="18"/>
        <v>0</v>
      </c>
    </row>
    <row r="54" spans="1:7" x14ac:dyDescent="0.25">
      <c r="A54" s="1674"/>
      <c r="B54" s="1686"/>
      <c r="C54" s="1675"/>
      <c r="D54" s="1864"/>
      <c r="E54" s="1562">
        <f t="shared" si="16"/>
        <v>0</v>
      </c>
      <c r="F54" s="1812">
        <f t="shared" si="17"/>
        <v>0</v>
      </c>
      <c r="G54" s="1813">
        <f t="shared" si="18"/>
        <v>0</v>
      </c>
    </row>
    <row r="55" spans="1:7" x14ac:dyDescent="0.25">
      <c r="A55" s="1674"/>
      <c r="B55" s="1686"/>
      <c r="C55" s="1675"/>
      <c r="D55" s="1864"/>
      <c r="E55" s="1562">
        <f t="shared" si="16"/>
        <v>0</v>
      </c>
      <c r="F55" s="1812">
        <f t="shared" si="17"/>
        <v>0</v>
      </c>
      <c r="G55" s="1813">
        <f t="shared" si="18"/>
        <v>0</v>
      </c>
    </row>
    <row r="56" spans="1:7" x14ac:dyDescent="0.25">
      <c r="A56" s="1674"/>
      <c r="B56" s="1686"/>
      <c r="C56" s="1675"/>
      <c r="D56" s="1864"/>
      <c r="E56" s="1562">
        <f t="shared" si="16"/>
        <v>0</v>
      </c>
      <c r="F56" s="1812">
        <f t="shared" si="17"/>
        <v>0</v>
      </c>
      <c r="G56" s="1813">
        <f t="shared" si="18"/>
        <v>0</v>
      </c>
    </row>
    <row r="57" spans="1:7" x14ac:dyDescent="0.25">
      <c r="A57" s="1674"/>
      <c r="B57" s="1686"/>
      <c r="C57" s="1675"/>
      <c r="D57" s="1864"/>
      <c r="E57" s="1562">
        <f t="shared" si="16"/>
        <v>0</v>
      </c>
      <c r="F57" s="1812">
        <f t="shared" si="17"/>
        <v>0</v>
      </c>
      <c r="G57" s="1813">
        <f t="shared" si="18"/>
        <v>0</v>
      </c>
    </row>
    <row r="58" spans="1:7" x14ac:dyDescent="0.25">
      <c r="A58" s="1674"/>
      <c r="B58" s="1686"/>
      <c r="C58" s="1675"/>
      <c r="D58" s="1864"/>
      <c r="E58" s="1562">
        <f t="shared" ref="E58:E66" si="19">IF(D58&lt;=25000,D58,IF(D58&gt;25000,25000,0))</f>
        <v>0</v>
      </c>
      <c r="F58" s="1812">
        <f t="shared" ref="F58:F66" si="20">IF(OR(B58="10-1000-100",B58="10-1000-200",B58="10-1000-300",B58="10-1000-400",B58="10-1000-600",B58="10-1000-800",B58="50-1000-200",B58="10-2100-100",B58="10-2100-200",B58="10-2100-300",B58="10-2100-400",B58="10-2100-600",B58="10-2100-800",B58="20-2100-200",B58="20-2190-100",B58="20-2190-200",B58="20-2190-300",B58="20-2190-400",B58="20-2190-600",B58="20-2190-800",B58="40-2190-100",B58="40-2190-200",B58="40-2190-300",B58="40-2190-400",B58="40-2190-600",B58="40-2190-800",B58="50-2190-200",B58="10-2200-100",B58="10-2200-200",B58="10-2200-300",B58="10-2200-400",B58="10-2200-600",B58="10-2200-800",B58="50-2200-200",B58="10-2300-100",B58="10-2300-200",B58="10-2300-300",B58="10-2300-400",B58="10-2300-600",B58="10-2300-800",B58="50-2300-200",B58="80-2300-100",B58="80-2300-200",B58="80-2300-300",B58="80-2300-400",B58="80-2300-600",B58="80-2300-800",B58="10-2400-100",B58="10-2400-200",B58="10-2400-300",B58="10-2400-400",B58="10-2400-600",B58="10-2400-800",B58="50-2400-200",B58="10-2510-100",B58="10-2510-200",B58="10-2510-300",B58="10-2510-400",B58="10-2510-600",B58="10-2510-800",B58="20-2510-100",B58="20-2510-200",B58="20-2510-300",B58="20-2510-400",B58="20-2510-600",B58="20-2510-800",B58="50-2510-200",B58="10-2520-100",B58="10-2520-200",B58="10-2520-300",B58="10-2520-400",B58="10-2520-600",B58="10-2520-800",B58="50-2520-200",B58="10-2540-100",B58="10-2540-200",B58="10-2540-300",B58="10-2540-400",B58="10-2540-600",B58="20-2540-800",B58="20-2540-100",B58="20-2540-200",B58="20-2540-300",B58="20-2540-400",B58="20-2540-600",B58="50-2540-200",B58="90-2540-100",B58="90-2540-200",B58="90-2540-300",B58="90-2540-400",B58="90-2540-600",B58="90-2540-800",B58="90-2540-800",B58="10-2550-100",B58="10-2550-200",B58="10-2550-300",B58="10-2550-400",B58="10-2550-600",B58="10-2550-800",B58="20-2550-100",B58="20-2550-200",B58="20-2550-300",B58="20-2550-400",B58="20-2550-600",B58="20-2550-800",B58="40-2550-100",B58="40-2550-200",B58="40-2550-300",B58="40-2550-400",B58="40-2550-600",B58="40-2550-800",B58="50-2550-200",B58="10-2560-100",B58="10-2560-200",B58="10-2560-300",B58="10-2560-400",B58="10-2560-600",B58="10-2560-800",B58="20-2560-100",B58="20-2560-200",B58="20-2560-300",B58="20-2560-400",B58="20-2560-600",B58="20-2560-800",B58="50-2560-200",B58="10-2570-100",B58="10-2570-200",B58="10-2570-300",B58="10-2570-400",B58="10-2570-600",B58="10-2570-800",B58="50-2570-200",B58="10-2610-100",B58="10-2610-200",B58="10-2610-300",B58="10-2610-400",B58="10-2610-600",B58="10-2610-800",B58="50-2610-200",B58="10-2620-100",B58="10-2620-200",B58="10-2620-300",B58="10-2620-400",B58="10-2620-600",B58="10-2620-800",B58="50-2620-200",B58="10-2630-100",B58="10-2630-200",B58="10-2630-300",B58="10-2630-400",B58="10-2630-600",B58="10-2630-800",B58="50-2630-200",B58="10-2640-100",B58="10-2640-200",B58="10-2640-300",B58="10-2640-400",B58="10-2640-600",B58="10-2640-800",B58="50-2640-200",B58="10-2660-100",B58="10-2660-200",B58="10-2660-300",B58="10-2660-400",B58="10-2660-600",B58="10-2660-800",B58="50-2660-200",B58="10-2900-100",B58="10-2900-200",B58="10-2900-300",B58="10-2900-400",B58="10-2900-600",B58="10-2900-800",B58="20-2900-100",B58="20-2900-200",B58="20-2900-300",B58="20-2900-400",B58="20-2900-600",B58="20-2900-800",B58="40-2900-100",B58="40-2900-200",B58="40-2900-300",B58="40-2900-400",B58="40-2900-600",B58="40-2900-800",B58="50-2900-200",B58="60-2900-100",B58="60-2900-200",B58="60-2900-300",B58="60-2900-400",B58="60-2900-600",B58="60-2900-800",B58="90-2900-100",B58="90-2900-200",B58="90-2900-300",B58="90-2900-400",B58="90-2900-600",B58="90-2900-800",B58="10-3000-100",B58="10-3000-200",B58="10-3000-300",B58="10-3000-400",B58="10-3000-600",B58="10-3000-800",B58="20-3000-100",B58="20-3000-200",B58="20-3000-300",B58="20-3000-400",B58="20-3000-600",B58="20-3000-800",B58="40-3000-100",B58="40-3000-200",B58="40-3000-300",B58="40-3000-400",B58="40-3000-600",B58="40-3000-800",B58="50-3000-200"),E58,0)</f>
        <v>0</v>
      </c>
      <c r="G58" s="1813">
        <f t="shared" ref="G58:G66" si="21">IF(F58=0,0,D58-F58)</f>
        <v>0</v>
      </c>
    </row>
    <row r="59" spans="1:7" x14ac:dyDescent="0.25">
      <c r="A59" s="1674"/>
      <c r="B59" s="1686"/>
      <c r="C59" s="1675"/>
      <c r="D59" s="1864"/>
      <c r="E59" s="1562">
        <f t="shared" si="19"/>
        <v>0</v>
      </c>
      <c r="F59" s="1812">
        <f t="shared" si="20"/>
        <v>0</v>
      </c>
      <c r="G59" s="1813">
        <f t="shared" si="21"/>
        <v>0</v>
      </c>
    </row>
    <row r="60" spans="1:7" x14ac:dyDescent="0.25">
      <c r="A60" s="1674"/>
      <c r="B60" s="1686"/>
      <c r="C60" s="1675"/>
      <c r="D60" s="1864"/>
      <c r="E60" s="1562">
        <f t="shared" si="19"/>
        <v>0</v>
      </c>
      <c r="F60" s="1812">
        <f t="shared" si="20"/>
        <v>0</v>
      </c>
      <c r="G60" s="1813">
        <f t="shared" si="21"/>
        <v>0</v>
      </c>
    </row>
    <row r="61" spans="1:7" x14ac:dyDescent="0.25">
      <c r="A61" s="1674"/>
      <c r="B61" s="1686"/>
      <c r="C61" s="1675"/>
      <c r="D61" s="1864"/>
      <c r="E61" s="1562">
        <f t="shared" si="19"/>
        <v>0</v>
      </c>
      <c r="F61" s="1812">
        <f t="shared" si="20"/>
        <v>0</v>
      </c>
      <c r="G61" s="1813">
        <f t="shared" si="21"/>
        <v>0</v>
      </c>
    </row>
    <row r="62" spans="1:7" x14ac:dyDescent="0.25">
      <c r="A62" s="1674"/>
      <c r="B62" s="1686"/>
      <c r="C62" s="1675"/>
      <c r="D62" s="1864"/>
      <c r="E62" s="1562">
        <f t="shared" si="19"/>
        <v>0</v>
      </c>
      <c r="F62" s="1812">
        <f t="shared" si="20"/>
        <v>0</v>
      </c>
      <c r="G62" s="1813">
        <f t="shared" si="21"/>
        <v>0</v>
      </c>
    </row>
    <row r="63" spans="1:7" x14ac:dyDescent="0.25">
      <c r="A63" s="1674"/>
      <c r="B63" s="1857"/>
      <c r="C63" s="1675"/>
      <c r="D63" s="1864"/>
      <c r="E63" s="1562">
        <f t="shared" si="19"/>
        <v>0</v>
      </c>
      <c r="F63" s="1812">
        <f t="shared" si="20"/>
        <v>0</v>
      </c>
      <c r="G63" s="1813">
        <f t="shared" si="21"/>
        <v>0</v>
      </c>
    </row>
    <row r="64" spans="1:7" x14ac:dyDescent="0.25">
      <c r="A64" s="1674"/>
      <c r="B64" s="1857"/>
      <c r="C64" s="1675"/>
      <c r="D64" s="1864"/>
      <c r="E64" s="1562">
        <f t="shared" si="19"/>
        <v>0</v>
      </c>
      <c r="F64" s="1812">
        <f t="shared" si="20"/>
        <v>0</v>
      </c>
      <c r="G64" s="1813">
        <f t="shared" si="21"/>
        <v>0</v>
      </c>
    </row>
    <row r="65" spans="1:7" x14ac:dyDescent="0.25">
      <c r="A65" s="1674"/>
      <c r="B65" s="1686"/>
      <c r="C65" s="1675"/>
      <c r="D65" s="1864"/>
      <c r="E65" s="1562">
        <f t="shared" si="19"/>
        <v>0</v>
      </c>
      <c r="F65" s="1812">
        <f t="shared" si="20"/>
        <v>0</v>
      </c>
      <c r="G65" s="1813">
        <f t="shared" si="21"/>
        <v>0</v>
      </c>
    </row>
    <row r="66" spans="1:7" x14ac:dyDescent="0.25">
      <c r="A66" s="1674"/>
      <c r="B66" s="1686"/>
      <c r="C66" s="1675"/>
      <c r="D66" s="1864"/>
      <c r="E66" s="1562">
        <f t="shared" si="19"/>
        <v>0</v>
      </c>
      <c r="F66" s="1812">
        <f t="shared" si="20"/>
        <v>0</v>
      </c>
      <c r="G66" s="1813">
        <f t="shared" si="21"/>
        <v>0</v>
      </c>
    </row>
    <row r="67" spans="1:7" x14ac:dyDescent="0.25">
      <c r="A67" s="1674"/>
      <c r="B67" s="1686"/>
      <c r="C67" s="1675"/>
      <c r="D67" s="1864"/>
      <c r="E67" s="1562">
        <f t="shared" ref="E67:E71" si="22">IF(D67&lt;=25000,D67,IF(D67&gt;25000,25000,0))</f>
        <v>0</v>
      </c>
      <c r="F67" s="1812">
        <f t="shared" ref="F67:F71" si="23">IF(OR(B67="10-1000-100",B67="10-1000-200",B67="10-1000-300",B67="10-1000-400",B67="10-1000-600",B67="10-1000-800",B67="50-1000-200",B67="10-2100-100",B67="10-2100-200",B67="10-2100-300",B67="10-2100-400",B67="10-2100-600",B67="10-2100-800",B67="20-2100-200",B67="20-2190-100",B67="20-2190-200",B67="20-2190-300",B67="20-2190-400",B67="20-2190-600",B67="20-2190-800",B67="40-2190-100",B67="40-2190-200",B67="40-2190-300",B67="40-2190-400",B67="40-2190-600",B67="40-2190-800",B67="50-2190-200",B67="10-2200-100",B67="10-2200-200",B67="10-2200-300",B67="10-2200-400",B67="10-2200-600",B67="10-2200-800",B67="50-2200-200",B67="10-2300-100",B67="10-2300-200",B67="10-2300-300",B67="10-2300-400",B67="10-2300-600",B67="10-2300-800",B67="50-2300-200",B67="80-2300-100",B67="80-2300-200",B67="80-2300-300",B67="80-2300-400",B67="80-2300-600",B67="80-2300-800",B67="10-2400-100",B67="10-2400-200",B67="10-2400-300",B67="10-2400-400",B67="10-2400-600",B67="10-2400-800",B67="50-2400-200",B67="10-2510-100",B67="10-2510-200",B67="10-2510-300",B67="10-2510-400",B67="10-2510-600",B67="10-2510-800",B67="20-2510-100",B67="20-2510-200",B67="20-2510-300",B67="20-2510-400",B67="20-2510-600",B67="20-2510-800",B67="50-2510-200",B67="10-2520-100",B67="10-2520-200",B67="10-2520-300",B67="10-2520-400",B67="10-2520-600",B67="10-2520-800",B67="50-2520-200",B67="10-2540-100",B67="10-2540-200",B67="10-2540-300",B67="10-2540-400",B67="10-2540-600",B67="20-2540-800",B67="20-2540-100",B67="20-2540-200",B67="20-2540-300",B67="20-2540-400",B67="20-2540-600",B67="50-2540-200",B67="90-2540-100",B67="90-2540-200",B67="90-2540-300",B67="90-2540-400",B67="90-2540-600",B67="90-2540-800",B67="90-2540-800",B67="10-2550-100",B67="10-2550-200",B67="10-2550-300",B67="10-2550-400",B67="10-2550-600",B67="10-2550-800",B67="20-2550-100",B67="20-2550-200",B67="20-2550-300",B67="20-2550-400",B67="20-2550-600",B67="20-2550-800",B67="40-2550-100",B67="40-2550-200",B67="40-2550-300",B67="40-2550-400",B67="40-2550-600",B67="40-2550-800",B67="50-2550-200",B67="10-2560-100",B67="10-2560-200",B67="10-2560-300",B67="10-2560-400",B67="10-2560-600",B67="10-2560-800",B67="20-2560-100",B67="20-2560-200",B67="20-2560-300",B67="20-2560-400",B67="20-2560-600",B67="20-2560-800",B67="50-2560-200",B67="10-2570-100",B67="10-2570-200",B67="10-2570-300",B67="10-2570-400",B67="10-2570-600",B67="10-2570-800",B67="50-2570-200",B67="10-2610-100",B67="10-2610-200",B67="10-2610-300",B67="10-2610-400",B67="10-2610-600",B67="10-2610-800",B67="50-2610-200",B67="10-2620-100",B67="10-2620-200",B67="10-2620-300",B67="10-2620-400",B67="10-2620-600",B67="10-2620-800",B67="50-2620-200",B67="10-2630-100",B67="10-2630-200",B67="10-2630-300",B67="10-2630-400",B67="10-2630-600",B67="10-2630-800",B67="50-2630-200",B67="10-2640-100",B67="10-2640-200",B67="10-2640-300",B67="10-2640-400",B67="10-2640-600",B67="10-2640-800",B67="50-2640-200",B67="10-2660-100",B67="10-2660-200",B67="10-2660-300",B67="10-2660-400",B67="10-2660-600",B67="10-2660-800",B67="50-2660-200",B67="10-2900-100",B67="10-2900-200",B67="10-2900-300",B67="10-2900-400",B67="10-2900-600",B67="10-2900-800",B67="20-2900-100",B67="20-2900-200",B67="20-2900-300",B67="20-2900-400",B67="20-2900-600",B67="20-2900-800",B67="40-2900-100",B67="40-2900-200",B67="40-2900-300",B67="40-2900-400",B67="40-2900-600",B67="40-2900-800",B67="50-2900-200",B67="60-2900-100",B67="60-2900-200",B67="60-2900-300",B67="60-2900-400",B67="60-2900-600",B67="60-2900-800",B67="90-2900-100",B67="90-2900-200",B67="90-2900-300",B67="90-2900-400",B67="90-2900-600",B67="90-2900-800",B67="10-3000-100",B67="10-3000-200",B67="10-3000-300",B67="10-3000-400",B67="10-3000-600",B67="10-3000-800",B67="20-3000-100",B67="20-3000-200",B67="20-3000-300",B67="20-3000-400",B67="20-3000-600",B67="20-3000-800",B67="40-3000-100",B67="40-3000-200",B67="40-3000-300",B67="40-3000-400",B67="40-3000-600",B67="40-3000-800",B67="50-3000-200"),E67,0)</f>
        <v>0</v>
      </c>
      <c r="G67" s="1813">
        <f t="shared" ref="G67:G71" si="24">IF(F67=0,0,D67-F67)</f>
        <v>0</v>
      </c>
    </row>
    <row r="68" spans="1:7" x14ac:dyDescent="0.25">
      <c r="A68" s="1674"/>
      <c r="B68" s="1686"/>
      <c r="C68" s="1675"/>
      <c r="D68" s="1864"/>
      <c r="E68" s="1562">
        <f t="shared" si="22"/>
        <v>0</v>
      </c>
      <c r="F68" s="1812">
        <f t="shared" si="23"/>
        <v>0</v>
      </c>
      <c r="G68" s="1813">
        <f t="shared" si="24"/>
        <v>0</v>
      </c>
    </row>
    <row r="69" spans="1:7" x14ac:dyDescent="0.25">
      <c r="A69" s="1674"/>
      <c r="B69" s="1686"/>
      <c r="C69" s="1675"/>
      <c r="D69" s="1864"/>
      <c r="E69" s="1562">
        <f t="shared" si="22"/>
        <v>0</v>
      </c>
      <c r="F69" s="1812">
        <f t="shared" si="23"/>
        <v>0</v>
      </c>
      <c r="G69" s="1813">
        <f t="shared" si="24"/>
        <v>0</v>
      </c>
    </row>
    <row r="70" spans="1:7" x14ac:dyDescent="0.25">
      <c r="A70" s="1674"/>
      <c r="B70" s="1686"/>
      <c r="C70" s="1675"/>
      <c r="D70" s="1864"/>
      <c r="E70" s="1562">
        <f t="shared" si="22"/>
        <v>0</v>
      </c>
      <c r="F70" s="1812">
        <f t="shared" si="23"/>
        <v>0</v>
      </c>
      <c r="G70" s="1813">
        <f t="shared" si="24"/>
        <v>0</v>
      </c>
    </row>
    <row r="71" spans="1:7" x14ac:dyDescent="0.25">
      <c r="A71" s="1674"/>
      <c r="B71" s="1686"/>
      <c r="C71" s="1675"/>
      <c r="D71" s="1864"/>
      <c r="E71" s="1562">
        <f t="shared" si="22"/>
        <v>0</v>
      </c>
      <c r="F71" s="1812">
        <f t="shared" si="23"/>
        <v>0</v>
      </c>
      <c r="G71" s="1813">
        <f t="shared" si="24"/>
        <v>0</v>
      </c>
    </row>
    <row r="72" spans="1:7" x14ac:dyDescent="0.25">
      <c r="A72" s="1674"/>
      <c r="B72" s="1685"/>
      <c r="C72" s="1675"/>
      <c r="D72" s="1864"/>
      <c r="E72" s="1562">
        <f t="shared" si="1"/>
        <v>0</v>
      </c>
      <c r="F72" s="1812">
        <f t="shared" si="2"/>
        <v>0</v>
      </c>
      <c r="G72" s="1813">
        <f t="shared" si="3"/>
        <v>0</v>
      </c>
    </row>
    <row r="73" spans="1:7" x14ac:dyDescent="0.25">
      <c r="A73" s="1816" t="s">
        <v>158</v>
      </c>
      <c r="B73" s="1817"/>
      <c r="C73" s="1818"/>
      <c r="D73" s="1814">
        <f>SUM(D17:D72)</f>
        <v>97760</v>
      </c>
      <c r="E73" s="1563">
        <f t="shared" ref="E73" si="25">IF(D73&lt;=25000,D73,IF(D73&gt;25000,25000,0))</f>
        <v>25000</v>
      </c>
      <c r="F73" s="1814">
        <f>SUM(F17:F72)</f>
        <v>0</v>
      </c>
      <c r="G73" s="1815">
        <f>SUM(G17:G72)</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28" zoomScaleNormal="28" workbookViewId="0">
      <selection activeCell="O11" sqref="O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102031</v>
      </c>
      <c r="F10" s="975"/>
      <c r="G10" s="976"/>
      <c r="H10" s="162"/>
      <c r="I10" s="162"/>
    </row>
    <row r="11" spans="1:9" s="669" customFormat="1" ht="22.5" customHeight="1" x14ac:dyDescent="0.2">
      <c r="A11" s="2301" t="s">
        <v>1945</v>
      </c>
      <c r="B11" s="2302"/>
      <c r="C11" s="2302"/>
      <c r="D11" s="2303"/>
      <c r="E11" s="978">
        <v>19154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1579924</v>
      </c>
      <c r="F19" s="1819"/>
      <c r="G19" s="1821">
        <f>'Expenditures 15-22'!K33-SUM('Expenditures 15-22'!G33,'Expenditures 15-22'!I33)+'Expenditures 15-22'!D229</f>
        <v>1579924</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47407</v>
      </c>
      <c r="F21" s="1822"/>
      <c r="G21" s="1825">
        <f>'Expenditures 15-22'!K42-SUM('Expenditures 15-22'!G42,'Expenditures 15-22'!I42)+'Expenditures 15-22'!K120-SUM('Expenditures 15-22'!G120,'Expenditures 15-22'!I120)+'Expenditures 15-22'!K180-SUM('Expenditures 15-22'!G180,'Expenditures 15-22'!I180)+'Expenditures 15-22'!D238</f>
        <v>47407</v>
      </c>
      <c r="H21" s="988"/>
      <c r="I21" s="162"/>
    </row>
    <row r="22" spans="1:9" s="669" customFormat="1" ht="12" customHeight="1" x14ac:dyDescent="0.2">
      <c r="A22" s="995" t="s">
        <v>585</v>
      </c>
      <c r="B22" s="996"/>
      <c r="C22" s="994">
        <v>2200</v>
      </c>
      <c r="D22" s="1822"/>
      <c r="E22" s="1824">
        <f>'Expenditures 15-22'!K47-SUM('Expenditures 15-22'!G47,'Expenditures 15-22'!I47)+'Expenditures 15-22'!D243</f>
        <v>64067</v>
      </c>
      <c r="F22" s="1822"/>
      <c r="G22" s="1825">
        <f>'Expenditures 15-22'!K47-SUM('Expenditures 15-22'!G47,'Expenditures 15-22'!I47)+'Expenditures 15-22'!D243</f>
        <v>64067</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392072</v>
      </c>
      <c r="F23" s="1822"/>
      <c r="G23" s="1824">
        <f>'Expenditures 15-22'!K53-SUM('Expenditures 15-22'!G53,'Expenditures 15-22'!I53)+'Expenditures 15-22'!D257+'Expenditures 15-22'!K330-SUM('Expenditures 15-22'!G330,'Expenditures 15-22'!I330)</f>
        <v>392072</v>
      </c>
      <c r="H23" s="988"/>
      <c r="I23" s="162"/>
    </row>
    <row r="24" spans="1:9" s="669" customFormat="1" ht="12" customHeight="1" x14ac:dyDescent="0.2">
      <c r="A24" s="995" t="s">
        <v>587</v>
      </c>
      <c r="B24" s="996"/>
      <c r="C24" s="994">
        <v>2400</v>
      </c>
      <c r="D24" s="1822"/>
      <c r="E24" s="1824">
        <f>'Expenditures 15-22'!K57-SUM('Expenditures 15-22'!G57,'Expenditures 15-22'!I57)+'Expenditures 15-22'!D261</f>
        <v>275771</v>
      </c>
      <c r="F24" s="1822"/>
      <c r="G24" s="1825">
        <f>'Expenditures 15-22'!K57-SUM('Expenditures 15-22'!G57,'Expenditures 15-22'!I57)+'Expenditures 15-22'!D261</f>
        <v>275771</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41326</v>
      </c>
      <c r="E27" s="1824">
        <f>E8</f>
        <v>0</v>
      </c>
      <c r="F27" s="1824">
        <f>'Expenditures 15-22'!K60-SUM('Expenditures 15-22'!G60,'Expenditures 15-22'!I60)+'Expenditures 15-22'!D264-E8</f>
        <v>41326</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323805</v>
      </c>
      <c r="F28" s="1826">
        <f>'Expenditures 15-22'!K61-SUM('Expenditures 15-22'!G61,'Expenditures 15-22'!I61)+'Expenditures 15-22'!K124-SUM('Expenditures 15-22'!G124,'Expenditures 15-22'!I124)+'Expenditures 15-22'!D266-E9</f>
        <v>323805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310511</v>
      </c>
      <c r="F29" s="1822"/>
      <c r="G29" s="1825">
        <f>'Expenditures 15-22'!K62-SUM('Expenditures 15-22'!G62,'Expenditures 15-22'!I62)+'Expenditures 15-22'!K125-SUM('Expenditures 15-22'!G125,'Expenditures 15-22'!I125)+'Expenditures 15-22'!K182-SUM('Expenditures 15-22'!G182,'Expenditures 15-22'!I182)+'Expenditures 15-22'!D267</f>
        <v>310511</v>
      </c>
      <c r="H29" s="986"/>
    </row>
    <row r="30" spans="1:9" ht="12" customHeight="1" x14ac:dyDescent="0.2">
      <c r="A30" s="995" t="s">
        <v>102</v>
      </c>
      <c r="B30" s="998"/>
      <c r="C30" s="994">
        <v>2560</v>
      </c>
      <c r="D30" s="1822"/>
      <c r="E30" s="1824">
        <f>'Expenditures 15-22'!K63-SUM('Expenditures 15-22'!G63,'Expenditures 15-22'!I63)+'Expenditures 15-22'!D268-E10</f>
        <v>91659</v>
      </c>
      <c r="F30" s="1822"/>
      <c r="G30" s="1824">
        <f>'Expenditures 15-22'!K63-SUM('Expenditures 15-22'!G63,'Expenditures 15-22'!I63)+'Expenditures 15-22'!D268-E10</f>
        <v>91659</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2077</v>
      </c>
      <c r="E37" s="1824">
        <f>E14</f>
        <v>0</v>
      </c>
      <c r="F37" s="1824">
        <f>'Expenditures 15-22'!K71-SUM('Expenditures 15-22'!G71,'Expenditures 15-22'!I71)+'Expenditures 15-22'!D276-E14</f>
        <v>2077</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2"/>
      <c r="E40" s="1826">
        <f>-'Contracts Paid in CY 29'!G73</f>
        <v>0</v>
      </c>
      <c r="F40" s="1822"/>
      <c r="G40" s="1826">
        <f>-'Contracts Paid in CY 29'!G73</f>
        <v>0</v>
      </c>
    </row>
    <row r="41" spans="1:7" ht="12" customHeight="1" x14ac:dyDescent="0.2">
      <c r="A41" s="999" t="s">
        <v>158</v>
      </c>
      <c r="B41" s="1000"/>
      <c r="C41" s="1001"/>
      <c r="D41" s="1826">
        <f>SUM(D19:D39)</f>
        <v>43403</v>
      </c>
      <c r="E41" s="1826">
        <f>SUM(E19:E40)</f>
        <v>3085216</v>
      </c>
      <c r="F41" s="1826">
        <f>SUM(F19:F39)</f>
        <v>367208</v>
      </c>
      <c r="G41" s="1826">
        <f>SUM(G19:G40)</f>
        <v>2761411</v>
      </c>
    </row>
    <row r="42" spans="1:7" x14ac:dyDescent="0.2">
      <c r="A42" s="988"/>
      <c r="B42" s="162"/>
      <c r="C42" s="1002"/>
      <c r="D42" s="2299" t="s">
        <v>543</v>
      </c>
      <c r="E42" s="2300"/>
      <c r="F42" s="1003" t="s">
        <v>544</v>
      </c>
      <c r="G42" s="1004"/>
    </row>
    <row r="43" spans="1:7" ht="12" customHeight="1" x14ac:dyDescent="0.2">
      <c r="A43" s="988"/>
      <c r="B43" s="162"/>
      <c r="C43" s="1002"/>
      <c r="D43" s="1827" t="s">
        <v>493</v>
      </c>
      <c r="E43" s="1828">
        <f>D41</f>
        <v>43403</v>
      </c>
      <c r="F43" s="1827" t="s">
        <v>495</v>
      </c>
      <c r="G43" s="1828">
        <f>F41</f>
        <v>367208</v>
      </c>
    </row>
    <row r="44" spans="1:7" ht="12" customHeight="1" x14ac:dyDescent="0.2">
      <c r="A44" s="988"/>
      <c r="B44" s="162"/>
      <c r="C44" s="1002"/>
      <c r="D44" s="1827" t="s">
        <v>494</v>
      </c>
      <c r="E44" s="1828">
        <f>E41</f>
        <v>3085216</v>
      </c>
      <c r="F44" s="1827" t="s">
        <v>494</v>
      </c>
      <c r="G44" s="1828">
        <f>G41</f>
        <v>2761411</v>
      </c>
    </row>
    <row r="45" spans="1:7" ht="12" customHeight="1" x14ac:dyDescent="0.2">
      <c r="A45" s="988"/>
      <c r="B45" s="162"/>
      <c r="C45" s="162"/>
      <c r="D45" s="1829" t="s">
        <v>1063</v>
      </c>
      <c r="E45" s="1830">
        <f>(E43/E44)</f>
        <v>1.4068058768008464E-2</v>
      </c>
      <c r="F45" s="1829" t="s">
        <v>1063</v>
      </c>
      <c r="G45" s="1830">
        <f>(G43/G44)</f>
        <v>0.13297839401668204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9" sqref="F29"/>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8" t="s">
        <v>1446</v>
      </c>
      <c r="B1" s="2318"/>
      <c r="C1" s="2318"/>
      <c r="D1" s="2318"/>
      <c r="E1" s="2318"/>
      <c r="F1" s="2318"/>
    </row>
    <row r="2" spans="1:10" x14ac:dyDescent="0.2">
      <c r="A2" s="1907" t="s">
        <v>2048</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19" t="s">
        <v>1627</v>
      </c>
      <c r="B5" s="2320"/>
      <c r="C5" s="2321"/>
      <c r="D5" s="2321"/>
      <c r="E5" s="2321"/>
      <c r="F5" s="2321"/>
    </row>
    <row r="6" spans="1:10" ht="12" customHeight="1" x14ac:dyDescent="0.25">
      <c r="A6" s="1870"/>
      <c r="B6" s="1871"/>
      <c r="C6" s="2322" t="str">
        <f>COVER!A17</f>
        <v>Hutsonville CUSD 1</v>
      </c>
      <c r="D6" s="2322"/>
      <c r="E6" s="2322"/>
      <c r="F6" s="1872"/>
    </row>
    <row r="7" spans="1:10" ht="11.25" customHeight="1" thickBot="1" x14ac:dyDescent="0.3">
      <c r="A7" s="1870"/>
      <c r="B7" s="1871"/>
      <c r="C7" s="2323">
        <f>COVER!A13</f>
        <v>12017001026</v>
      </c>
      <c r="D7" s="2323"/>
      <c r="E7" s="2323"/>
      <c r="F7" s="1872"/>
    </row>
    <row r="8" spans="1:10" ht="25.5" customHeight="1" thickBot="1" x14ac:dyDescent="0.25">
      <c r="A8" s="1913" t="s">
        <v>2025</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2082</v>
      </c>
      <c r="D26" s="1885" t="s">
        <v>2082</v>
      </c>
      <c r="E26" s="1888"/>
      <c r="F26" s="1887" t="s">
        <v>2103</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t="s">
        <v>2082</v>
      </c>
      <c r="D31" s="1885" t="s">
        <v>2082</v>
      </c>
      <c r="E31" s="1888"/>
      <c r="F31" s="1887" t="s">
        <v>2104</v>
      </c>
      <c r="H31" s="1898">
        <f t="shared" si="0"/>
        <v>5</v>
      </c>
      <c r="I31" s="1898">
        <f t="shared" si="1"/>
        <v>5</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10</v>
      </c>
      <c r="I34" s="1898">
        <f>SUM(I11:I32)</f>
        <v>10</v>
      </c>
      <c r="J34" s="1898">
        <f>SUM(J11:J32)</f>
        <v>0</v>
      </c>
      <c r="K34" s="1898">
        <f>SUM(H34:J34)</f>
        <v>20</v>
      </c>
    </row>
    <row r="35" spans="1:11" ht="12" customHeight="1" x14ac:dyDescent="0.2">
      <c r="A35" s="1891" t="s">
        <v>1459</v>
      </c>
      <c r="B35" s="1892"/>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3"/>
      <c r="B39" s="1893"/>
      <c r="C39" s="1893"/>
      <c r="D39" s="1893"/>
      <c r="E39" s="1893"/>
      <c r="F39" s="1893"/>
    </row>
    <row r="40" spans="1:11" s="1890" customFormat="1" ht="12" customHeight="1" x14ac:dyDescent="0.25">
      <c r="A40" s="1894" t="s">
        <v>1458</v>
      </c>
      <c r="B40" s="1895"/>
      <c r="C40" s="2313"/>
      <c r="D40" s="2313"/>
      <c r="E40" s="2313"/>
      <c r="F40" s="2314"/>
      <c r="H40" s="1899"/>
      <c r="I40" s="1899"/>
      <c r="J40" s="1899"/>
      <c r="K40" s="1899"/>
    </row>
    <row r="41" spans="1:11" s="1890" customFormat="1" ht="12" customHeight="1" x14ac:dyDescent="0.25">
      <c r="A41" s="2315"/>
      <c r="B41" s="2316"/>
      <c r="C41" s="2316"/>
      <c r="D41" s="2316"/>
      <c r="E41" s="2316"/>
      <c r="F41" s="2317"/>
      <c r="H41" s="1899"/>
      <c r="I41" s="1899"/>
      <c r="J41" s="1899"/>
      <c r="K41" s="1899"/>
    </row>
    <row r="42" spans="1:11" s="1890" customFormat="1" ht="12" customHeight="1" x14ac:dyDescent="0.25">
      <c r="A42" s="2315"/>
      <c r="B42" s="2316"/>
      <c r="C42" s="2316"/>
      <c r="D42" s="2316"/>
      <c r="E42" s="2316"/>
      <c r="F42" s="2317"/>
      <c r="H42" s="1899"/>
      <c r="I42" s="1899"/>
      <c r="J42" s="1899"/>
      <c r="K42" s="1899"/>
    </row>
    <row r="43" spans="1:11" s="1890" customFormat="1" ht="15" x14ac:dyDescent="0.25">
      <c r="A43" s="2304"/>
      <c r="B43" s="2305"/>
      <c r="C43" s="2305"/>
      <c r="D43" s="2305"/>
      <c r="E43" s="2305"/>
      <c r="F43" s="2306"/>
      <c r="H43" s="1899"/>
      <c r="I43" s="1899"/>
      <c r="J43" s="1899"/>
      <c r="K43" s="1899"/>
    </row>
    <row r="44" spans="1:11" s="1890" customFormat="1" ht="12" hidden="1" customHeight="1" x14ac:dyDescent="0.25">
      <c r="A44" s="2304"/>
      <c r="B44" s="2305"/>
      <c r="C44" s="2305"/>
      <c r="D44" s="2305"/>
      <c r="E44" s="2305"/>
      <c r="F44" s="230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21" sqref="F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4"/>
      <c r="C6" s="1664"/>
      <c r="D6" s="1664"/>
      <c r="E6" s="1665"/>
      <c r="F6" s="1016"/>
      <c r="G6" s="1010"/>
      <c r="H6" s="1017" t="s">
        <v>1086</v>
      </c>
      <c r="I6" s="2331" t="str">
        <f>COVER!A17</f>
        <v>Hutsonville CUSD 1</v>
      </c>
      <c r="J6" s="2332"/>
      <c r="Q6" s="1683"/>
    </row>
    <row r="7" spans="1:17" x14ac:dyDescent="0.2">
      <c r="A7" s="2333" t="s">
        <v>924</v>
      </c>
      <c r="B7" s="2334"/>
      <c r="C7" s="2334"/>
      <c r="D7" s="2334"/>
      <c r="E7" s="2335"/>
      <c r="F7" s="1018"/>
      <c r="G7" s="1010"/>
      <c r="H7" s="1017" t="s">
        <v>390</v>
      </c>
      <c r="I7" s="2336">
        <f>COVER!A13</f>
        <v>12017001026</v>
      </c>
      <c r="J7" s="233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190059</v>
      </c>
      <c r="F12" s="1040"/>
      <c r="G12" s="1831">
        <f t="shared" ref="G12:G18" si="0">SUM(E12:F12)</f>
        <v>190059</v>
      </c>
      <c r="H12" s="1041">
        <v>182476</v>
      </c>
      <c r="I12" s="1040"/>
      <c r="J12" s="1831">
        <f t="shared" ref="J12:J18" si="1">SUM(H12:I12)</f>
        <v>182476</v>
      </c>
    </row>
    <row r="13" spans="1:17" ht="15" customHeight="1" x14ac:dyDescent="0.2">
      <c r="A13" s="1036">
        <v>2</v>
      </c>
      <c r="B13" s="1037" t="s">
        <v>44</v>
      </c>
      <c r="C13" s="1038"/>
      <c r="D13" s="1039">
        <v>2330</v>
      </c>
      <c r="E13" s="1831">
        <f>'Expenditures 15-22'!K51</f>
        <v>0</v>
      </c>
      <c r="F13" s="1040"/>
      <c r="G13" s="1831">
        <f t="shared" si="0"/>
        <v>0</v>
      </c>
      <c r="H13" s="1041">
        <v>17000</v>
      </c>
      <c r="I13" s="1040"/>
      <c r="J13" s="1831">
        <f t="shared" si="1"/>
        <v>17000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0" t="s">
        <v>7</v>
      </c>
      <c r="C18" s="2341"/>
      <c r="D18" s="2342"/>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190059</v>
      </c>
      <c r="F19" s="1833">
        <f t="shared" si="2"/>
        <v>0</v>
      </c>
      <c r="G19" s="1833">
        <f t="shared" si="2"/>
        <v>190059</v>
      </c>
      <c r="H19" s="1833">
        <f t="shared" si="2"/>
        <v>199476</v>
      </c>
      <c r="I19" s="1833">
        <f t="shared" si="2"/>
        <v>0</v>
      </c>
      <c r="J19" s="1833">
        <f t="shared" si="2"/>
        <v>199476</v>
      </c>
    </row>
    <row r="20" spans="1:10" ht="13.5" thickTop="1" x14ac:dyDescent="0.2">
      <c r="A20" s="1036">
        <v>9</v>
      </c>
      <c r="B20" s="2343" t="s">
        <v>1703</v>
      </c>
      <c r="C20" s="2343"/>
      <c r="D20" s="2344"/>
      <c r="E20" s="1047"/>
      <c r="F20" s="1047"/>
      <c r="G20" s="1047"/>
      <c r="H20" s="1047"/>
      <c r="I20" s="1047"/>
      <c r="J20" s="1834">
        <f>IF(AND(G19&gt;0,J19&gt;0),(((J19-G19)/G19)),"Enter Budget Data")</f>
        <v>4.9547772007639733E-2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1093</v>
      </c>
      <c r="D27" s="1053"/>
      <c r="E27" s="1054"/>
      <c r="F27" s="2345" t="s">
        <v>1589</v>
      </c>
      <c r="G27" s="2345"/>
    </row>
    <row r="28" spans="1:10" ht="28.5" customHeight="1" x14ac:dyDescent="0.2">
      <c r="B28" s="1048"/>
      <c r="C28" s="2347"/>
      <c r="D28" s="2347"/>
      <c r="E28" s="1055"/>
      <c r="F28" s="2347"/>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1944</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6"/>
  <sheetViews>
    <sheetView showGridLines="0" zoomScale="110" zoomScaleNormal="110" workbookViewId="0">
      <selection activeCell="B19" sqref="B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2148</v>
      </c>
    </row>
    <row r="6" spans="1:2" x14ac:dyDescent="0.2">
      <c r="A6" s="1069"/>
      <c r="B6" s="329" t="s">
        <v>2096</v>
      </c>
    </row>
    <row r="7" spans="1:2" x14ac:dyDescent="0.2">
      <c r="A7" s="1069">
        <v>2</v>
      </c>
      <c r="B7" s="329" t="s">
        <v>2149</v>
      </c>
    </row>
    <row r="8" spans="1:2" x14ac:dyDescent="0.2">
      <c r="A8" s="1069">
        <v>3</v>
      </c>
      <c r="B8" s="329" t="s">
        <v>2150</v>
      </c>
    </row>
    <row r="9" spans="1:2" x14ac:dyDescent="0.2">
      <c r="A9" s="1069">
        <v>4</v>
      </c>
      <c r="B9" s="329" t="s">
        <v>2097</v>
      </c>
    </row>
    <row r="10" spans="1:2" x14ac:dyDescent="0.2">
      <c r="A10" s="1069">
        <v>5</v>
      </c>
      <c r="B10" s="329" t="s">
        <v>2098</v>
      </c>
    </row>
    <row r="11" spans="1:2" x14ac:dyDescent="0.2">
      <c r="A11" s="1069">
        <v>6</v>
      </c>
      <c r="B11" s="329" t="s">
        <v>2099</v>
      </c>
    </row>
    <row r="12" spans="1:2" x14ac:dyDescent="0.2">
      <c r="A12" s="1069">
        <v>7</v>
      </c>
      <c r="B12" s="329" t="s">
        <v>2100</v>
      </c>
    </row>
    <row r="13" spans="1:2" x14ac:dyDescent="0.2">
      <c r="A13" s="1069">
        <v>8</v>
      </c>
      <c r="B13" s="329" t="s">
        <v>2101</v>
      </c>
    </row>
    <row r="14" spans="1:2" x14ac:dyDescent="0.2">
      <c r="A14" s="1069">
        <v>9</v>
      </c>
      <c r="B14" s="329" t="s">
        <v>2128</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Hutsonville CUSD 1</v>
      </c>
    </row>
    <row r="66" spans="1:2" x14ac:dyDescent="0.2">
      <c r="B66" s="1071">
        <f>COVER!A13</f>
        <v>12017001026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88" zoomScale="110" zoomScaleNormal="110" workbookViewId="0">
      <selection activeCell="B26" sqref="B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9" sqref="C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9" r:id="rId4">
          <objectPr defaultSize="0" r:id="rId5">
            <anchor moveWithCells="1">
              <from>
                <xdr:col>1</xdr:col>
                <xdr:colOff>28575</xdr:colOff>
                <xdr:row>1</xdr:row>
                <xdr:rowOff>19050</xdr:rowOff>
              </from>
              <to>
                <xdr:col>1</xdr:col>
                <xdr:colOff>933450</xdr:colOff>
                <xdr:row>5</xdr:row>
                <xdr:rowOff>57150</xdr:rowOff>
              </to>
            </anchor>
          </objectPr>
        </oleObject>
      </mc:Choice>
      <mc:Fallback>
        <oleObject progId="Acrobat.Document.2015" dvAspect="DVASPECT_ICON" shapeId="36869" r:id="rId4"/>
      </mc:Fallback>
    </mc:AlternateContent>
    <mc:AlternateContent xmlns:mc="http://schemas.openxmlformats.org/markup-compatibility/2006">
      <mc:Choice Requires="x14">
        <oleObject progId="Acrobat.Document.2015" dvAspect="DVASPECT_ICON" shapeId="36870" r:id="rId6">
          <objectPr defaultSize="0" r:id="rId7">
            <anchor moveWithCells="1">
              <from>
                <xdr:col>1</xdr:col>
                <xdr:colOff>1190625</xdr:colOff>
                <xdr:row>1</xdr:row>
                <xdr:rowOff>38100</xdr:rowOff>
              </from>
              <to>
                <xdr:col>1</xdr:col>
                <xdr:colOff>2095500</xdr:colOff>
                <xdr:row>5</xdr:row>
                <xdr:rowOff>76200</xdr:rowOff>
              </to>
            </anchor>
          </objectPr>
        </oleObject>
      </mc:Choice>
      <mc:Fallback>
        <oleObject progId="Acrobat.Document.2015" dvAspect="DVASPECT_ICON" shapeId="36870" r:id="rId6"/>
      </mc:Fallback>
    </mc:AlternateContent>
    <mc:AlternateContent xmlns:mc="http://schemas.openxmlformats.org/markup-compatibility/2006">
      <mc:Choice Requires="x14">
        <oleObject progId="Acrobat.Document.2015" dvAspect="DVASPECT_ICON" shapeId="36871" r:id="rId8">
          <objectPr defaultSize="0" r:id="rId9">
            <anchor moveWithCells="1">
              <from>
                <xdr:col>1</xdr:col>
                <xdr:colOff>19050</xdr:colOff>
                <xdr:row>6</xdr:row>
                <xdr:rowOff>95250</xdr:rowOff>
              </from>
              <to>
                <xdr:col>1</xdr:col>
                <xdr:colOff>933450</xdr:colOff>
                <xdr:row>10</xdr:row>
                <xdr:rowOff>133350</xdr:rowOff>
              </to>
            </anchor>
          </objectPr>
        </oleObject>
      </mc:Choice>
      <mc:Fallback>
        <oleObject progId="Acrobat.Document.2015" dvAspect="DVASPECT_ICON" shapeId="36871" r:id="rId8"/>
      </mc:Fallback>
    </mc:AlternateContent>
    <mc:AlternateContent xmlns:mc="http://schemas.openxmlformats.org/markup-compatibility/2006">
      <mc:Choice Requires="x14">
        <oleObject progId="Acrobat.Document.2015" dvAspect="DVASPECT_ICON" shapeId="36872" r:id="rId10">
          <objectPr defaultSize="0" r:id="rId11">
            <anchor moveWithCells="1">
              <from>
                <xdr:col>1</xdr:col>
                <xdr:colOff>1181100</xdr:colOff>
                <xdr:row>6</xdr:row>
                <xdr:rowOff>95250</xdr:rowOff>
              </from>
              <to>
                <xdr:col>1</xdr:col>
                <xdr:colOff>2095500</xdr:colOff>
                <xdr:row>10</xdr:row>
                <xdr:rowOff>133350</xdr:rowOff>
              </to>
            </anchor>
          </objectPr>
        </oleObject>
      </mc:Choice>
      <mc:Fallback>
        <oleObject progId="Acrobat.Document.2015" dvAspect="DVASPECT_ICON" shapeId="3687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5"/>
      <c r="H2" s="1075"/>
    </row>
    <row r="3" spans="1:8" ht="57" customHeight="1" x14ac:dyDescent="0.2">
      <c r="A3" s="2364" t="s">
        <v>1786</v>
      </c>
      <c r="B3" s="2365"/>
      <c r="C3" s="2365"/>
      <c r="D3" s="2365"/>
      <c r="E3" s="2365"/>
      <c r="F3" s="2366"/>
      <c r="G3" s="1075"/>
      <c r="H3" s="1075"/>
    </row>
    <row r="4" spans="1:8" ht="14.25" customHeight="1" x14ac:dyDescent="0.2">
      <c r="A4" s="2370" t="s">
        <v>2056</v>
      </c>
      <c r="B4" s="2371"/>
      <c r="C4" s="2371"/>
      <c r="D4" s="2371"/>
      <c r="E4" s="2371"/>
      <c r="F4" s="2372"/>
      <c r="G4" s="1075"/>
      <c r="H4" s="1075"/>
    </row>
    <row r="5" spans="1:8" ht="14.25" customHeight="1" x14ac:dyDescent="0.2">
      <c r="A5" s="2373" t="s">
        <v>2057</v>
      </c>
      <c r="B5" s="2374"/>
      <c r="C5" s="2374"/>
      <c r="D5" s="2374"/>
      <c r="E5" s="2374"/>
      <c r="F5" s="2375"/>
      <c r="G5" s="1075"/>
      <c r="H5" s="1075"/>
    </row>
    <row r="6" spans="1:8" s="1076" customFormat="1" ht="41.25" customHeight="1" x14ac:dyDescent="0.2">
      <c r="A6" s="2367" t="s">
        <v>1792</v>
      </c>
      <c r="B6" s="2368"/>
      <c r="C6" s="2368"/>
      <c r="D6" s="2368"/>
      <c r="E6" s="2368"/>
      <c r="F6" s="236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2540762</v>
      </c>
      <c r="C8" s="1835">
        <f>'Acct Summary 7-8'!D8</f>
        <v>346814</v>
      </c>
      <c r="D8" s="1835">
        <f>'Acct Summary 7-8'!F8</f>
        <v>338079</v>
      </c>
      <c r="E8" s="1835">
        <f>'Acct Summary 7-8'!I8</f>
        <v>11949</v>
      </c>
      <c r="F8" s="1835">
        <f>SUM(B8:E8)</f>
        <v>3237604</v>
      </c>
    </row>
    <row r="9" spans="1:8" s="1080" customFormat="1" ht="14.25" customHeight="1" thickBot="1" x14ac:dyDescent="0.25">
      <c r="A9" s="1079" t="s">
        <v>1436</v>
      </c>
      <c r="B9" s="1836">
        <f>'Acct Summary 7-8'!C17</f>
        <v>2461916</v>
      </c>
      <c r="C9" s="1836">
        <f>'Acct Summary 7-8'!D17</f>
        <v>338716</v>
      </c>
      <c r="D9" s="1836">
        <f>'Acct Summary 7-8'!F17</f>
        <v>284014</v>
      </c>
      <c r="E9" s="1835"/>
      <c r="F9" s="1835">
        <f>SUM(B9:E9)</f>
        <v>3084646</v>
      </c>
    </row>
    <row r="10" spans="1:8" s="1080" customFormat="1" ht="14.25" thickTop="1" thickBot="1" x14ac:dyDescent="0.25">
      <c r="A10" s="1081" t="s">
        <v>1437</v>
      </c>
      <c r="B10" s="1837">
        <f>(B8-B9)</f>
        <v>78846</v>
      </c>
      <c r="C10" s="1837">
        <f>(C8-C9)</f>
        <v>8098</v>
      </c>
      <c r="D10" s="1837">
        <f>(D8-D9)</f>
        <v>54065</v>
      </c>
      <c r="E10" s="1836">
        <f>(E8-E9)</f>
        <v>11949</v>
      </c>
      <c r="F10" s="1838">
        <f>SUM(F8-F9)</f>
        <v>152958</v>
      </c>
    </row>
    <row r="11" spans="1:8" s="1080" customFormat="1" ht="14.25" thickTop="1" thickBot="1" x14ac:dyDescent="0.25">
      <c r="A11" s="1082" t="s">
        <v>1785</v>
      </c>
      <c r="B11" s="1839">
        <f>'Acct Summary 7-8'!C81</f>
        <v>953650</v>
      </c>
      <c r="C11" s="1839">
        <f>'Acct Summary 7-8'!D81</f>
        <v>47962</v>
      </c>
      <c r="D11" s="1839">
        <f>'Acct Summary 7-8'!F81</f>
        <v>77110</v>
      </c>
      <c r="E11" s="1839">
        <f>'Acct Summary 7-8'!I81</f>
        <v>264767</v>
      </c>
      <c r="F11" s="1840">
        <f>SUM(B11:E11)</f>
        <v>1343489</v>
      </c>
    </row>
    <row r="12" spans="1:8" ht="16.5" customHeight="1" thickTop="1" x14ac:dyDescent="0.2">
      <c r="A12" s="1083"/>
      <c r="B12" s="1084"/>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5"/>
      <c r="B13" s="1086"/>
      <c r="C13" s="2355"/>
      <c r="D13" s="2356"/>
      <c r="E13" s="2356"/>
      <c r="F13" s="2357"/>
      <c r="H13" s="1075"/>
    </row>
    <row r="14" spans="1:8" ht="19.5" customHeight="1" x14ac:dyDescent="0.2">
      <c r="A14" s="1085"/>
      <c r="B14" s="1086"/>
      <c r="C14" s="2355"/>
      <c r="D14" s="2356"/>
      <c r="E14" s="2356"/>
      <c r="F14" s="2357"/>
      <c r="H14" s="1075"/>
    </row>
    <row r="15" spans="1:8" ht="17.25" customHeight="1" x14ac:dyDescent="0.2">
      <c r="A15" s="1085"/>
      <c r="B15" s="1086"/>
      <c r="C15" s="2358"/>
      <c r="D15" s="2359"/>
      <c r="E15" s="2359"/>
      <c r="F15" s="2360"/>
      <c r="H15" s="1075"/>
    </row>
    <row r="16" spans="1:8" s="310" customFormat="1" ht="51.75" hidden="1" customHeight="1" x14ac:dyDescent="0.2">
      <c r="A16" s="2354" t="s">
        <v>1787</v>
      </c>
      <c r="B16" s="2354"/>
      <c r="C16" s="2354"/>
      <c r="D16" s="2354"/>
      <c r="E16" s="235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C75" sqref="C7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76" t="s">
        <v>686</v>
      </c>
      <c r="B3" s="2377"/>
      <c r="C3" s="2377"/>
      <c r="D3" s="237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7" t="s">
        <v>1584</v>
      </c>
      <c r="D7" s="238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9" t="s">
        <v>1065</v>
      </c>
      <c r="B15" s="2380"/>
      <c r="C15" s="2380"/>
      <c r="D15" s="2381"/>
    </row>
    <row r="16" spans="1:4" s="669" customFormat="1" ht="24" customHeight="1" x14ac:dyDescent="0.2">
      <c r="A16" s="2382" t="s">
        <v>684</v>
      </c>
      <c r="B16" s="2383"/>
      <c r="C16" s="2383"/>
      <c r="D16" s="238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1" t="s">
        <v>332</v>
      </c>
      <c r="D21" s="2392"/>
    </row>
    <row r="22" spans="1:10" ht="12.75" x14ac:dyDescent="0.2">
      <c r="A22" s="1140"/>
      <c r="B22" s="1141">
        <v>2</v>
      </c>
      <c r="C22" s="2389" t="s">
        <v>1605</v>
      </c>
      <c r="D22" s="239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3" t="s">
        <v>557</v>
      </c>
      <c r="D43" s="239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5" t="s">
        <v>817</v>
      </c>
      <c r="D56" s="238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5" t="s">
        <v>1797</v>
      </c>
      <c r="D70" s="238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29'!D73&gt;0,"OK","PLEASE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12017001026</v>
      </c>
    </row>
    <row r="3" spans="1:2" x14ac:dyDescent="0.2">
      <c r="A3" t="s">
        <v>1013</v>
      </c>
      <c r="B3" s="138" t="str">
        <f>COVER!A15</f>
        <v>Crawford</v>
      </c>
    </row>
    <row r="4" spans="1:2" x14ac:dyDescent="0.2">
      <c r="A4" t="s">
        <v>1064</v>
      </c>
      <c r="B4" s="138" t="str">
        <f>COVER!A17</f>
        <v>Hutsonville CUSD 1</v>
      </c>
    </row>
    <row r="5" spans="1:2" x14ac:dyDescent="0.2">
      <c r="A5" t="s">
        <v>728</v>
      </c>
      <c r="B5" s="138" t="str">
        <f>COVER!A38</f>
        <v>Julie Kraemer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066-003998</v>
      </c>
    </row>
    <row r="16" spans="1:2" x14ac:dyDescent="0.2">
      <c r="A16" t="s">
        <v>442</v>
      </c>
      <c r="B16" s="138" t="str">
        <f>COVER!T13</f>
        <v>Kemper CPA Group</v>
      </c>
    </row>
    <row r="17" spans="1:2" x14ac:dyDescent="0.2">
      <c r="A17" t="s">
        <v>939</v>
      </c>
      <c r="B17" s="138" t="str">
        <f>COVER!T15</f>
        <v>Brian Bradbury</v>
      </c>
    </row>
    <row r="18" spans="1:2" x14ac:dyDescent="0.2">
      <c r="A18" t="s">
        <v>1212</v>
      </c>
      <c r="B18" s="138" t="str">
        <f>COVER!T17</f>
        <v>302 E. Walnut Street</v>
      </c>
    </row>
    <row r="19" spans="1:2" x14ac:dyDescent="0.2">
      <c r="A19" t="s">
        <v>941</v>
      </c>
      <c r="B19" s="138" t="str">
        <f>COVER!T25</f>
        <v>bbradbury@kcpag.com</v>
      </c>
    </row>
    <row r="20" spans="1:2" x14ac:dyDescent="0.2">
      <c r="A20" t="s">
        <v>942</v>
      </c>
      <c r="B20" s="138" t="str">
        <f>COVER!T19</f>
        <v>Robinson</v>
      </c>
    </row>
    <row r="21" spans="1:2" x14ac:dyDescent="0.2">
      <c r="A21" t="s">
        <v>500</v>
      </c>
      <c r="B21" s="138" t="str">
        <f>COVER!X19</f>
        <v>IL</v>
      </c>
    </row>
    <row r="22" spans="1:2" x14ac:dyDescent="0.2">
      <c r="A22" t="s">
        <v>943</v>
      </c>
      <c r="B22" s="138">
        <f>COVER!Z19</f>
        <v>62454</v>
      </c>
    </row>
    <row r="23" spans="1:2" x14ac:dyDescent="0.2">
      <c r="A23" t="s">
        <v>1214</v>
      </c>
      <c r="B23" s="138" t="str">
        <f>COVER!T21</f>
        <v>618-546-1502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953650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953650</v>
      </c>
      <c r="D92" s="2" t="str">
        <f t="shared" si="0"/>
        <v>Error?</v>
      </c>
    </row>
    <row r="93" spans="1:4" x14ac:dyDescent="0.2">
      <c r="A93" s="5">
        <v>32</v>
      </c>
      <c r="B93" s="138">
        <f>'Assets-Liab 5-6'!C41</f>
        <v>953650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47962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47962</v>
      </c>
      <c r="D123" s="2" t="str">
        <f t="shared" si="0"/>
        <v>Error?</v>
      </c>
    </row>
    <row r="124" spans="1:4" x14ac:dyDescent="0.2">
      <c r="A124" s="5">
        <v>63</v>
      </c>
      <c r="B124" s="138">
        <f>'Assets-Liab 5-6'!D41</f>
        <v>47962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5908</v>
      </c>
      <c r="D140" s="2" t="str">
        <f t="shared" si="1"/>
        <v>Error?</v>
      </c>
    </row>
    <row r="141" spans="1:4" x14ac:dyDescent="0.2">
      <c r="A141" s="5">
        <v>80</v>
      </c>
      <c r="B141" s="138">
        <f>'Assets-Liab 5-6'!E41</f>
        <v>5908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77110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77110</v>
      </c>
      <c r="D170" s="2" t="str">
        <f t="shared" si="1"/>
        <v>Error?</v>
      </c>
    </row>
    <row r="171" spans="1:4" x14ac:dyDescent="0.2">
      <c r="A171" s="5">
        <v>110</v>
      </c>
      <c r="B171" s="138">
        <f>'Assets-Liab 5-6'!F41</f>
        <v>77110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149229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113509</v>
      </c>
      <c r="D189" s="2" t="str">
        <f t="shared" si="1"/>
        <v>Error?</v>
      </c>
    </row>
    <row r="190" spans="1:4" x14ac:dyDescent="0.2">
      <c r="A190" s="5">
        <v>129</v>
      </c>
      <c r="B190" s="138">
        <f>'Assets-Liab 5-6'!G41</f>
        <v>149229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15425</v>
      </c>
      <c r="D273" s="2" t="str">
        <f t="shared" si="3"/>
        <v>Error?</v>
      </c>
    </row>
    <row r="274" spans="1:4" x14ac:dyDescent="0.2">
      <c r="A274" s="5">
        <v>213</v>
      </c>
      <c r="B274" s="138">
        <f>'Assets-Liab 5-6'!M17</f>
        <v>8056325</v>
      </c>
      <c r="D274" s="2" t="str">
        <f t="shared" si="3"/>
        <v>Error?</v>
      </c>
    </row>
    <row r="275" spans="1:4" x14ac:dyDescent="0.2">
      <c r="A275" s="5">
        <v>214</v>
      </c>
      <c r="B275" s="138">
        <f>'Assets-Liab 5-6'!M18</f>
        <v>0</v>
      </c>
      <c r="D275" s="2" t="str">
        <f t="shared" si="3"/>
        <v>Error?</v>
      </c>
    </row>
    <row r="276" spans="1:4" x14ac:dyDescent="0.2">
      <c r="A276" s="5">
        <v>215</v>
      </c>
      <c r="B276" s="138">
        <f>'Assets-Liab 5-6'!M19</f>
        <v>972200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9093648</v>
      </c>
      <c r="C279" s="2" t="s">
        <v>594</v>
      </c>
      <c r="D279" s="2" t="str">
        <f t="shared" si="3"/>
        <v>Error?</v>
      </c>
    </row>
    <row r="280" spans="1:4" x14ac:dyDescent="0.2">
      <c r="A280" s="5">
        <v>219</v>
      </c>
      <c r="B280" s="138">
        <f>'Assets-Liab 5-6'!M40</f>
        <v>9093648</v>
      </c>
      <c r="D280" s="2" t="str">
        <f t="shared" si="3"/>
        <v>Error?</v>
      </c>
    </row>
    <row r="281" spans="1:4" x14ac:dyDescent="0.2">
      <c r="A281" s="5">
        <v>220</v>
      </c>
      <c r="B281" s="138">
        <f>'Assets-Liab 5-6'!M41</f>
        <v>9093648</v>
      </c>
      <c r="C281" s="2" t="s">
        <v>594</v>
      </c>
      <c r="D281" s="2" t="str">
        <f t="shared" si="3"/>
        <v>Error?</v>
      </c>
    </row>
    <row r="282" spans="1:4" x14ac:dyDescent="0.2">
      <c r="A282" s="5">
        <v>221</v>
      </c>
      <c r="B282" s="138">
        <f>'Assets-Liab 5-6'!N21</f>
        <v>5908</v>
      </c>
      <c r="D282" s="2" t="str">
        <f t="shared" si="3"/>
        <v>Error?</v>
      </c>
    </row>
    <row r="283" spans="1:4" x14ac:dyDescent="0.2">
      <c r="A283" s="5">
        <v>222</v>
      </c>
      <c r="B283" s="138">
        <f>'Assets-Liab 5-6'!N22</f>
        <v>529292</v>
      </c>
      <c r="D283" s="2" t="str">
        <f t="shared" si="3"/>
        <v>Error?</v>
      </c>
    </row>
    <row r="284" spans="1:4" x14ac:dyDescent="0.2">
      <c r="A284" s="5">
        <v>223</v>
      </c>
      <c r="B284" s="138">
        <f>'Assets-Liab 5-6'!N23</f>
        <v>535200</v>
      </c>
      <c r="C284" s="2" t="s">
        <v>594</v>
      </c>
      <c r="D284" s="2" t="str">
        <f t="shared" si="3"/>
        <v>Error?</v>
      </c>
    </row>
    <row r="285" spans="1:4" x14ac:dyDescent="0.2">
      <c r="A285" s="5">
        <v>224</v>
      </c>
      <c r="B285" s="138">
        <f>'Assets-Liab 5-6'!N36</f>
        <v>535200</v>
      </c>
      <c r="D285" s="2" t="str">
        <f t="shared" si="3"/>
        <v>Error?</v>
      </c>
    </row>
    <row r="286" spans="1:4" x14ac:dyDescent="0.2">
      <c r="A286" s="10">
        <v>225</v>
      </c>
      <c r="D286" s="2" t="str">
        <f t="shared" si="3"/>
        <v>OK</v>
      </c>
    </row>
    <row r="287" spans="1:4" x14ac:dyDescent="0.2">
      <c r="A287" s="5">
        <v>226</v>
      </c>
      <c r="B287" s="138">
        <f>'Assets-Liab 5-6'!N37</f>
        <v>535200</v>
      </c>
      <c r="C287" s="2" t="s">
        <v>594</v>
      </c>
      <c r="D287" s="2" t="str">
        <f t="shared" si="3"/>
        <v>Error?</v>
      </c>
    </row>
    <row r="288" spans="1:4" x14ac:dyDescent="0.2">
      <c r="A288" s="5">
        <v>227</v>
      </c>
      <c r="B288" s="138">
        <f>'Assets-Liab 5-6'!N41</f>
        <v>535200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812317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9763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1197426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35397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35397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42078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42078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135824</v>
      </c>
      <c r="D733" s="2" t="str">
        <f t="shared" si="10"/>
        <v>Error?</v>
      </c>
    </row>
    <row r="734" spans="1:4" x14ac:dyDescent="0.2">
      <c r="A734" s="5">
        <v>673</v>
      </c>
      <c r="B734" s="138">
        <f>'Expenditures 15-22'!C53</f>
        <v>135824</v>
      </c>
      <c r="C734" s="2" t="s">
        <v>594</v>
      </c>
      <c r="D734" s="2" t="str">
        <f t="shared" si="10"/>
        <v>Error?</v>
      </c>
    </row>
    <row r="735" spans="1:4" x14ac:dyDescent="0.2">
      <c r="A735" s="5">
        <v>674</v>
      </c>
      <c r="B735" s="138">
        <f>'Expenditures 15-22'!C55</f>
        <v>215501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215501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28630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76445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105075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533875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1731301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122299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154833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4236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4236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8526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8526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14043</v>
      </c>
      <c r="D791" s="2" t="str">
        <f t="shared" si="11"/>
        <v>Error?</v>
      </c>
    </row>
    <row r="792" spans="1:4" x14ac:dyDescent="0.2">
      <c r="A792" s="5">
        <v>731</v>
      </c>
      <c r="B792" s="138">
        <f>'Expenditures 15-22'!D53</f>
        <v>14043</v>
      </c>
      <c r="C792" s="2" t="s">
        <v>594</v>
      </c>
      <c r="D792" s="2" t="str">
        <f t="shared" si="11"/>
        <v>Error?</v>
      </c>
    </row>
    <row r="793" spans="1:4" x14ac:dyDescent="0.2">
      <c r="A793" s="5">
        <v>732</v>
      </c>
      <c r="B793" s="138">
        <f>'Expenditures 15-22'!D55</f>
        <v>25679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25679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3324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6155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58639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213472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450</v>
      </c>
      <c r="D833" s="2" t="str">
        <f t="shared" si="12"/>
        <v>Error?</v>
      </c>
    </row>
    <row r="834" spans="1:4" x14ac:dyDescent="0.2">
      <c r="A834" s="5">
        <v>773</v>
      </c>
      <c r="B834" s="138">
        <f>'Expenditures 15-22'!E14</f>
        <v>9400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70952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1512</v>
      </c>
      <c r="D838" s="2" t="str">
        <f t="shared" si="12"/>
        <v>Error?</v>
      </c>
    </row>
    <row r="839" spans="1:4" x14ac:dyDescent="0.2">
      <c r="A839" s="5">
        <v>778</v>
      </c>
      <c r="B839" s="138">
        <f>'Expenditures 15-22'!E38</f>
        <v>1455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100</v>
      </c>
      <c r="D842" s="2" t="str">
        <f t="shared" si="12"/>
        <v>Error?</v>
      </c>
    </row>
    <row r="843" spans="1:4" x14ac:dyDescent="0.2">
      <c r="A843" s="5">
        <v>782</v>
      </c>
      <c r="B843" s="138">
        <f>'Expenditures 15-22'!E42</f>
        <v>3067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1550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1550</v>
      </c>
      <c r="C847" s="2" t="s">
        <v>594</v>
      </c>
      <c r="D847" s="2" t="str">
        <f t="shared" si="12"/>
        <v>Error?</v>
      </c>
    </row>
    <row r="848" spans="1:4" x14ac:dyDescent="0.2">
      <c r="A848" s="5">
        <v>787</v>
      </c>
      <c r="B848" s="138">
        <f>'Expenditures 15-22'!E49</f>
        <v>17036</v>
      </c>
      <c r="D848" s="2" t="str">
        <f t="shared" si="12"/>
        <v>Error?</v>
      </c>
    </row>
    <row r="849" spans="1:4" x14ac:dyDescent="0.2">
      <c r="A849" s="5">
        <v>788</v>
      </c>
      <c r="B849" s="138">
        <f>'Expenditures 15-22'!E50</f>
        <v>6705</v>
      </c>
      <c r="D849" s="2" t="str">
        <f t="shared" si="12"/>
        <v>Error?</v>
      </c>
    </row>
    <row r="850" spans="1:4" x14ac:dyDescent="0.2">
      <c r="A850" s="5">
        <v>789</v>
      </c>
      <c r="B850" s="138">
        <f>'Expenditures 15-22'!E53</f>
        <v>23741</v>
      </c>
      <c r="C850" s="2" t="s">
        <v>594</v>
      </c>
      <c r="D850" s="2" t="str">
        <f t="shared" si="12"/>
        <v>Error?</v>
      </c>
    </row>
    <row r="851" spans="1:4" x14ac:dyDescent="0.2">
      <c r="A851" s="5">
        <v>790</v>
      </c>
      <c r="B851" s="138">
        <f>'Expenditures 15-22'!E55</f>
        <v>3308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3308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192</v>
      </c>
      <c r="D855" s="2" t="str">
        <f t="shared" si="12"/>
        <v>Error?</v>
      </c>
    </row>
    <row r="856" spans="1:4" x14ac:dyDescent="0.2">
      <c r="A856" s="5">
        <v>795</v>
      </c>
      <c r="B856" s="138">
        <f>'Expenditures 15-22'!E61</f>
        <v>11735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12386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44052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115004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55191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306</v>
      </c>
      <c r="D891" s="2" t="str">
        <f t="shared" si="12"/>
        <v>Error?</v>
      </c>
    </row>
    <row r="892" spans="1:4" x14ac:dyDescent="0.2">
      <c r="A892" s="5">
        <v>831</v>
      </c>
      <c r="B892" s="138">
        <f>'Expenditures 15-22'!F14</f>
        <v>2233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105549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443</v>
      </c>
      <c r="D896" s="2" t="str">
        <f t="shared" si="13"/>
        <v>Error?</v>
      </c>
    </row>
    <row r="897" spans="1:4" x14ac:dyDescent="0.2">
      <c r="A897" s="5">
        <v>836</v>
      </c>
      <c r="B897" s="138">
        <f>'Expenditures 15-22'!F38</f>
        <v>2226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1525</v>
      </c>
      <c r="D900" s="2" t="str">
        <f t="shared" si="13"/>
        <v>Error?</v>
      </c>
    </row>
    <row r="901" spans="1:4" x14ac:dyDescent="0.2">
      <c r="A901" s="5">
        <v>840</v>
      </c>
      <c r="B901" s="138">
        <f>'Expenditures 15-22'!F42</f>
        <v>4194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11385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11385</v>
      </c>
      <c r="C905" s="2" t="s">
        <v>594</v>
      </c>
      <c r="D905" s="2" t="str">
        <f t="shared" si="13"/>
        <v>Error?</v>
      </c>
    </row>
    <row r="906" spans="1:4" x14ac:dyDescent="0.2">
      <c r="A906" s="5">
        <v>845</v>
      </c>
      <c r="B906" s="138">
        <f>'Expenditures 15-22'!F49</f>
        <v>5848</v>
      </c>
      <c r="D906" s="2" t="str">
        <f t="shared" si="13"/>
        <v>Error?</v>
      </c>
    </row>
    <row r="907" spans="1:4" x14ac:dyDescent="0.2">
      <c r="A907" s="5">
        <v>846</v>
      </c>
      <c r="B907" s="138">
        <f>'Expenditures 15-22'!F50</f>
        <v>32029</v>
      </c>
      <c r="D907" s="2" t="str">
        <f t="shared" si="13"/>
        <v>Error?</v>
      </c>
    </row>
    <row r="908" spans="1:4" x14ac:dyDescent="0.2">
      <c r="A908" s="5">
        <v>847</v>
      </c>
      <c r="B908" s="138">
        <f>'Expenditures 15-22'!F53</f>
        <v>37877</v>
      </c>
      <c r="C908" s="2" t="s">
        <v>594</v>
      </c>
      <c r="D908" s="2" t="str">
        <f t="shared" si="13"/>
        <v>Error?</v>
      </c>
    </row>
    <row r="909" spans="1:4" x14ac:dyDescent="0.2">
      <c r="A909" s="5">
        <v>848</v>
      </c>
      <c r="B909" s="138">
        <f>'Expenditures 15-22'!F55</f>
        <v>15406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15406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101572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101572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2077</v>
      </c>
      <c r="D925" s="2" t="str">
        <f t="shared" si="13"/>
        <v>Error?</v>
      </c>
    </row>
    <row r="926" spans="1:4" x14ac:dyDescent="0.2">
      <c r="A926" s="10">
        <v>865</v>
      </c>
      <c r="D926" s="2" t="str">
        <f t="shared" si="13"/>
        <v>OK</v>
      </c>
    </row>
    <row r="927" spans="1:4" x14ac:dyDescent="0.2">
      <c r="A927" s="5">
        <v>866</v>
      </c>
      <c r="B927" s="138">
        <f>'Expenditures 15-22'!F72</f>
        <v>2077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172511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278060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1741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2024</v>
      </c>
      <c r="D1022" s="2" t="str">
        <f t="shared" si="14"/>
        <v>Error?</v>
      </c>
    </row>
    <row r="1023" spans="1:4" x14ac:dyDescent="0.2">
      <c r="A1023" s="5">
        <v>962</v>
      </c>
      <c r="B1023" s="138">
        <f>'Expenditures 15-22'!H50</f>
        <v>1458</v>
      </c>
      <c r="D1023" s="2" t="str">
        <f t="shared" ref="D1023:D1086" si="15">IF(ISBLANK(B1023),"OK",IF(A1023-B1023=0,"OK","Error?"))</f>
        <v>Error?</v>
      </c>
    </row>
    <row r="1024" spans="1:4" x14ac:dyDescent="0.2">
      <c r="A1024" s="5">
        <v>963</v>
      </c>
      <c r="B1024" s="138">
        <f>'Expenditures 15-22'!H53</f>
        <v>3482</v>
      </c>
      <c r="C1024" s="2" t="s">
        <v>594</v>
      </c>
      <c r="D1024" s="2" t="str">
        <f t="shared" si="15"/>
        <v>Error?</v>
      </c>
    </row>
    <row r="1025" spans="1:4" x14ac:dyDescent="0.2">
      <c r="A1025" s="5">
        <v>964</v>
      </c>
      <c r="B1025" s="138">
        <f>'Expenditures 15-22'!H55</f>
        <v>665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118191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124079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996370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756</v>
      </c>
      <c r="C1105" s="2" t="s">
        <v>594</v>
      </c>
      <c r="D1105" s="2" t="str">
        <f t="shared" si="16"/>
        <v>Error?</v>
      </c>
    </row>
    <row r="1106" spans="1:4" x14ac:dyDescent="0.2">
      <c r="A1106" s="5">
        <v>1045</v>
      </c>
      <c r="B1106" s="138">
        <f>'Expenditures 15-22'!K14</f>
        <v>23216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1530501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41588</v>
      </c>
      <c r="C1110" s="2" t="s">
        <v>594</v>
      </c>
      <c r="D1110" s="2" t="str">
        <f t="shared" si="16"/>
        <v>Error?</v>
      </c>
    </row>
    <row r="1111" spans="1:4" x14ac:dyDescent="0.2">
      <c r="A1111" s="5">
        <v>1050</v>
      </c>
      <c r="B1111" s="138">
        <f>'Expenditures 15-22'!K38</f>
        <v>3681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1625</v>
      </c>
      <c r="C1114" s="2" t="s">
        <v>594</v>
      </c>
      <c r="D1114" s="2" t="str">
        <f t="shared" si="16"/>
        <v>Error?</v>
      </c>
    </row>
    <row r="1115" spans="1:4" x14ac:dyDescent="0.2">
      <c r="A1115" s="5">
        <v>1054</v>
      </c>
      <c r="B1115" s="138">
        <f>'Expenditures 15-22'!K42</f>
        <v>46894</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63539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63539</v>
      </c>
      <c r="C1119" s="2" t="s">
        <v>594</v>
      </c>
      <c r="D1119" s="2" t="str">
        <f t="shared" si="16"/>
        <v>Error?</v>
      </c>
    </row>
    <row r="1120" spans="1:4" x14ac:dyDescent="0.2">
      <c r="A1120" s="5">
        <v>1059</v>
      </c>
      <c r="B1120" s="138">
        <f>'Expenditures 15-22'!K49</f>
        <v>24908</v>
      </c>
      <c r="C1120" s="2" t="s">
        <v>594</v>
      </c>
      <c r="D1120" s="2" t="str">
        <f t="shared" si="16"/>
        <v>Error?</v>
      </c>
    </row>
    <row r="1121" spans="1:4" x14ac:dyDescent="0.2">
      <c r="A1121" s="5">
        <v>1060</v>
      </c>
      <c r="B1121" s="138">
        <f>'Expenditures 15-22'!K50</f>
        <v>190059</v>
      </c>
      <c r="C1121" s="2" t="s">
        <v>594</v>
      </c>
      <c r="D1121" s="2" t="str">
        <f t="shared" si="16"/>
        <v>Error?</v>
      </c>
    </row>
    <row r="1122" spans="1:4" x14ac:dyDescent="0.2">
      <c r="A1122" s="5">
        <v>1061</v>
      </c>
      <c r="B1122" s="138">
        <f>'Expenditures 15-22'!K53</f>
        <v>214967</v>
      </c>
      <c r="C1122" s="2" t="s">
        <v>594</v>
      </c>
      <c r="D1122" s="2" t="str">
        <f t="shared" si="16"/>
        <v>Error?</v>
      </c>
    </row>
    <row r="1123" spans="1:4" x14ac:dyDescent="0.2">
      <c r="A1123" s="5">
        <v>1062</v>
      </c>
      <c r="B1123" s="138">
        <f>'Expenditures 15-22'!K55</f>
        <v>260559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260559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32146</v>
      </c>
      <c r="C1127" s="2" t="s">
        <v>594</v>
      </c>
      <c r="D1127" s="2" t="str">
        <f t="shared" si="16"/>
        <v>Error?</v>
      </c>
    </row>
    <row r="1128" spans="1:4" x14ac:dyDescent="0.2">
      <c r="A1128" s="5">
        <v>1067</v>
      </c>
      <c r="B1128" s="138">
        <f>'Expenditures 15-22'!K61</f>
        <v>11735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181307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225188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2077</v>
      </c>
      <c r="C1139" s="2" t="s">
        <v>594</v>
      </c>
      <c r="D1139" s="2" t="str">
        <f t="shared" si="16"/>
        <v>Error?</v>
      </c>
    </row>
    <row r="1140" spans="1:4" x14ac:dyDescent="0.2">
      <c r="A1140" s="10">
        <v>1079</v>
      </c>
      <c r="D1140" s="2" t="str">
        <f t="shared" si="16"/>
        <v>OK</v>
      </c>
    </row>
    <row r="1141" spans="1:4" x14ac:dyDescent="0.2">
      <c r="A1141" s="5">
        <v>1080</v>
      </c>
      <c r="B1141" s="138">
        <f>'Expenditures 15-22'!K72</f>
        <v>2077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813224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118191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2461916</v>
      </c>
      <c r="C1152" s="2" t="s">
        <v>594</v>
      </c>
      <c r="D1152" s="2" t="str">
        <f t="shared" si="17"/>
        <v>Error?</v>
      </c>
    </row>
    <row r="1153" spans="1:4" x14ac:dyDescent="0.2">
      <c r="A1153" s="5">
        <v>1092</v>
      </c>
      <c r="B1153" s="138">
        <f>'Expenditures 15-22'!K115</f>
        <v>78846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124128</v>
      </c>
      <c r="D1221" s="2" t="str">
        <f t="shared" si="18"/>
        <v>Error?</v>
      </c>
    </row>
    <row r="1222" spans="1:4" x14ac:dyDescent="0.2">
      <c r="A1222" s="10">
        <v>1161</v>
      </c>
      <c r="D1222" s="2" t="str">
        <f t="shared" si="18"/>
        <v>OK</v>
      </c>
    </row>
    <row r="1223" spans="1:4" x14ac:dyDescent="0.2">
      <c r="A1223" s="5">
        <v>1162</v>
      </c>
      <c r="B1223" s="138">
        <f>'Expenditures 15-22'!C127</f>
        <v>124128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124128</v>
      </c>
      <c r="C1225" s="2" t="s">
        <v>594</v>
      </c>
      <c r="D1225" s="2" t="str">
        <f t="shared" si="18"/>
        <v>Error?</v>
      </c>
    </row>
    <row r="1226" spans="1:4" x14ac:dyDescent="0.2">
      <c r="A1226" s="5">
        <v>1165</v>
      </c>
      <c r="B1226" s="138">
        <f>'Expenditures 15-22'!C151</f>
        <v>124128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19743</v>
      </c>
      <c r="D1229" s="2" t="str">
        <f t="shared" si="18"/>
        <v>Error?</v>
      </c>
    </row>
    <row r="1230" spans="1:4" x14ac:dyDescent="0.2">
      <c r="A1230" s="10">
        <v>1169</v>
      </c>
      <c r="D1230" s="2" t="str">
        <f t="shared" si="18"/>
        <v>OK</v>
      </c>
    </row>
    <row r="1231" spans="1:4" x14ac:dyDescent="0.2">
      <c r="A1231" s="5">
        <v>1170</v>
      </c>
      <c r="B1231" s="138">
        <f>'Expenditures 15-22'!D127</f>
        <v>19743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19743</v>
      </c>
      <c r="C1233" s="2" t="s">
        <v>594</v>
      </c>
      <c r="D1233" s="2" t="str">
        <f t="shared" si="18"/>
        <v>Error?</v>
      </c>
    </row>
    <row r="1234" spans="1:4" x14ac:dyDescent="0.2">
      <c r="A1234" s="5">
        <v>1173</v>
      </c>
      <c r="B1234" s="138">
        <f>'Expenditures 15-22'!D151</f>
        <v>19743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26104</v>
      </c>
      <c r="D1237" s="2" t="str">
        <f t="shared" si="18"/>
        <v>Error?</v>
      </c>
    </row>
    <row r="1238" spans="1:4" x14ac:dyDescent="0.2">
      <c r="A1238" s="10">
        <v>1177</v>
      </c>
      <c r="D1238" s="2" t="str">
        <f t="shared" si="18"/>
        <v>OK</v>
      </c>
    </row>
    <row r="1239" spans="1:4" x14ac:dyDescent="0.2">
      <c r="A1239" s="5">
        <v>1178</v>
      </c>
      <c r="B1239" s="138">
        <f>'Expenditures 15-22'!E127</f>
        <v>26104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26104</v>
      </c>
      <c r="C1241" s="2" t="s">
        <v>594</v>
      </c>
      <c r="D1241" s="2" t="str">
        <f t="shared" si="18"/>
        <v>Error?</v>
      </c>
    </row>
    <row r="1242" spans="1:4" x14ac:dyDescent="0.2">
      <c r="A1242" s="5">
        <v>1181</v>
      </c>
      <c r="B1242" s="138">
        <f>'Expenditures 15-22'!E151</f>
        <v>26104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114668</v>
      </c>
      <c r="D1245" s="2" t="str">
        <f t="shared" si="18"/>
        <v>Error?</v>
      </c>
    </row>
    <row r="1246" spans="1:4" x14ac:dyDescent="0.2">
      <c r="A1246" s="10">
        <v>1185</v>
      </c>
      <c r="D1246" s="2" t="str">
        <f t="shared" si="18"/>
        <v>OK</v>
      </c>
    </row>
    <row r="1247" spans="1:4" x14ac:dyDescent="0.2">
      <c r="A1247" s="5">
        <v>1186</v>
      </c>
      <c r="B1247" s="138">
        <f>'Expenditures 15-22'!F127</f>
        <v>114668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114668</v>
      </c>
      <c r="C1249" s="2" t="s">
        <v>594</v>
      </c>
      <c r="D1249" s="2" t="str">
        <f t="shared" si="18"/>
        <v>Error?</v>
      </c>
    </row>
    <row r="1250" spans="1:4" x14ac:dyDescent="0.2">
      <c r="A1250" s="5">
        <v>1189</v>
      </c>
      <c r="B1250" s="138">
        <f>'Expenditures 15-22'!F151</f>
        <v>114668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49698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49698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49698</v>
      </c>
      <c r="C1258" s="2" t="s">
        <v>594</v>
      </c>
      <c r="D1258" s="2" t="str">
        <f t="shared" si="18"/>
        <v>Error?</v>
      </c>
    </row>
    <row r="1259" spans="1:4" x14ac:dyDescent="0.2">
      <c r="A1259" s="5">
        <v>1198</v>
      </c>
      <c r="B1259" s="138">
        <f>'Expenditures 15-22'!G151</f>
        <v>49698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338716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338716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338716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338716</v>
      </c>
      <c r="C1288" s="2" t="s">
        <v>594</v>
      </c>
      <c r="D1288" s="2" t="str">
        <f t="shared" si="19"/>
        <v>Error?</v>
      </c>
    </row>
    <row r="1289" spans="1:4" x14ac:dyDescent="0.2">
      <c r="A1289" s="5">
        <v>1228</v>
      </c>
      <c r="B1289" s="138">
        <f>'Expenditures 15-22'!K152</f>
        <v>8098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11985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83400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95885</v>
      </c>
      <c r="C1317" s="2" t="s">
        <v>594</v>
      </c>
      <c r="D1317" s="2" t="str">
        <f t="shared" si="19"/>
        <v>Error?</v>
      </c>
    </row>
    <row r="1318" spans="1:4" x14ac:dyDescent="0.2">
      <c r="A1318" s="5">
        <v>1257</v>
      </c>
      <c r="B1318" s="138">
        <f>'Expenditures 15-22'!H174</f>
        <v>95885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11985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83400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95885</v>
      </c>
      <c r="C1331" s="2" t="s">
        <v>594</v>
      </c>
      <c r="D1331" s="2" t="str">
        <f t="shared" si="19"/>
        <v>Error?</v>
      </c>
    </row>
    <row r="1332" spans="1:4" x14ac:dyDescent="0.2">
      <c r="A1332" s="5">
        <v>1271</v>
      </c>
      <c r="B1332" s="138">
        <f>'Expenditures 15-22'!K174</f>
        <v>95885</v>
      </c>
      <c r="C1332" s="2" t="s">
        <v>594</v>
      </c>
      <c r="D1332" s="2" t="str">
        <f t="shared" si="19"/>
        <v>Error?</v>
      </c>
    </row>
    <row r="1333" spans="1:4" x14ac:dyDescent="0.2">
      <c r="A1333" s="5">
        <v>1272</v>
      </c>
      <c r="B1333" s="138">
        <f>'Expenditures 15-22'!K175</f>
        <v>2056</v>
      </c>
      <c r="C1333" s="2" t="s">
        <v>594</v>
      </c>
      <c r="D1333" s="2" t="str">
        <f t="shared" si="19"/>
        <v>Error?</v>
      </c>
    </row>
    <row r="1334" spans="1:4" x14ac:dyDescent="0.2">
      <c r="A1334" s="10">
        <v>1273</v>
      </c>
      <c r="D1334" s="2" t="str">
        <f t="shared" si="19"/>
        <v>OK</v>
      </c>
    </row>
    <row r="1335" spans="1:4" x14ac:dyDescent="0.2">
      <c r="A1335" s="5">
        <v>1274</v>
      </c>
      <c r="B1335" s="138">
        <f>'Expenditures 15-22'!C182</f>
        <v>206986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206986</v>
      </c>
      <c r="C1339" s="2" t="s">
        <v>594</v>
      </c>
      <c r="D1339" s="2" t="str">
        <f t="shared" si="19"/>
        <v>Error?</v>
      </c>
    </row>
    <row r="1340" spans="1:4" x14ac:dyDescent="0.2">
      <c r="A1340" s="5">
        <v>1279</v>
      </c>
      <c r="B1340" s="138">
        <f>'Expenditures 15-22'!C210</f>
        <v>206986</v>
      </c>
      <c r="C1340" s="2" t="s">
        <v>594</v>
      </c>
      <c r="D1340" s="2" t="str">
        <f t="shared" si="19"/>
        <v>Error?</v>
      </c>
    </row>
    <row r="1341" spans="1:4" x14ac:dyDescent="0.2">
      <c r="A1341" s="5">
        <v>1280</v>
      </c>
      <c r="B1341" s="138">
        <f>'Expenditures 15-22'!D182</f>
        <v>12732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12732</v>
      </c>
      <c r="C1345" s="2" t="s">
        <v>594</v>
      </c>
      <c r="D1345" s="2" t="str">
        <f t="shared" si="20"/>
        <v>Error?</v>
      </c>
    </row>
    <row r="1346" spans="1:4" x14ac:dyDescent="0.2">
      <c r="A1346" s="5">
        <v>1285</v>
      </c>
      <c r="B1346" s="138">
        <f>'Expenditures 15-22'!D210</f>
        <v>12732</v>
      </c>
      <c r="C1346" s="2" t="s">
        <v>594</v>
      </c>
      <c r="D1346" s="2" t="str">
        <f t="shared" si="20"/>
        <v>Error?</v>
      </c>
    </row>
    <row r="1347" spans="1:4" x14ac:dyDescent="0.2">
      <c r="A1347" s="5">
        <v>1286</v>
      </c>
      <c r="B1347" s="138">
        <f>'Expenditures 15-22'!E182</f>
        <v>23457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23457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23457</v>
      </c>
      <c r="C1353" s="2" t="s">
        <v>594</v>
      </c>
      <c r="D1353" s="2" t="str">
        <f t="shared" si="20"/>
        <v>Error?</v>
      </c>
    </row>
    <row r="1354" spans="1:4" x14ac:dyDescent="0.2">
      <c r="A1354" s="5">
        <v>1293</v>
      </c>
      <c r="B1354" s="138">
        <f>'Expenditures 15-22'!F182</f>
        <v>40839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40839</v>
      </c>
      <c r="C1358" s="2" t="s">
        <v>594</v>
      </c>
      <c r="D1358" s="2" t="str">
        <f t="shared" si="20"/>
        <v>Error?</v>
      </c>
    </row>
    <row r="1359" spans="1:4" x14ac:dyDescent="0.2">
      <c r="A1359" s="5">
        <v>1298</v>
      </c>
      <c r="B1359" s="138">
        <f>'Expenditures 15-22'!F210</f>
        <v>40839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284014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284014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284014</v>
      </c>
      <c r="C1388" s="2" t="s">
        <v>594</v>
      </c>
      <c r="D1388" s="2" t="str">
        <f t="shared" si="20"/>
        <v>Error?</v>
      </c>
    </row>
    <row r="1389" spans="1:4" x14ac:dyDescent="0.2">
      <c r="A1389" s="5">
        <v>1328</v>
      </c>
      <c r="B1389" s="138">
        <f>'Expenditures 15-22'!K211</f>
        <v>54065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49423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513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1299</v>
      </c>
      <c r="D1423" s="2" t="str">
        <f t="shared" si="21"/>
        <v>Error?</v>
      </c>
    </row>
    <row r="1424" spans="1:4" x14ac:dyDescent="0.2">
      <c r="A1424" s="5">
        <v>1363</v>
      </c>
      <c r="B1424" s="138">
        <f>'Expenditures 15-22'!D257</f>
        <v>1299</v>
      </c>
      <c r="C1424" s="2" t="s">
        <v>594</v>
      </c>
      <c r="D1424" s="2" t="str">
        <f t="shared" si="21"/>
        <v>Error?</v>
      </c>
    </row>
    <row r="1425" spans="1:4" x14ac:dyDescent="0.2">
      <c r="A1425" s="5">
        <v>1364</v>
      </c>
      <c r="B1425" s="138">
        <f>'Expenditures 15-22'!D259</f>
        <v>15212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15212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9180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27427</v>
      </c>
      <c r="D1431" s="2" t="str">
        <f t="shared" si="21"/>
        <v>Error?</v>
      </c>
    </row>
    <row r="1432" spans="1:4" x14ac:dyDescent="0.2">
      <c r="A1432" s="5">
        <v>1371</v>
      </c>
      <c r="B1432" s="138">
        <f>'Expenditures 15-22'!D267</f>
        <v>26497</v>
      </c>
      <c r="D1432" s="2" t="str">
        <f t="shared" si="21"/>
        <v>Error?</v>
      </c>
    </row>
    <row r="1433" spans="1:4" x14ac:dyDescent="0.2">
      <c r="A1433" s="5">
        <v>1372</v>
      </c>
      <c r="B1433" s="138">
        <f>'Expenditures 15-22'!D268</f>
        <v>12383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75487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93039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142462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49423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513</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513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528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528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1299</v>
      </c>
      <c r="C1487" s="2" t="s">
        <v>594</v>
      </c>
      <c r="D1487" s="2" t="str">
        <f t="shared" si="22"/>
        <v>Error?</v>
      </c>
    </row>
    <row r="1488" spans="1:4" x14ac:dyDescent="0.2">
      <c r="A1488" s="5">
        <v>1427</v>
      </c>
      <c r="B1488" s="138">
        <f>'Expenditures 15-22'!K257</f>
        <v>1299</v>
      </c>
      <c r="C1488" s="2" t="s">
        <v>594</v>
      </c>
      <c r="D1488" s="2" t="str">
        <f t="shared" si="22"/>
        <v>Error?</v>
      </c>
    </row>
    <row r="1489" spans="1:4" x14ac:dyDescent="0.2">
      <c r="A1489" s="5">
        <v>1428</v>
      </c>
      <c r="B1489" s="138">
        <f>'Expenditures 15-22'!K259</f>
        <v>15212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15212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9180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27427</v>
      </c>
      <c r="C1495" s="2" t="s">
        <v>594</v>
      </c>
      <c r="D1495" s="2" t="str">
        <f t="shared" si="22"/>
        <v>Error?</v>
      </c>
    </row>
    <row r="1496" spans="1:4" x14ac:dyDescent="0.2">
      <c r="A1496" s="5">
        <v>1435</v>
      </c>
      <c r="B1496" s="138">
        <f>'Expenditures 15-22'!K267</f>
        <v>26497</v>
      </c>
      <c r="C1496" s="2" t="s">
        <v>594</v>
      </c>
      <c r="D1496" s="2" t="str">
        <f t="shared" si="22"/>
        <v>Error?</v>
      </c>
    </row>
    <row r="1497" spans="1:4" x14ac:dyDescent="0.2">
      <c r="A1497" s="5">
        <v>1436</v>
      </c>
      <c r="B1497" s="138">
        <f>'Expenditures 15-22'!K268</f>
        <v>12383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75487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93039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142462</v>
      </c>
      <c r="C1517" s="2" t="s">
        <v>594</v>
      </c>
      <c r="D1517" s="2" t="str">
        <f t="shared" si="22"/>
        <v>Error?</v>
      </c>
    </row>
    <row r="1518" spans="1:4" x14ac:dyDescent="0.2">
      <c r="A1518" s="5">
        <v>1457</v>
      </c>
      <c r="B1518" s="138">
        <f>'Expenditures 15-22'!K296</f>
        <v>4839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874804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953650</v>
      </c>
      <c r="C1630" s="2" t="s">
        <v>594</v>
      </c>
      <c r="D1630" s="2" t="str">
        <f t="shared" si="24"/>
        <v>Error?</v>
      </c>
    </row>
    <row r="1631" spans="1:4" x14ac:dyDescent="0.2">
      <c r="A1631" s="5">
        <v>1570</v>
      </c>
      <c r="B1631" s="138">
        <f>'Acct Summary 7-8'!D79</f>
        <v>39864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47962</v>
      </c>
      <c r="C1644" s="2" t="s">
        <v>594</v>
      </c>
      <c r="D1644" s="2" t="str">
        <f t="shared" si="24"/>
        <v>Error?</v>
      </c>
    </row>
    <row r="1645" spans="1:4" x14ac:dyDescent="0.2">
      <c r="A1645" s="5">
        <v>1584</v>
      </c>
      <c r="B1645" s="138">
        <f>'Acct Summary 7-8'!E79</f>
        <v>3852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5908</v>
      </c>
      <c r="C1658" s="2" t="s">
        <v>594</v>
      </c>
      <c r="D1658" s="2" t="str">
        <f t="shared" si="24"/>
        <v>Error?</v>
      </c>
    </row>
    <row r="1659" spans="1:4" x14ac:dyDescent="0.2">
      <c r="A1659" s="5">
        <v>1598</v>
      </c>
      <c r="B1659" s="138">
        <f>'Acct Summary 7-8'!F79</f>
        <v>23045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77110</v>
      </c>
      <c r="C1672" s="2" t="s">
        <v>594</v>
      </c>
      <c r="D1672" s="2" t="str">
        <f t="shared" si="25"/>
        <v>Error?</v>
      </c>
    </row>
    <row r="1673" spans="1:4" x14ac:dyDescent="0.2">
      <c r="A1673" s="5">
        <v>1612</v>
      </c>
      <c r="B1673" s="138">
        <f>'Acct Summary 7-8'!G79</f>
        <v>144390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149229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592430</v>
      </c>
      <c r="C1744" s="2" t="s">
        <v>594</v>
      </c>
      <c r="D1744" s="2" t="str">
        <f t="shared" si="26"/>
        <v>Error?</v>
      </c>
    </row>
    <row r="1745" spans="1:5" x14ac:dyDescent="0.2">
      <c r="A1745" s="5">
        <v>1684</v>
      </c>
      <c r="B1745" s="138">
        <f>'Tax Sched 23'!B5</f>
        <v>113938</v>
      </c>
      <c r="C1745" s="2" t="s">
        <v>594</v>
      </c>
      <c r="D1745" s="2" t="str">
        <f t="shared" si="26"/>
        <v>Error?</v>
      </c>
    </row>
    <row r="1746" spans="1:5" x14ac:dyDescent="0.2">
      <c r="A1746" s="5">
        <v>1685</v>
      </c>
      <c r="B1746" s="138">
        <f>'Tax Sched 23'!B6</f>
        <v>97830</v>
      </c>
      <c r="C1746" s="2" t="s">
        <v>594</v>
      </c>
      <c r="D1746" s="2" t="str">
        <f t="shared" si="26"/>
        <v>Error?</v>
      </c>
    </row>
    <row r="1747" spans="1:5" x14ac:dyDescent="0.2">
      <c r="A1747" s="5">
        <v>1686</v>
      </c>
      <c r="B1747" s="138">
        <f>'Tax Sched 23'!B7</f>
        <v>45599</v>
      </c>
      <c r="C1747" s="2" t="s">
        <v>594</v>
      </c>
      <c r="D1747" s="2" t="str">
        <f t="shared" si="26"/>
        <v>Error?</v>
      </c>
    </row>
    <row r="1748" spans="1:5" x14ac:dyDescent="0.2">
      <c r="A1748" s="5">
        <v>1687</v>
      </c>
      <c r="B1748" s="138">
        <f>'Tax Sched 23'!B8</f>
        <v>64194</v>
      </c>
      <c r="C1748" s="2" t="s">
        <v>594</v>
      </c>
      <c r="D1748" s="2" t="str">
        <f t="shared" si="26"/>
        <v>Error?</v>
      </c>
    </row>
    <row r="1749" spans="1:5" x14ac:dyDescent="0.2">
      <c r="A1749" s="5">
        <v>1688</v>
      </c>
      <c r="B1749" s="138">
        <f>'Tax Sched 23'!B10</f>
        <v>11371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174460</v>
      </c>
      <c r="C1752" s="2" t="s">
        <v>594</v>
      </c>
      <c r="D1752" s="2" t="str">
        <f t="shared" si="26"/>
        <v>Error?</v>
      </c>
    </row>
    <row r="1753" spans="1:5" x14ac:dyDescent="0.2">
      <c r="A1753" s="5">
        <v>1692</v>
      </c>
      <c r="B1753" s="138">
        <f>'Tax Sched 23'!B12</f>
        <v>11370</v>
      </c>
      <c r="C1753" s="2" t="s">
        <v>594</v>
      </c>
      <c r="D1753" s="2" t="str">
        <f t="shared" si="26"/>
        <v>Error?</v>
      </c>
    </row>
    <row r="1754" spans="1:5" x14ac:dyDescent="0.2">
      <c r="A1754" s="5">
        <v>1693</v>
      </c>
      <c r="B1754" s="138">
        <f>'Tax Sched 23'!B14</f>
        <v>9001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1184387</v>
      </c>
      <c r="C1759" s="2" t="s">
        <v>594</v>
      </c>
      <c r="D1759" s="2" t="str">
        <f t="shared" si="26"/>
        <v>Error?</v>
      </c>
    </row>
    <row r="1760" spans="1:5" x14ac:dyDescent="0.2">
      <c r="A1760" s="5">
        <v>1699</v>
      </c>
      <c r="B1760" s="138">
        <f>'Tax Sched 23'!D4</f>
        <v>592430</v>
      </c>
      <c r="C1760" s="2" t="s">
        <v>594</v>
      </c>
      <c r="D1760" s="2" t="str">
        <f t="shared" si="26"/>
        <v>Error?</v>
      </c>
    </row>
    <row r="1761" spans="1:5" x14ac:dyDescent="0.2">
      <c r="A1761" s="5">
        <v>1700</v>
      </c>
      <c r="B1761" s="138">
        <f>'Tax Sched 23'!D5</f>
        <v>113938</v>
      </c>
      <c r="C1761" s="2" t="s">
        <v>594</v>
      </c>
      <c r="D1761" s="2" t="str">
        <f t="shared" si="26"/>
        <v>Error?</v>
      </c>
    </row>
    <row r="1762" spans="1:5" s="8" customFormat="1" x14ac:dyDescent="0.2">
      <c r="A1762" s="5">
        <v>1701</v>
      </c>
      <c r="B1762" s="138">
        <f>'Tax Sched 23'!D6</f>
        <v>97830</v>
      </c>
      <c r="C1762" s="2" t="s">
        <v>594</v>
      </c>
      <c r="D1762" s="2" t="str">
        <f t="shared" si="26"/>
        <v>Error?</v>
      </c>
      <c r="E1762" s="9"/>
    </row>
    <row r="1763" spans="1:5" x14ac:dyDescent="0.2">
      <c r="A1763" s="5">
        <v>1702</v>
      </c>
      <c r="B1763" s="138">
        <f>'Tax Sched 23'!D7</f>
        <v>45599</v>
      </c>
      <c r="C1763" s="2" t="s">
        <v>594</v>
      </c>
      <c r="D1763" s="2" t="str">
        <f t="shared" si="26"/>
        <v>Error?</v>
      </c>
    </row>
    <row r="1764" spans="1:5" x14ac:dyDescent="0.2">
      <c r="A1764" s="5">
        <v>1703</v>
      </c>
      <c r="B1764" s="138">
        <f>'Tax Sched 23'!D8</f>
        <v>64194</v>
      </c>
      <c r="C1764" s="2" t="s">
        <v>594</v>
      </c>
      <c r="D1764" s="2" t="str">
        <f t="shared" si="26"/>
        <v>Error?</v>
      </c>
    </row>
    <row r="1765" spans="1:5" x14ac:dyDescent="0.2">
      <c r="A1765" s="5">
        <v>1704</v>
      </c>
      <c r="B1765" s="138">
        <f>'Tax Sched 23'!D10</f>
        <v>11371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174460</v>
      </c>
      <c r="C1768" s="2" t="s">
        <v>594</v>
      </c>
      <c r="D1768" s="2" t="str">
        <f t="shared" si="26"/>
        <v>Error?</v>
      </c>
    </row>
    <row r="1769" spans="1:5" x14ac:dyDescent="0.2">
      <c r="A1769" s="5">
        <v>1708</v>
      </c>
      <c r="B1769" s="138">
        <f>'Tax Sched 23'!D12</f>
        <v>11370</v>
      </c>
      <c r="C1769" s="2" t="s">
        <v>594</v>
      </c>
      <c r="D1769" s="2" t="str">
        <f t="shared" si="26"/>
        <v>Error?</v>
      </c>
    </row>
    <row r="1770" spans="1:5" x14ac:dyDescent="0.2">
      <c r="A1770" s="5">
        <v>1709</v>
      </c>
      <c r="B1770" s="138">
        <f>'Tax Sched 23'!D14</f>
        <v>9001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1184387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618859</v>
      </c>
      <c r="C1792" s="2" t="s">
        <v>594</v>
      </c>
      <c r="D1792" s="2" t="str">
        <f t="shared" si="27"/>
        <v>Error?</v>
      </c>
    </row>
    <row r="1793" spans="1:4" x14ac:dyDescent="0.2">
      <c r="A1793" s="5">
        <v>1732</v>
      </c>
      <c r="B1793" s="138">
        <f>'Tax Sched 23'!F5</f>
        <v>119011</v>
      </c>
      <c r="C1793" s="2" t="s">
        <v>594</v>
      </c>
      <c r="D1793" s="2" t="str">
        <f t="shared" si="27"/>
        <v>Error?</v>
      </c>
    </row>
    <row r="1794" spans="1:4" x14ac:dyDescent="0.2">
      <c r="A1794" s="5">
        <v>1733</v>
      </c>
      <c r="B1794" s="138">
        <f>'Tax Sched 23'!F6</f>
        <v>96561</v>
      </c>
      <c r="C1794" s="2" t="s">
        <v>594</v>
      </c>
      <c r="D1794" s="2" t="str">
        <f t="shared" si="27"/>
        <v>Error?</v>
      </c>
    </row>
    <row r="1795" spans="1:4" x14ac:dyDescent="0.2">
      <c r="A1795" s="5">
        <v>1734</v>
      </c>
      <c r="B1795" s="138">
        <f>'Tax Sched 23'!F7</f>
        <v>47605</v>
      </c>
      <c r="C1795" s="2" t="s">
        <v>594</v>
      </c>
      <c r="D1795" s="2" t="str">
        <f t="shared" si="27"/>
        <v>Error?</v>
      </c>
    </row>
    <row r="1796" spans="1:4" x14ac:dyDescent="0.2">
      <c r="A1796" s="5">
        <v>1735</v>
      </c>
      <c r="B1796" s="138">
        <f>'Tax Sched 23'!F8</f>
        <v>53025</v>
      </c>
      <c r="C1796" s="2" t="s">
        <v>594</v>
      </c>
      <c r="D1796" s="2" t="str">
        <f t="shared" si="27"/>
        <v>Error?</v>
      </c>
    </row>
    <row r="1797" spans="1:4" x14ac:dyDescent="0.2">
      <c r="A1797" s="5">
        <v>1736</v>
      </c>
      <c r="B1797" s="138">
        <f>'Tax Sched 23'!F10</f>
        <v>11901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201988</v>
      </c>
      <c r="C1800" s="2" t="s">
        <v>594</v>
      </c>
      <c r="D1800" s="2" t="str">
        <f t="shared" si="27"/>
        <v>Error?</v>
      </c>
    </row>
    <row r="1801" spans="1:4" x14ac:dyDescent="0.2">
      <c r="A1801" s="5">
        <v>1740</v>
      </c>
      <c r="B1801" s="138">
        <f>'Tax Sched 23'!F12</f>
        <v>11901</v>
      </c>
      <c r="C1801" s="2" t="s">
        <v>594</v>
      </c>
      <c r="D1801" s="2" t="str">
        <f t="shared" si="27"/>
        <v>Error?</v>
      </c>
    </row>
    <row r="1802" spans="1:4" x14ac:dyDescent="0.2">
      <c r="A1802" s="5">
        <v>1741</v>
      </c>
      <c r="B1802" s="138">
        <f>'Tax Sched 23'!F14</f>
        <v>9521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1211150</v>
      </c>
      <c r="C1807" s="2" t="s">
        <v>594</v>
      </c>
      <c r="D1807" s="2" t="str">
        <f t="shared" si="27"/>
        <v>Error?</v>
      </c>
    </row>
    <row r="1808" spans="1:4" x14ac:dyDescent="0.2">
      <c r="A1808" s="5">
        <v>1747</v>
      </c>
      <c r="B1808" s="138">
        <f>'Tax Sched 23'!E4</f>
        <v>618859</v>
      </c>
      <c r="D1808" s="2" t="str">
        <f t="shared" si="27"/>
        <v>Error?</v>
      </c>
    </row>
    <row r="1809" spans="1:4" x14ac:dyDescent="0.2">
      <c r="A1809" s="5">
        <v>1748</v>
      </c>
      <c r="B1809" s="138">
        <f>'Tax Sched 23'!E5</f>
        <v>119011</v>
      </c>
      <c r="D1809" s="2" t="str">
        <f t="shared" si="27"/>
        <v>Error?</v>
      </c>
    </row>
    <row r="1810" spans="1:4" x14ac:dyDescent="0.2">
      <c r="A1810" s="5">
        <v>1749</v>
      </c>
      <c r="B1810" s="138">
        <f>'Tax Sched 23'!E6</f>
        <v>96561</v>
      </c>
      <c r="D1810" s="2" t="str">
        <f t="shared" si="27"/>
        <v>Error?</v>
      </c>
    </row>
    <row r="1811" spans="1:4" x14ac:dyDescent="0.2">
      <c r="A1811" s="5">
        <v>1750</v>
      </c>
      <c r="B1811" s="138">
        <f>'Tax Sched 23'!E7</f>
        <v>47605</v>
      </c>
      <c r="D1811" s="2" t="str">
        <f t="shared" si="27"/>
        <v>Error?</v>
      </c>
    </row>
    <row r="1812" spans="1:4" x14ac:dyDescent="0.2">
      <c r="A1812" s="5">
        <v>1751</v>
      </c>
      <c r="B1812" s="138">
        <f>'Tax Sched 23'!E8</f>
        <v>53025</v>
      </c>
      <c r="D1812" s="2" t="str">
        <f t="shared" si="27"/>
        <v>Error?</v>
      </c>
    </row>
    <row r="1813" spans="1:4" x14ac:dyDescent="0.2">
      <c r="A1813" s="5">
        <v>1752</v>
      </c>
      <c r="B1813" s="138">
        <f>'Tax Sched 23'!E10</f>
        <v>11901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201988</v>
      </c>
      <c r="D1816" s="2" t="str">
        <f t="shared" si="27"/>
        <v>Error?</v>
      </c>
    </row>
    <row r="1817" spans="1:4" x14ac:dyDescent="0.2">
      <c r="A1817" s="5">
        <v>1756</v>
      </c>
      <c r="B1817" s="138">
        <f>'Tax Sched 23'!E12</f>
        <v>11901</v>
      </c>
      <c r="D1817" s="2" t="str">
        <f t="shared" si="27"/>
        <v>Error?</v>
      </c>
    </row>
    <row r="1818" spans="1:4" x14ac:dyDescent="0.2">
      <c r="A1818" s="5">
        <v>1757</v>
      </c>
      <c r="B1818" s="138">
        <f>'Tax Sched 23'!E14</f>
        <v>9521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1211150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618600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9001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9001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9001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15425</v>
      </c>
      <c r="D2008" s="2" t="str">
        <f t="shared" si="30"/>
        <v>Error?</v>
      </c>
    </row>
    <row r="2009" spans="1:4" x14ac:dyDescent="0.2">
      <c r="A2009" s="5">
        <v>1948</v>
      </c>
      <c r="B2009" s="138">
        <f>'Cap Outlay Deprec 26'!C8</f>
        <v>7658784</v>
      </c>
      <c r="D2009" s="2" t="str">
        <f t="shared" si="30"/>
        <v>Error?</v>
      </c>
    </row>
    <row r="2010" spans="1:4" x14ac:dyDescent="0.2">
      <c r="A2010" s="5">
        <v>1949</v>
      </c>
      <c r="B2010" s="138">
        <f>'Cap Outlay Deprec 26'!C10</f>
        <v>397541</v>
      </c>
      <c r="D2010" s="2" t="str">
        <f t="shared" si="30"/>
        <v>Error?</v>
      </c>
    </row>
    <row r="2011" spans="1:4" x14ac:dyDescent="0.2">
      <c r="A2011" s="5">
        <v>1950</v>
      </c>
      <c r="B2011" s="138">
        <f>'Cap Outlay Deprec 26'!C12</f>
        <v>333016</v>
      </c>
      <c r="D2011" s="2" t="str">
        <f t="shared" si="30"/>
        <v>Error?</v>
      </c>
    </row>
    <row r="2012" spans="1:4" x14ac:dyDescent="0.2">
      <c r="A2012" s="5">
        <v>1951</v>
      </c>
      <c r="B2012" s="138">
        <f>'Cap Outlay Deprec 26'!C13</f>
        <v>711960</v>
      </c>
      <c r="D2012" s="2" t="str">
        <f t="shared" si="30"/>
        <v>Error?</v>
      </c>
    </row>
    <row r="2013" spans="1:4" x14ac:dyDescent="0.2">
      <c r="A2013" s="5">
        <v>1952</v>
      </c>
      <c r="B2013" s="138">
        <f>'Cap Outlay Deprec 26'!C16</f>
        <v>9116726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49698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72776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72776</v>
      </c>
      <c r="C2025" s="2" t="s">
        <v>594</v>
      </c>
      <c r="D2025" s="2" t="str">
        <f t="shared" si="30"/>
        <v>Error?</v>
      </c>
    </row>
    <row r="2026" spans="1:4" x14ac:dyDescent="0.2">
      <c r="A2026" s="5">
        <v>1965</v>
      </c>
      <c r="B2026" s="138">
        <f>'Cap Outlay Deprec 26'!F5</f>
        <v>15425</v>
      </c>
      <c r="C2026" s="2" t="s">
        <v>594</v>
      </c>
      <c r="D2026" s="2" t="str">
        <f t="shared" si="30"/>
        <v>Error?</v>
      </c>
    </row>
    <row r="2027" spans="1:4" x14ac:dyDescent="0.2">
      <c r="A2027" s="5">
        <v>1966</v>
      </c>
      <c r="B2027" s="138">
        <f>'Cap Outlay Deprec 26'!F8</f>
        <v>7658784</v>
      </c>
      <c r="C2027" s="2" t="s">
        <v>594</v>
      </c>
      <c r="D2027" s="2" t="str">
        <f t="shared" si="30"/>
        <v>Error?</v>
      </c>
    </row>
    <row r="2028" spans="1:4" x14ac:dyDescent="0.2">
      <c r="A2028" s="5">
        <v>1967</v>
      </c>
      <c r="B2028" s="138">
        <f>'Cap Outlay Deprec 26'!F10</f>
        <v>397541</v>
      </c>
      <c r="C2028" s="2" t="s">
        <v>594</v>
      </c>
      <c r="D2028" s="2" t="str">
        <f t="shared" si="30"/>
        <v>Error?</v>
      </c>
    </row>
    <row r="2029" spans="1:4" x14ac:dyDescent="0.2">
      <c r="A2029" s="5">
        <v>1968</v>
      </c>
      <c r="B2029" s="138">
        <f>'Cap Outlay Deprec 26'!F12</f>
        <v>260240</v>
      </c>
      <c r="C2029" s="2" t="s">
        <v>594</v>
      </c>
      <c r="D2029" s="2" t="str">
        <f t="shared" si="30"/>
        <v>Error?</v>
      </c>
    </row>
    <row r="2030" spans="1:4" x14ac:dyDescent="0.2">
      <c r="A2030" s="5">
        <v>1969</v>
      </c>
      <c r="B2030" s="138">
        <f>'Cap Outlay Deprec 26'!F13</f>
        <v>711960</v>
      </c>
      <c r="C2030" s="2" t="s">
        <v>594</v>
      </c>
      <c r="D2030" s="2" t="str">
        <f t="shared" si="30"/>
        <v>Error?</v>
      </c>
    </row>
    <row r="2031" spans="1:4" x14ac:dyDescent="0.2">
      <c r="A2031" s="5">
        <v>1970</v>
      </c>
      <c r="B2031" s="138">
        <f>'Cap Outlay Deprec 26'!F16</f>
        <v>9093648</v>
      </c>
      <c r="C2031" s="2" t="s">
        <v>594</v>
      </c>
      <c r="D2031" s="2" t="str">
        <f t="shared" si="30"/>
        <v>Error?</v>
      </c>
    </row>
    <row r="2032" spans="1:4" x14ac:dyDescent="0.2">
      <c r="A2032" s="10">
        <v>1971</v>
      </c>
      <c r="D2032" s="2" t="str">
        <f t="shared" si="30"/>
        <v>OK</v>
      </c>
    </row>
    <row r="2033" spans="1:4" x14ac:dyDescent="0.2">
      <c r="A2033" s="5">
        <v>1972</v>
      </c>
      <c r="B2033" s="138">
        <f>'Cap Outlay Deprec 26'!H8</f>
        <v>2870424</v>
      </c>
      <c r="D2033" s="2" t="str">
        <f t="shared" si="30"/>
        <v>Error?</v>
      </c>
    </row>
    <row r="2034" spans="1:4" x14ac:dyDescent="0.2">
      <c r="A2034" s="5">
        <v>1973</v>
      </c>
      <c r="B2034" s="138">
        <f>'Cap Outlay Deprec 26'!H10</f>
        <v>181064</v>
      </c>
      <c r="D2034" s="2" t="str">
        <f t="shared" si="30"/>
        <v>Error?</v>
      </c>
    </row>
    <row r="2035" spans="1:4" x14ac:dyDescent="0.2">
      <c r="A2035" s="5">
        <v>1974</v>
      </c>
      <c r="B2035" s="138">
        <f>'Cap Outlay Deprec 26'!H12</f>
        <v>201080</v>
      </c>
      <c r="D2035" s="2" t="str">
        <f t="shared" si="30"/>
        <v>Error?</v>
      </c>
    </row>
    <row r="2036" spans="1:4" x14ac:dyDescent="0.2">
      <c r="A2036" s="5">
        <v>1975</v>
      </c>
      <c r="B2036" s="138">
        <f>'Cap Outlay Deprec 26'!H13</f>
        <v>666077</v>
      </c>
      <c r="D2036" s="2" t="str">
        <f t="shared" si="30"/>
        <v>Error?</v>
      </c>
    </row>
    <row r="2037" spans="1:4" x14ac:dyDescent="0.2">
      <c r="A2037" s="5">
        <v>1976</v>
      </c>
      <c r="B2037" s="138">
        <f>'Cap Outlay Deprec 26'!H16</f>
        <v>3918645</v>
      </c>
      <c r="C2037" s="2" t="s">
        <v>594</v>
      </c>
      <c r="D2037" s="2" t="str">
        <f t="shared" si="30"/>
        <v>Error?</v>
      </c>
    </row>
    <row r="2038" spans="1:4" x14ac:dyDescent="0.2">
      <c r="A2038" s="10">
        <v>1977</v>
      </c>
      <c r="D2038" s="2" t="str">
        <f t="shared" si="30"/>
        <v>OK</v>
      </c>
    </row>
    <row r="2039" spans="1:4" x14ac:dyDescent="0.2">
      <c r="A2039" s="5">
        <v>1978</v>
      </c>
      <c r="B2039" s="138">
        <f>'Cap Outlay Deprec 26'!I8</f>
        <v>151758</v>
      </c>
      <c r="D2039" s="2" t="str">
        <f t="shared" si="30"/>
        <v>Error?</v>
      </c>
    </row>
    <row r="2040" spans="1:4" x14ac:dyDescent="0.2">
      <c r="A2040" s="5">
        <v>1979</v>
      </c>
      <c r="B2040" s="138">
        <f>'Cap Outlay Deprec 26'!I10</f>
        <v>37895</v>
      </c>
      <c r="D2040" s="2" t="str">
        <f t="shared" si="30"/>
        <v>Error?</v>
      </c>
    </row>
    <row r="2041" spans="1:4" x14ac:dyDescent="0.2">
      <c r="A2041" s="5">
        <v>1980</v>
      </c>
      <c r="B2041" s="138">
        <f>'Cap Outlay Deprec 26'!I12</f>
        <v>46766</v>
      </c>
      <c r="D2041" s="2" t="str">
        <f t="shared" si="30"/>
        <v>Error?</v>
      </c>
    </row>
    <row r="2042" spans="1:4" x14ac:dyDescent="0.2">
      <c r="A2042" s="5">
        <v>1981</v>
      </c>
      <c r="B2042" s="138">
        <f>'Cap Outlay Deprec 26'!I13</f>
        <v>15731</v>
      </c>
      <c r="D2042" s="2" t="str">
        <f t="shared" si="30"/>
        <v>Error?</v>
      </c>
    </row>
    <row r="2043" spans="1:4" x14ac:dyDescent="0.2">
      <c r="A2043" s="5">
        <v>1982</v>
      </c>
      <c r="B2043" s="138">
        <f>'Cap Outlay Deprec 26'!I16</f>
        <v>252150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72776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72776</v>
      </c>
      <c r="C2049" s="2" t="s">
        <v>594</v>
      </c>
      <c r="D2049" s="2" t="str">
        <f t="shared" si="31"/>
        <v>Error?</v>
      </c>
    </row>
    <row r="2050" spans="1:4" x14ac:dyDescent="0.2">
      <c r="A2050" s="10">
        <v>1989</v>
      </c>
      <c r="D2050" s="2" t="str">
        <f t="shared" si="31"/>
        <v>OK</v>
      </c>
    </row>
    <row r="2051" spans="1:4" x14ac:dyDescent="0.2">
      <c r="A2051" s="5">
        <v>1990</v>
      </c>
      <c r="B2051" s="138">
        <f>'Cap Outlay Deprec 26'!K8</f>
        <v>3022182</v>
      </c>
      <c r="C2051" s="2" t="s">
        <v>594</v>
      </c>
      <c r="D2051" s="2" t="str">
        <f t="shared" si="31"/>
        <v>Error?</v>
      </c>
    </row>
    <row r="2052" spans="1:4" x14ac:dyDescent="0.2">
      <c r="A2052" s="5">
        <v>1991</v>
      </c>
      <c r="B2052" s="138">
        <f>'Cap Outlay Deprec 26'!K10</f>
        <v>218959</v>
      </c>
      <c r="C2052" s="2" t="s">
        <v>594</v>
      </c>
      <c r="D2052" s="2" t="str">
        <f t="shared" si="31"/>
        <v>Error?</v>
      </c>
    </row>
    <row r="2053" spans="1:4" x14ac:dyDescent="0.2">
      <c r="A2053" s="5">
        <v>1992</v>
      </c>
      <c r="B2053" s="138">
        <f>'Cap Outlay Deprec 26'!K12</f>
        <v>175070</v>
      </c>
      <c r="C2053" s="2" t="s">
        <v>594</v>
      </c>
      <c r="D2053" s="2" t="str">
        <f t="shared" si="31"/>
        <v>Error?</v>
      </c>
    </row>
    <row r="2054" spans="1:4" x14ac:dyDescent="0.2">
      <c r="A2054" s="5">
        <v>1993</v>
      </c>
      <c r="B2054" s="138">
        <f>'Cap Outlay Deprec 26'!K13</f>
        <v>681808</v>
      </c>
      <c r="C2054" s="2" t="s">
        <v>594</v>
      </c>
      <c r="D2054" s="2" t="str">
        <f t="shared" si="31"/>
        <v>Error?</v>
      </c>
    </row>
    <row r="2055" spans="1:4" x14ac:dyDescent="0.2">
      <c r="A2055" s="5">
        <v>1994</v>
      </c>
      <c r="B2055" s="138">
        <f>'Cap Outlay Deprec 26'!K16</f>
        <v>4098019</v>
      </c>
      <c r="C2055" s="2" t="s">
        <v>594</v>
      </c>
      <c r="D2055" s="2" t="str">
        <f t="shared" si="31"/>
        <v>Error?</v>
      </c>
    </row>
    <row r="2056" spans="1:4" x14ac:dyDescent="0.2">
      <c r="A2056" s="5">
        <v>1995</v>
      </c>
      <c r="B2056" s="138">
        <f>'Cap Outlay Deprec 26'!L5</f>
        <v>15425</v>
      </c>
      <c r="C2056" s="2" t="s">
        <v>594</v>
      </c>
      <c r="D2056" s="2" t="str">
        <f t="shared" si="31"/>
        <v>Error?</v>
      </c>
    </row>
    <row r="2057" spans="1:4" x14ac:dyDescent="0.2">
      <c r="A2057" s="5">
        <v>1996</v>
      </c>
      <c r="B2057" s="138">
        <f>'Cap Outlay Deprec 26'!L8</f>
        <v>4636602</v>
      </c>
      <c r="C2057" s="2" t="s">
        <v>594</v>
      </c>
      <c r="D2057" s="2" t="str">
        <f t="shared" si="31"/>
        <v>Error?</v>
      </c>
    </row>
    <row r="2058" spans="1:4" x14ac:dyDescent="0.2">
      <c r="A2058" s="5">
        <v>1997</v>
      </c>
      <c r="B2058" s="138">
        <f>'Cap Outlay Deprec 26'!L10</f>
        <v>178582</v>
      </c>
      <c r="C2058" s="2" t="s">
        <v>594</v>
      </c>
      <c r="D2058" s="2" t="str">
        <f t="shared" si="31"/>
        <v>Error?</v>
      </c>
    </row>
    <row r="2059" spans="1:4" x14ac:dyDescent="0.2">
      <c r="A2059" s="5">
        <v>1998</v>
      </c>
      <c r="B2059" s="138">
        <f>'Cap Outlay Deprec 26'!L12</f>
        <v>85170</v>
      </c>
      <c r="C2059" s="2" t="s">
        <v>594</v>
      </c>
      <c r="D2059" s="2" t="str">
        <f t="shared" si="31"/>
        <v>Error?</v>
      </c>
    </row>
    <row r="2060" spans="1:4" x14ac:dyDescent="0.2">
      <c r="A2060" s="5">
        <v>1999</v>
      </c>
      <c r="B2060" s="138">
        <f>'Cap Outlay Deprec 26'!L13</f>
        <v>30152</v>
      </c>
      <c r="C2060" s="2" t="s">
        <v>594</v>
      </c>
      <c r="D2060" s="2" t="str">
        <f t="shared" si="31"/>
        <v>Error?</v>
      </c>
    </row>
    <row r="2061" spans="1:4" x14ac:dyDescent="0.2">
      <c r="A2061" s="5">
        <v>2000</v>
      </c>
      <c r="B2061" s="138">
        <f>'Cap Outlay Deprec 26'!L16</f>
        <v>4995629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118191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35720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920978</v>
      </c>
      <c r="C2551" s="2" t="s">
        <v>594</v>
      </c>
      <c r="D2551" s="2" t="str">
        <f t="shared" si="38"/>
        <v>Error?</v>
      </c>
    </row>
    <row r="2552" spans="1:4" x14ac:dyDescent="0.2">
      <c r="A2552" s="10">
        <v>2491</v>
      </c>
      <c r="D2552" s="2" t="str">
        <f t="shared" si="38"/>
        <v>OK</v>
      </c>
    </row>
    <row r="2553" spans="1:4" x14ac:dyDescent="0.2">
      <c r="A2553" s="5">
        <v>2492</v>
      </c>
      <c r="B2553" s="138">
        <f>'Acct Summary 7-8'!C6</f>
        <v>1386794</v>
      </c>
      <c r="C2553" s="2" t="s">
        <v>594</v>
      </c>
      <c r="D2553" s="2" t="str">
        <f t="shared" si="38"/>
        <v>Error?</v>
      </c>
    </row>
    <row r="2554" spans="1:4" x14ac:dyDescent="0.2">
      <c r="A2554" s="5">
        <v>2493</v>
      </c>
      <c r="B2554" s="138">
        <f>'Acct Summary 7-8'!C7</f>
        <v>222290</v>
      </c>
      <c r="C2554" s="2" t="s">
        <v>594</v>
      </c>
      <c r="D2554" s="2" t="str">
        <f t="shared" si="38"/>
        <v>Error?</v>
      </c>
    </row>
    <row r="2555" spans="1:4" x14ac:dyDescent="0.2">
      <c r="A2555" s="5">
        <v>2494</v>
      </c>
      <c r="B2555" s="138">
        <f>'Acct Summary 7-8'!C8</f>
        <v>2540762</v>
      </c>
      <c r="C2555" s="2" t="s">
        <v>594</v>
      </c>
      <c r="D2555" s="2" t="str">
        <f t="shared" si="38"/>
        <v>Error?</v>
      </c>
    </row>
    <row r="2556" spans="1:4" x14ac:dyDescent="0.2">
      <c r="A2556" s="5">
        <v>2495</v>
      </c>
      <c r="B2556" s="138">
        <f>'Acct Summary 7-8'!C12</f>
        <v>1530501</v>
      </c>
      <c r="C2556" s="2" t="s">
        <v>594</v>
      </c>
      <c r="D2556" s="2" t="str">
        <f t="shared" si="38"/>
        <v>Error?</v>
      </c>
    </row>
    <row r="2557" spans="1:4" x14ac:dyDescent="0.2">
      <c r="A2557" s="5">
        <v>2496</v>
      </c>
      <c r="B2557" s="138">
        <f>'Acct Summary 7-8'!C13</f>
        <v>813224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118191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2461916</v>
      </c>
      <c r="C2561" s="2" t="s">
        <v>594</v>
      </c>
      <c r="D2561" s="2" t="str">
        <f t="shared" si="39"/>
        <v>Error?</v>
      </c>
    </row>
    <row r="2562" spans="1:4" x14ac:dyDescent="0.2">
      <c r="A2562" s="5">
        <v>2501</v>
      </c>
      <c r="B2562" s="138">
        <f>'Acct Summary 7-8'!C20</f>
        <v>78846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281814</v>
      </c>
      <c r="C2564" s="2" t="s">
        <v>594</v>
      </c>
      <c r="D2564" s="2" t="str">
        <f t="shared" si="39"/>
        <v>Error?</v>
      </c>
    </row>
    <row r="2565" spans="1:4" x14ac:dyDescent="0.2">
      <c r="A2565" s="10">
        <v>2504</v>
      </c>
      <c r="D2565" s="2" t="str">
        <f t="shared" si="39"/>
        <v>OK</v>
      </c>
    </row>
    <row r="2566" spans="1:4" x14ac:dyDescent="0.2">
      <c r="A2566" s="5">
        <v>2505</v>
      </c>
      <c r="B2566" s="138">
        <f>'Acct Summary 7-8'!D6</f>
        <v>65000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346814</v>
      </c>
      <c r="C2568" s="2" t="s">
        <v>594</v>
      </c>
      <c r="D2568" s="2" t="str">
        <f t="shared" si="39"/>
        <v>Error?</v>
      </c>
    </row>
    <row r="2569" spans="1:4" x14ac:dyDescent="0.2">
      <c r="A2569" s="5">
        <v>2508</v>
      </c>
      <c r="B2569" s="138">
        <f>'Acct Summary 7-8'!D13</f>
        <v>338716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338716</v>
      </c>
      <c r="C2573" s="2" t="s">
        <v>594</v>
      </c>
      <c r="D2573" s="2" t="str">
        <f t="shared" si="39"/>
        <v>Error?</v>
      </c>
    </row>
    <row r="2574" spans="1:4" x14ac:dyDescent="0.2">
      <c r="A2574" s="5">
        <v>2513</v>
      </c>
      <c r="B2574" s="138">
        <f>'Acct Summary 7-8'!D20</f>
        <v>8098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134105</v>
      </c>
      <c r="C2591" s="2" t="s">
        <v>594</v>
      </c>
      <c r="D2591" s="2" t="str">
        <f t="shared" si="39"/>
        <v>Error?</v>
      </c>
    </row>
    <row r="2592" spans="1:4" x14ac:dyDescent="0.2">
      <c r="A2592" s="10">
        <v>2531</v>
      </c>
      <c r="D2592" s="2" t="str">
        <f t="shared" si="39"/>
        <v>OK</v>
      </c>
    </row>
    <row r="2593" spans="1:4" x14ac:dyDescent="0.2">
      <c r="A2593" s="5">
        <v>2532</v>
      </c>
      <c r="B2593" s="138">
        <f>'Acct Summary 7-8'!F6</f>
        <v>203974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338079</v>
      </c>
      <c r="C2595" s="2" t="s">
        <v>594</v>
      </c>
      <c r="D2595" s="2" t="str">
        <f t="shared" si="39"/>
        <v>Error?</v>
      </c>
    </row>
    <row r="2596" spans="1:4" x14ac:dyDescent="0.2">
      <c r="A2596" s="5">
        <v>2535</v>
      </c>
      <c r="B2596" s="138">
        <f>'Acct Summary 7-8'!F13</f>
        <v>284014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284014</v>
      </c>
      <c r="C2600" s="2" t="s">
        <v>594</v>
      </c>
      <c r="D2600" s="2" t="str">
        <f t="shared" si="39"/>
        <v>Error?</v>
      </c>
    </row>
    <row r="2601" spans="1:4" x14ac:dyDescent="0.2">
      <c r="A2601" s="5">
        <v>2540</v>
      </c>
      <c r="B2601" s="138">
        <f>'Acct Summary 7-8'!F20</f>
        <v>54065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147301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147301</v>
      </c>
      <c r="C2606" s="2" t="s">
        <v>594</v>
      </c>
      <c r="D2606" s="2" t="str">
        <f t="shared" si="39"/>
        <v>Error?</v>
      </c>
    </row>
    <row r="2607" spans="1:4" x14ac:dyDescent="0.2">
      <c r="A2607" s="5">
        <v>2546</v>
      </c>
      <c r="B2607" s="138">
        <f>'Acct Summary 7-8'!G12</f>
        <v>49423</v>
      </c>
      <c r="C2607" s="2" t="s">
        <v>594</v>
      </c>
      <c r="D2607" s="2" t="str">
        <f t="shared" si="39"/>
        <v>Error?</v>
      </c>
    </row>
    <row r="2608" spans="1:4" x14ac:dyDescent="0.2">
      <c r="A2608" s="5">
        <v>2547</v>
      </c>
      <c r="B2608" s="138">
        <f>'Acct Summary 7-8'!G13</f>
        <v>93039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142462</v>
      </c>
      <c r="C2612" s="2" t="s">
        <v>594</v>
      </c>
      <c r="D2612" s="2" t="str">
        <f t="shared" si="39"/>
        <v>Error?</v>
      </c>
    </row>
    <row r="2613" spans="1:4" x14ac:dyDescent="0.2">
      <c r="A2613" s="5">
        <v>2552</v>
      </c>
      <c r="B2613" s="138">
        <f>'Acct Summary 7-8'!G20</f>
        <v>4839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97941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97941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95885</v>
      </c>
      <c r="C2634" s="2" t="s">
        <v>594</v>
      </c>
      <c r="D2634" s="2" t="str">
        <f t="shared" si="40"/>
        <v>Error?</v>
      </c>
    </row>
    <row r="2635" spans="1:4" x14ac:dyDescent="0.2">
      <c r="A2635" s="5">
        <v>2574</v>
      </c>
      <c r="B2635" s="138">
        <f>'Acct Summary 7-8'!E17</f>
        <v>95885</v>
      </c>
      <c r="C2635" s="2" t="s">
        <v>594</v>
      </c>
      <c r="D2635" s="2" t="str">
        <f t="shared" si="40"/>
        <v>Error?</v>
      </c>
    </row>
    <row r="2636" spans="1:4" x14ac:dyDescent="0.2">
      <c r="A2636" s="5">
        <v>2575</v>
      </c>
      <c r="B2636" s="138">
        <f>'Acct Summary 7-8'!E20</f>
        <v>2056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49698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264767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132912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264767</v>
      </c>
      <c r="D2912" s="2" t="str">
        <f t="shared" si="44"/>
        <v>Error?</v>
      </c>
    </row>
    <row r="2913" spans="1:4" x14ac:dyDescent="0.2">
      <c r="A2913" s="5">
        <v>2852</v>
      </c>
      <c r="B2913" s="138">
        <f>'Assets-Liab 5-6'!I41</f>
        <v>264767</v>
      </c>
      <c r="C2913" s="2" t="s">
        <v>594</v>
      </c>
      <c r="D2913" s="2" t="str">
        <f t="shared" si="44"/>
        <v>Error?</v>
      </c>
    </row>
    <row r="2914" spans="1:4" x14ac:dyDescent="0.2">
      <c r="A2914" s="5">
        <v>2853</v>
      </c>
      <c r="B2914" s="138">
        <f>'Assets-Liab 5-6'!L33</f>
        <v>132912</v>
      </c>
      <c r="D2914" s="2" t="str">
        <f t="shared" si="44"/>
        <v>Error?</v>
      </c>
    </row>
    <row r="2915" spans="1:4" x14ac:dyDescent="0.2">
      <c r="A2915" s="10">
        <v>2854</v>
      </c>
      <c r="D2915" s="2" t="str">
        <f t="shared" si="44"/>
        <v>OK</v>
      </c>
    </row>
    <row r="2916" spans="1:4" x14ac:dyDescent="0.2">
      <c r="A2916" s="5">
        <v>2855</v>
      </c>
      <c r="B2916" s="138">
        <f>'Assets-Liab 5-6'!L34</f>
        <v>132912</v>
      </c>
      <c r="C2916" s="2" t="s">
        <v>594</v>
      </c>
      <c r="D2916" s="2" t="str">
        <f t="shared" si="44"/>
        <v>Error?</v>
      </c>
    </row>
    <row r="2917" spans="1:4" x14ac:dyDescent="0.2">
      <c r="A2917" s="5">
        <v>2856</v>
      </c>
      <c r="B2917" s="138">
        <f>'Assets-Liab 5-6'!L41</f>
        <v>132912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53949</v>
      </c>
      <c r="D3055" s="2" t="str">
        <f t="shared" si="46"/>
        <v>Error?</v>
      </c>
    </row>
    <row r="3056" spans="1:4" x14ac:dyDescent="0.2">
      <c r="A3056" s="5">
        <v>2995</v>
      </c>
      <c r="B3056" s="138">
        <f>'Expenditures 15-22'!D10</f>
        <v>434</v>
      </c>
      <c r="D3056" s="2" t="str">
        <f t="shared" si="46"/>
        <v>Error?</v>
      </c>
    </row>
    <row r="3057" spans="1:4" x14ac:dyDescent="0.2">
      <c r="A3057" s="5">
        <v>2996</v>
      </c>
      <c r="B3057" s="138">
        <f>'Expenditures 15-22'!E10</f>
        <v>37260</v>
      </c>
      <c r="D3057" s="2" t="str">
        <f t="shared" si="46"/>
        <v>Error?</v>
      </c>
    </row>
    <row r="3058" spans="1:4" x14ac:dyDescent="0.2">
      <c r="A3058" s="5">
        <v>2997</v>
      </c>
      <c r="B3058" s="138">
        <f>'Expenditures 15-22'!F10</f>
        <v>12057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103700</v>
      </c>
      <c r="C3062" s="2" t="s">
        <v>594</v>
      </c>
      <c r="D3062" s="2" t="str">
        <f t="shared" si="46"/>
        <v>Error?</v>
      </c>
    </row>
    <row r="3063" spans="1:4" x14ac:dyDescent="0.2">
      <c r="A3063" s="10">
        <v>3002</v>
      </c>
      <c r="D3063" s="2" t="str">
        <f t="shared" si="46"/>
        <v>OK</v>
      </c>
    </row>
    <row r="3064" spans="1:4" x14ac:dyDescent="0.2">
      <c r="A3064" s="5">
        <v>3003</v>
      </c>
      <c r="B3064" s="138">
        <f>'Expenditures 15-22'!D219</f>
        <v>8840</v>
      </c>
      <c r="D3064" s="2" t="str">
        <f t="shared" si="46"/>
        <v>Error?</v>
      </c>
    </row>
    <row r="3065" spans="1:4" x14ac:dyDescent="0.2">
      <c r="A3065" s="5">
        <v>3004</v>
      </c>
      <c r="B3065" s="138">
        <f>'Expenditures 15-22'!K219</f>
        <v>8840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11949</v>
      </c>
      <c r="C3225" s="2" t="s">
        <v>594</v>
      </c>
      <c r="D3225" s="2" t="str">
        <f t="shared" si="49"/>
        <v>Error?</v>
      </c>
    </row>
    <row r="3226" spans="1:4" x14ac:dyDescent="0.2">
      <c r="A3226" s="5">
        <v>3165</v>
      </c>
      <c r="B3226" s="138">
        <f>'Acct Summary 7-8'!I8</f>
        <v>11949</v>
      </c>
      <c r="C3226" s="2" t="s">
        <v>594</v>
      </c>
      <c r="D3226" s="2" t="str">
        <f t="shared" si="49"/>
        <v>Error?</v>
      </c>
    </row>
    <row r="3227" spans="1:4" x14ac:dyDescent="0.2">
      <c r="A3227" s="5">
        <v>3166</v>
      </c>
      <c r="B3227" s="138">
        <f>'Acct Summary 7-8'!I20</f>
        <v>11949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78846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8098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54065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4839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11949</v>
      </c>
      <c r="C3320" s="2" t="s">
        <v>594</v>
      </c>
      <c r="D3320" s="2" t="str">
        <f t="shared" si="50"/>
        <v>Error?</v>
      </c>
    </row>
    <row r="3321" spans="1:4" x14ac:dyDescent="0.2">
      <c r="A3321" s="5">
        <v>3260</v>
      </c>
      <c r="B3321" s="138">
        <f>'Acct Summary 7-8'!I79</f>
        <v>252818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264767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197137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26735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13805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237677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17200</v>
      </c>
      <c r="D3387" s="2" t="str">
        <f t="shared" si="51"/>
        <v>Error?</v>
      </c>
    </row>
    <row r="3388" spans="1:4" x14ac:dyDescent="0.2">
      <c r="A3388" s="5">
        <v>3327</v>
      </c>
      <c r="B3388" s="138">
        <f>'Expenditures 15-22'!D217</f>
        <v>9081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17200</v>
      </c>
      <c r="C3390" s="2" t="s">
        <v>594</v>
      </c>
      <c r="D3390" s="2" t="str">
        <f t="shared" si="51"/>
        <v>Error?</v>
      </c>
    </row>
    <row r="3391" spans="1:4" x14ac:dyDescent="0.2">
      <c r="A3391" s="5">
        <v>3330</v>
      </c>
      <c r="B3391" s="138">
        <f>'Expenditures 15-22'!K217</f>
        <v>9081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10700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953650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47962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5908</v>
      </c>
      <c r="D3417" s="2" t="str">
        <f t="shared" si="52"/>
        <v>Error?</v>
      </c>
    </row>
    <row r="3418" spans="1:4" x14ac:dyDescent="0.2">
      <c r="A3418" s="10">
        <v>3357</v>
      </c>
      <c r="D3418" s="2" t="str">
        <f t="shared" si="52"/>
        <v>OK</v>
      </c>
    </row>
    <row r="3419" spans="1:4" x14ac:dyDescent="0.2">
      <c r="A3419" s="5">
        <v>3358</v>
      </c>
      <c r="B3419" s="138">
        <f>'Assets-Liab 5-6'!F4</f>
        <v>77110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149229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264767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132912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64194</v>
      </c>
      <c r="C3446" s="2" t="s">
        <v>594</v>
      </c>
      <c r="D3446" s="2" t="str">
        <f t="shared" si="52"/>
        <v>Error?</v>
      </c>
    </row>
    <row r="3447" spans="1:4" x14ac:dyDescent="0.2">
      <c r="A3447" s="5">
        <v>3386</v>
      </c>
      <c r="B3447" s="138">
        <f>'Tax Sched 23'!D16</f>
        <v>64194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53025</v>
      </c>
      <c r="C3449" s="2" t="s">
        <v>594</v>
      </c>
      <c r="D3449" s="2" t="str">
        <f t="shared" si="52"/>
        <v>Error?</v>
      </c>
    </row>
    <row r="3450" spans="1:4" x14ac:dyDescent="0.2">
      <c r="A3450" s="5">
        <v>3389</v>
      </c>
      <c r="B3450" s="138">
        <f>'Tax Sched 23'!E16</f>
        <v>53025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49698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49698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49698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22210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22210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22210</v>
      </c>
      <c r="D3567" s="2" t="str">
        <f t="shared" si="54"/>
        <v>Error?</v>
      </c>
    </row>
    <row r="3568" spans="1:4" x14ac:dyDescent="0.2">
      <c r="A3568" s="5">
        <v>3507</v>
      </c>
      <c r="B3568" s="138">
        <f>'Assets-Liab 5-6'!K41</f>
        <v>22210</v>
      </c>
      <c r="C3568" s="2" t="s">
        <v>594</v>
      </c>
      <c r="D3568" s="2" t="str">
        <f t="shared" si="54"/>
        <v>Error?</v>
      </c>
    </row>
    <row r="3569" spans="1:4" x14ac:dyDescent="0.2">
      <c r="A3569" s="5">
        <v>3508</v>
      </c>
      <c r="B3569" s="138">
        <f>'Acct Summary 7-8'!K4</f>
        <v>11464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11464</v>
      </c>
      <c r="C3571" s="2" t="s">
        <v>594</v>
      </c>
      <c r="D3571" s="2" t="str">
        <f t="shared" si="54"/>
        <v>Error?</v>
      </c>
    </row>
    <row r="3572" spans="1:4" x14ac:dyDescent="0.2">
      <c r="A3572" s="5">
        <v>3511</v>
      </c>
      <c r="B3572" s="138">
        <f>'Acct Summary 7-8'!K13</f>
        <v>1000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1000</v>
      </c>
      <c r="C3575" s="2" t="s">
        <v>594</v>
      </c>
      <c r="D3575" s="2" t="str">
        <f t="shared" si="54"/>
        <v>Error?</v>
      </c>
    </row>
    <row r="3576" spans="1:4" x14ac:dyDescent="0.2">
      <c r="A3576" s="5">
        <v>3515</v>
      </c>
      <c r="B3576" s="138">
        <f>'Acct Summary 7-8'!K20</f>
        <v>10464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10464</v>
      </c>
      <c r="C3588" s="2" t="s">
        <v>594</v>
      </c>
      <c r="D3588" s="2" t="str">
        <f t="shared" si="55"/>
        <v>Error?</v>
      </c>
    </row>
    <row r="3589" spans="1:4" x14ac:dyDescent="0.2">
      <c r="A3589" s="5">
        <v>3528</v>
      </c>
      <c r="B3589" s="138">
        <f>'Acct Summary 7-8'!K79</f>
        <v>11746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22210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1000</v>
      </c>
      <c r="D3632" s="2" t="str">
        <f t="shared" si="55"/>
        <v>Error?</v>
      </c>
    </row>
    <row r="3633" spans="1:4" x14ac:dyDescent="0.2">
      <c r="A3633" s="5">
        <v>3572</v>
      </c>
      <c r="B3633" s="138">
        <f>'Expenditures 15-22'!E350</f>
        <v>1000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1000</v>
      </c>
      <c r="C3635" s="2" t="s">
        <v>594</v>
      </c>
      <c r="D3635" s="2" t="str">
        <f t="shared" si="55"/>
        <v>Error?</v>
      </c>
    </row>
    <row r="3636" spans="1:4" x14ac:dyDescent="0.2">
      <c r="A3636" s="5">
        <v>3575</v>
      </c>
      <c r="B3636" s="138">
        <f>'Expenditures 15-22'!E367</f>
        <v>1000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1000</v>
      </c>
      <c r="C3669" s="2" t="s">
        <v>594</v>
      </c>
      <c r="D3669" s="2" t="str">
        <f t="shared" si="56"/>
        <v>Error?</v>
      </c>
    </row>
    <row r="3670" spans="1:4" x14ac:dyDescent="0.2">
      <c r="A3670" s="5">
        <v>3609</v>
      </c>
      <c r="B3670" s="138">
        <f>'Expenditures 15-22'!K350</f>
        <v>1000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10464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102031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-12247</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-12247</v>
      </c>
      <c r="D4111" s="2" t="str">
        <f t="shared" si="63"/>
        <v>Error?</v>
      </c>
    </row>
    <row r="4112" spans="1:4" x14ac:dyDescent="0.2">
      <c r="A4112" s="10">
        <v>4051</v>
      </c>
      <c r="D4112" s="2" t="str">
        <f t="shared" si="63"/>
        <v>OK</v>
      </c>
    </row>
    <row r="4113" spans="1:4" x14ac:dyDescent="0.2">
      <c r="A4113" s="5">
        <v>4052</v>
      </c>
      <c r="B4113" s="138">
        <f>'Acct Summary 7-8'!C9</f>
        <v>935721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3476483</v>
      </c>
      <c r="C4122" s="2" t="s">
        <v>594</v>
      </c>
      <c r="D4122" s="2" t="str">
        <f t="shared" si="63"/>
        <v>Error?</v>
      </c>
    </row>
    <row r="4123" spans="1:4" x14ac:dyDescent="0.2">
      <c r="A4123" s="5">
        <v>4062</v>
      </c>
      <c r="B4123" s="138">
        <f>'Acct Summary 7-8'!D10</f>
        <v>346814</v>
      </c>
      <c r="C4123" s="2" t="s">
        <v>594</v>
      </c>
      <c r="D4123" s="2" t="str">
        <f t="shared" si="63"/>
        <v>Error?</v>
      </c>
    </row>
    <row r="4124" spans="1:4" x14ac:dyDescent="0.2">
      <c r="A4124" s="5">
        <v>4063</v>
      </c>
      <c r="B4124" s="138">
        <f>'Acct Summary 7-8'!E10</f>
        <v>97941</v>
      </c>
      <c r="C4124" s="2" t="s">
        <v>594</v>
      </c>
      <c r="D4124" s="2" t="str">
        <f t="shared" si="63"/>
        <v>Error?</v>
      </c>
    </row>
    <row r="4125" spans="1:4" x14ac:dyDescent="0.2">
      <c r="A4125" s="5">
        <v>4064</v>
      </c>
      <c r="B4125" s="138">
        <f>'Acct Summary 7-8'!F10</f>
        <v>338079</v>
      </c>
      <c r="C4125" s="2" t="s">
        <v>594</v>
      </c>
      <c r="D4125" s="2" t="str">
        <f t="shared" si="63"/>
        <v>Error?</v>
      </c>
    </row>
    <row r="4126" spans="1:4" x14ac:dyDescent="0.2">
      <c r="A4126" s="5">
        <v>4065</v>
      </c>
      <c r="B4126" s="138">
        <f>'Acct Summary 7-8'!G10</f>
        <v>147301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11949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11464</v>
      </c>
      <c r="C4130" s="2" t="s">
        <v>594</v>
      </c>
      <c r="D4130" s="2" t="str">
        <f t="shared" si="63"/>
        <v>Error?</v>
      </c>
    </row>
    <row r="4131" spans="1:4" x14ac:dyDescent="0.2">
      <c r="A4131" s="5">
        <v>4070</v>
      </c>
      <c r="B4131" s="138">
        <f>'Acct Summary 7-8'!C18</f>
        <v>935721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3397637</v>
      </c>
      <c r="C4136" s="2" t="s">
        <v>594</v>
      </c>
      <c r="D4136" s="2" t="str">
        <f t="shared" si="63"/>
        <v>Error?</v>
      </c>
    </row>
    <row r="4137" spans="1:4" x14ac:dyDescent="0.2">
      <c r="A4137" s="5">
        <v>4076</v>
      </c>
      <c r="B4137" s="138">
        <f>'Acct Summary 7-8'!D19</f>
        <v>338716</v>
      </c>
      <c r="C4137" s="2" t="s">
        <v>594</v>
      </c>
      <c r="D4137" s="2" t="str">
        <f t="shared" si="63"/>
        <v>Error?</v>
      </c>
    </row>
    <row r="4138" spans="1:4" x14ac:dyDescent="0.2">
      <c r="A4138" s="5">
        <v>4077</v>
      </c>
      <c r="B4138" s="138">
        <f>'Acct Summary 7-8'!E19</f>
        <v>95885</v>
      </c>
      <c r="C4138" s="2" t="s">
        <v>594</v>
      </c>
      <c r="D4138" s="2" t="str">
        <f t="shared" si="63"/>
        <v>Error?</v>
      </c>
    </row>
    <row r="4139" spans="1:4" x14ac:dyDescent="0.2">
      <c r="A4139" s="5">
        <v>4078</v>
      </c>
      <c r="B4139" s="138">
        <f>'Acct Summary 7-8'!F19</f>
        <v>284014</v>
      </c>
      <c r="C4139" s="2" t="s">
        <v>594</v>
      </c>
      <c r="D4139" s="2" t="str">
        <f t="shared" si="63"/>
        <v>Error?</v>
      </c>
    </row>
    <row r="4140" spans="1:4" x14ac:dyDescent="0.2">
      <c r="A4140" s="5">
        <v>4079</v>
      </c>
      <c r="B4140" s="138">
        <f>'Acct Summary 7-8'!G19</f>
        <v>142462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535200</v>
      </c>
      <c r="C4171" s="2" t="s">
        <v>594</v>
      </c>
      <c r="D4171" s="2" t="str">
        <f t="shared" si="64"/>
        <v>Error?</v>
      </c>
    </row>
    <row r="4172" spans="1:4" x14ac:dyDescent="0.2">
      <c r="A4172" s="5">
        <v>4111</v>
      </c>
      <c r="B4172" s="138">
        <f>'Short-Term Long-Term Debt 24'!J49</f>
        <v>529292</v>
      </c>
      <c r="C4172" s="2" t="s">
        <v>594</v>
      </c>
      <c r="D4172" s="2" t="str">
        <f t="shared" si="64"/>
        <v>Error?</v>
      </c>
    </row>
    <row r="4173" spans="1:4" x14ac:dyDescent="0.2">
      <c r="A4173" s="5">
        <v>4112</v>
      </c>
      <c r="B4173" s="138">
        <f>'Short-Term Long-Term Debt 24'!H49</f>
        <v>83400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3300</v>
      </c>
      <c r="C4268" s="2" t="s">
        <v>594</v>
      </c>
      <c r="D4268" s="2" t="str">
        <f t="shared" si="65"/>
        <v>Error?</v>
      </c>
    </row>
    <row r="4269" spans="1:5" x14ac:dyDescent="0.2">
      <c r="A4269" s="12">
        <v>4208</v>
      </c>
      <c r="B4269" s="138">
        <f>'FP Info 3'!J16</f>
        <v>1343489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6863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21349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23503168</v>
      </c>
      <c r="D4995" s="2" t="str">
        <f t="shared" si="77"/>
        <v>Error?</v>
      </c>
    </row>
    <row r="4996" spans="1:4" x14ac:dyDescent="0.2">
      <c r="A4996" s="12">
        <v>4935</v>
      </c>
      <c r="B4996" s="138">
        <f>'FP Info 3'!H31</f>
        <v>3243437.1840000004</v>
      </c>
      <c r="D4996" s="2" t="str">
        <f t="shared" si="77"/>
        <v>Error?</v>
      </c>
    </row>
    <row r="4997" spans="1:4" x14ac:dyDescent="0.2">
      <c r="A4997" s="12">
        <v>4936</v>
      </c>
      <c r="B4997" s="138">
        <f>'FP Info 3'!H37</f>
        <v>535200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592430</v>
      </c>
      <c r="D5061" s="2" t="str">
        <f t="shared" si="78"/>
        <v>Error?</v>
      </c>
    </row>
    <row r="5062" spans="1:4" x14ac:dyDescent="0.2">
      <c r="A5062" s="10">
        <v>5001</v>
      </c>
      <c r="D5062" s="2" t="str">
        <f t="shared" si="78"/>
        <v>OK</v>
      </c>
    </row>
    <row r="5063" spans="1:4" x14ac:dyDescent="0.2">
      <c r="A5063" s="5">
        <v>5002</v>
      </c>
      <c r="B5063" s="138">
        <f>'Revenues 9-14'!C7</f>
        <v>9001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601431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135894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135894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40537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40537</v>
      </c>
      <c r="C5087" s="2" t="s">
        <v>594</v>
      </c>
      <c r="D5087" s="2" t="str">
        <f t="shared" si="78"/>
        <v>Error?</v>
      </c>
    </row>
    <row r="5088" spans="1:4" x14ac:dyDescent="0.2">
      <c r="A5088" s="5">
        <v>5027</v>
      </c>
      <c r="B5088" s="138">
        <f>'Revenues 9-14'!C65</f>
        <v>3112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3112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11972</v>
      </c>
      <c r="D5093" s="2" t="str">
        <f t="shared" si="78"/>
        <v>Error?</v>
      </c>
    </row>
    <row r="5094" spans="1:4" x14ac:dyDescent="0.2">
      <c r="A5094" s="5">
        <v>5033</v>
      </c>
      <c r="B5094" s="138">
        <f>'Revenues 9-14'!C73</f>
        <v>5927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51247</v>
      </c>
      <c r="C5096" s="2" t="s">
        <v>594</v>
      </c>
      <c r="D5096" s="2" t="str">
        <f t="shared" si="78"/>
        <v>Error?</v>
      </c>
    </row>
    <row r="5097" spans="1:4" x14ac:dyDescent="0.2">
      <c r="A5097" s="5">
        <v>5036</v>
      </c>
      <c r="B5097" s="138">
        <f>'Revenues 9-14'!C77</f>
        <v>7719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19315</v>
      </c>
      <c r="C5102" s="2" t="s">
        <v>594</v>
      </c>
      <c r="D5102" s="2" t="str">
        <f t="shared" si="78"/>
        <v>Error?</v>
      </c>
    </row>
    <row r="5103" spans="1:4" x14ac:dyDescent="0.2">
      <c r="A5103" s="5">
        <v>5042</v>
      </c>
      <c r="B5103" s="138">
        <f>'Revenues 9-14'!C84</f>
        <v>12866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12866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49976</v>
      </c>
      <c r="D5119" s="2" t="str">
        <f t="shared" ref="D5119:D5182" si="79">IF(ISBLANK(B5119),"OK",IF(A5119-B5119=0,"OK","Error?"))</f>
        <v>Error?</v>
      </c>
    </row>
    <row r="5120" spans="1:4" x14ac:dyDescent="0.2">
      <c r="A5120" s="5">
        <v>5059</v>
      </c>
      <c r="B5120" s="138">
        <f>'Revenues 9-14'!C108</f>
        <v>56576</v>
      </c>
      <c r="C5120" s="2" t="s">
        <v>594</v>
      </c>
      <c r="D5120" s="2" t="str">
        <f t="shared" si="79"/>
        <v>Error?</v>
      </c>
    </row>
    <row r="5121" spans="1:4" x14ac:dyDescent="0.2">
      <c r="A5121" s="5">
        <v>5060</v>
      </c>
      <c r="B5121" s="138">
        <f>'Revenues 9-14'!C109</f>
        <v>920978</v>
      </c>
      <c r="C5121" s="2" t="s">
        <v>594</v>
      </c>
      <c r="D5121" s="2" t="str">
        <f t="shared" si="79"/>
        <v>Error?</v>
      </c>
    </row>
    <row r="5122" spans="1:4" x14ac:dyDescent="0.2">
      <c r="A5122" s="5">
        <v>5061</v>
      </c>
      <c r="B5122" s="138">
        <f>'Revenues 9-14'!C111</f>
        <v>10700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10700</v>
      </c>
      <c r="C5125" s="2" t="s">
        <v>594</v>
      </c>
      <c r="D5125" s="2" t="str">
        <f t="shared" si="79"/>
        <v>Error?</v>
      </c>
    </row>
    <row r="5126" spans="1:4" x14ac:dyDescent="0.2">
      <c r="A5126" s="5">
        <v>5065</v>
      </c>
      <c r="B5126" s="138">
        <f>'Revenues 9-14'!C117</f>
        <v>1168091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1168091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24718</v>
      </c>
      <c r="D5134" s="2" t="str">
        <f t="shared" si="79"/>
        <v>Error?</v>
      </c>
    </row>
    <row r="5135" spans="1:4" x14ac:dyDescent="0.2">
      <c r="A5135" s="5">
        <v>5074</v>
      </c>
      <c r="B5135" s="138">
        <f>'Revenues 9-14'!C126</f>
        <v>15798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40516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1576</v>
      </c>
      <c r="D5167" s="2" t="str">
        <f t="shared" si="79"/>
        <v>Error?</v>
      </c>
    </row>
    <row r="5168" spans="1:4" x14ac:dyDescent="0.2">
      <c r="A5168" s="5">
        <v>5107</v>
      </c>
      <c r="B5168" s="138">
        <f>'Revenues 9-14'!C147</f>
        <v>5503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169608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218703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1386794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82600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30239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112839</v>
      </c>
      <c r="C5246" s="2" t="s">
        <v>594</v>
      </c>
      <c r="D5246" s="2" t="str">
        <f t="shared" si="80"/>
        <v>Error?</v>
      </c>
    </row>
    <row r="5247" spans="1:4" x14ac:dyDescent="0.2">
      <c r="A5247" s="5">
        <v>5186</v>
      </c>
      <c r="B5247" s="138">
        <f>'Revenues 9-14'!C203</f>
        <v>81239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81239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222290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222290</v>
      </c>
      <c r="C5326" s="2" t="s">
        <v>594</v>
      </c>
      <c r="D5326" s="2" t="str">
        <f t="shared" si="82"/>
        <v>Error?</v>
      </c>
    </row>
    <row r="5327" spans="1:4" x14ac:dyDescent="0.2">
      <c r="A5327" s="5">
        <v>5266</v>
      </c>
      <c r="B5327" s="138">
        <f>'Revenues 9-14'!C275</f>
        <v>2540762</v>
      </c>
      <c r="C5327" s="2" t="s">
        <v>594</v>
      </c>
      <c r="D5327" s="2" t="str">
        <f t="shared" si="82"/>
        <v>Error?</v>
      </c>
    </row>
    <row r="5328" spans="1:4" x14ac:dyDescent="0.2">
      <c r="A5328" s="5">
        <v>5267</v>
      </c>
      <c r="B5328" s="138">
        <f>'Revenues 9-14'!D5</f>
        <v>113938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113938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128548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128548</v>
      </c>
      <c r="C5339" s="2" t="s">
        <v>594</v>
      </c>
      <c r="D5339" s="2" t="str">
        <f t="shared" si="82"/>
        <v>Error?</v>
      </c>
    </row>
    <row r="5340" spans="1:4" x14ac:dyDescent="0.2">
      <c r="A5340" s="5">
        <v>5279</v>
      </c>
      <c r="B5340" s="138">
        <f>'Revenues 9-14'!D65</f>
        <v>160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8668</v>
      </c>
      <c r="D5354" s="2" t="str">
        <f t="shared" si="82"/>
        <v>Error?</v>
      </c>
    </row>
    <row r="5355" spans="1:4" x14ac:dyDescent="0.2">
      <c r="A5355" s="5">
        <v>5294</v>
      </c>
      <c r="B5355" s="138">
        <f>'Revenues 9-14'!D108</f>
        <v>39168</v>
      </c>
      <c r="C5355" s="2" t="s">
        <v>594</v>
      </c>
      <c r="D5355" s="2" t="str">
        <f t="shared" si="82"/>
        <v>Error?</v>
      </c>
    </row>
    <row r="5356" spans="1:4" x14ac:dyDescent="0.2">
      <c r="A5356" s="5">
        <v>5295</v>
      </c>
      <c r="B5356" s="138">
        <f>'Revenues 9-14'!D109</f>
        <v>281814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346814</v>
      </c>
      <c r="C5508" s="2" t="s">
        <v>594</v>
      </c>
      <c r="D5508" s="2" t="str">
        <f t="shared" si="85"/>
        <v>Error?</v>
      </c>
    </row>
    <row r="5509" spans="1:4" x14ac:dyDescent="0.2">
      <c r="A5509" s="5">
        <v>5448</v>
      </c>
      <c r="B5509" s="138">
        <f>'Revenues 9-14'!E5</f>
        <v>97830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97830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97941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97941</v>
      </c>
      <c r="C5552" s="2" t="s">
        <v>594</v>
      </c>
      <c r="D5552" s="2" t="str">
        <f t="shared" si="85"/>
        <v>Error?</v>
      </c>
    </row>
    <row r="5553" spans="1:4" x14ac:dyDescent="0.2">
      <c r="A5553" s="5">
        <v>5492</v>
      </c>
      <c r="B5553" s="138">
        <f>'Revenues 9-14'!F5</f>
        <v>45599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45599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84474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84474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3800</v>
      </c>
      <c r="D5586" s="2" t="str">
        <f t="shared" si="86"/>
        <v>Error?</v>
      </c>
    </row>
    <row r="5587" spans="1:4" x14ac:dyDescent="0.2">
      <c r="A5587" s="5">
        <v>5526</v>
      </c>
      <c r="B5587" s="138">
        <f>'Revenues 9-14'!F108</f>
        <v>3800</v>
      </c>
      <c r="C5587" s="2" t="s">
        <v>594</v>
      </c>
      <c r="D5587" s="2" t="str">
        <f t="shared" si="86"/>
        <v>Error?</v>
      </c>
    </row>
    <row r="5588" spans="1:4" x14ac:dyDescent="0.2">
      <c r="A5588" s="5">
        <v>5527</v>
      </c>
      <c r="B5588" s="138">
        <f>'Revenues 9-14'!F109</f>
        <v>134105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132536</v>
      </c>
      <c r="D5615" s="2" t="str">
        <f t="shared" si="86"/>
        <v>Error?</v>
      </c>
    </row>
    <row r="5616" spans="1:4" x14ac:dyDescent="0.2">
      <c r="A5616" s="10">
        <v>5555</v>
      </c>
      <c r="D5616" s="2" t="str">
        <f t="shared" si="86"/>
        <v>OK</v>
      </c>
    </row>
    <row r="5617" spans="1:4" x14ac:dyDescent="0.2">
      <c r="A5617" s="5">
        <v>5556</v>
      </c>
      <c r="B5617" s="138">
        <f>'Revenues 9-14'!F152</f>
        <v>71438</v>
      </c>
      <c r="D5617" s="2" t="str">
        <f t="shared" si="86"/>
        <v>Error?</v>
      </c>
    </row>
    <row r="5618" spans="1:4" x14ac:dyDescent="0.2">
      <c r="A5618" s="5">
        <v>5557</v>
      </c>
      <c r="B5618" s="138">
        <f>'Revenues 9-14'!F154</f>
        <v>203974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203974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203974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338079</v>
      </c>
      <c r="C5720" s="2" t="s">
        <v>594</v>
      </c>
      <c r="D5720" s="2" t="str">
        <f t="shared" si="88"/>
        <v>Error?</v>
      </c>
    </row>
    <row r="5721" spans="1:4" x14ac:dyDescent="0.2">
      <c r="A5721" s="5">
        <v>5660</v>
      </c>
      <c r="B5721" s="138">
        <f>'Revenues 9-14'!G5</f>
        <v>64194</v>
      </c>
      <c r="D5721" s="2" t="str">
        <f t="shared" si="88"/>
        <v>Error?</v>
      </c>
    </row>
    <row r="5722" spans="1:4" x14ac:dyDescent="0.2">
      <c r="A5722" s="5">
        <v>5661</v>
      </c>
      <c r="B5722" s="138">
        <f>'Revenues 9-14'!G7</f>
        <v>0</v>
      </c>
      <c r="D5722" s="2" t="str">
        <f t="shared" si="88"/>
        <v>Error?</v>
      </c>
    </row>
    <row r="5723" spans="1:4" x14ac:dyDescent="0.2">
      <c r="A5723" s="5">
        <v>5662</v>
      </c>
      <c r="B5723" s="138">
        <f>'Revenues 9-14'!G8</f>
        <v>64194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128388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18364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18364</v>
      </c>
      <c r="C5730" s="2" t="s">
        <v>594</v>
      </c>
      <c r="D5730" s="2" t="str">
        <f t="shared" si="88"/>
        <v>Error?</v>
      </c>
    </row>
    <row r="5731" spans="1:4" x14ac:dyDescent="0.2">
      <c r="A5731" s="5">
        <v>5670</v>
      </c>
      <c r="B5731" s="138">
        <f>'Revenues 9-14'!G65</f>
        <v>549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147301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11371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11371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578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11949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11370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11370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11464</v>
      </c>
      <c r="C6023" s="2" t="s">
        <v>594</v>
      </c>
      <c r="D6023" s="2" t="str">
        <f t="shared" si="93"/>
        <v>Error?</v>
      </c>
    </row>
    <row r="6024" spans="1:5" x14ac:dyDescent="0.2">
      <c r="A6024" s="5">
        <v>5963</v>
      </c>
      <c r="B6024" s="138">
        <f>'Revenues 9-14'!G109</f>
        <v>147301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11949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11464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33348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19154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280.57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175806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175806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175806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175806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175806</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78846</v>
      </c>
      <c r="D6267" s="2" t="str">
        <f t="shared" si="96"/>
        <v>Error?</v>
      </c>
      <c r="E6267" s="2" t="s">
        <v>199</v>
      </c>
    </row>
    <row r="6268" spans="1:5" x14ac:dyDescent="0.2">
      <c r="A6268">
        <v>6207</v>
      </c>
      <c r="B6268" s="138">
        <f>'Acct Summary 7-8'!D82</f>
        <v>8098</v>
      </c>
      <c r="D6268" s="2" t="str">
        <f t="shared" si="96"/>
        <v>Error?</v>
      </c>
      <c r="E6268" s="2" t="s">
        <v>199</v>
      </c>
    </row>
    <row r="6269" spans="1:5" x14ac:dyDescent="0.2">
      <c r="A6269">
        <v>6208</v>
      </c>
      <c r="B6269" s="138">
        <f>'Acct Summary 7-8'!E82</f>
        <v>2056</v>
      </c>
      <c r="D6269" s="2" t="str">
        <f t="shared" si="96"/>
        <v>Error?</v>
      </c>
      <c r="E6269" s="2" t="s">
        <v>199</v>
      </c>
    </row>
    <row r="6270" spans="1:5" x14ac:dyDescent="0.2">
      <c r="A6270">
        <v>6209</v>
      </c>
      <c r="B6270" s="138">
        <f>'Acct Summary 7-8'!F82</f>
        <v>54065</v>
      </c>
      <c r="D6270" s="2" t="str">
        <f t="shared" si="96"/>
        <v>Error?</v>
      </c>
      <c r="E6270" s="2" t="s">
        <v>199</v>
      </c>
    </row>
    <row r="6271" spans="1:5" x14ac:dyDescent="0.2">
      <c r="A6271">
        <v>6210</v>
      </c>
      <c r="B6271" s="138">
        <f>'Acct Summary 7-8'!G82</f>
        <v>4839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11949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10464</v>
      </c>
      <c r="D6275" s="2" t="str">
        <f t="shared" si="97"/>
        <v>Error?</v>
      </c>
      <c r="E6275" s="2" t="s">
        <v>199</v>
      </c>
    </row>
    <row r="6276" spans="1:5" x14ac:dyDescent="0.2">
      <c r="A6276">
        <v>6215</v>
      </c>
      <c r="B6276" s="138">
        <f>'Acct Summary 7-8'!C83</f>
        <v>8.2678131389922929E-2</v>
      </c>
      <c r="D6276" s="2" t="str">
        <f t="shared" si="97"/>
        <v>Error?</v>
      </c>
      <c r="E6276" s="2" t="s">
        <v>199</v>
      </c>
    </row>
    <row r="6277" spans="1:5" x14ac:dyDescent="0.2">
      <c r="A6277">
        <v>6216</v>
      </c>
      <c r="B6277" s="138">
        <f>'Acct Summary 7-8'!D83</f>
        <v>0.16884199991660065</v>
      </c>
      <c r="D6277" s="2" t="str">
        <f t="shared" si="97"/>
        <v>Error?</v>
      </c>
      <c r="E6277" s="2" t="s">
        <v>199</v>
      </c>
    </row>
    <row r="6278" spans="1:5" x14ac:dyDescent="0.2">
      <c r="A6278">
        <v>6217</v>
      </c>
      <c r="B6278" s="138">
        <f>'Acct Summary 7-8'!E83</f>
        <v>0.34800270819228163</v>
      </c>
      <c r="D6278" s="2" t="str">
        <f t="shared" si="97"/>
        <v>Error?</v>
      </c>
      <c r="E6278" s="2" t="s">
        <v>199</v>
      </c>
    </row>
    <row r="6279" spans="1:5" x14ac:dyDescent="0.2">
      <c r="A6279">
        <v>6218</v>
      </c>
      <c r="B6279" s="138">
        <f>'Acct Summary 7-8'!F83</f>
        <v>0.70114122681883029</v>
      </c>
      <c r="D6279" s="2" t="str">
        <f t="shared" si="97"/>
        <v>Error?</v>
      </c>
      <c r="E6279" s="2" t="s">
        <v>199</v>
      </c>
    </row>
    <row r="6280" spans="1:5" x14ac:dyDescent="0.2">
      <c r="A6280">
        <v>6219</v>
      </c>
      <c r="B6280" s="138">
        <f>'Acct Summary 7-8'!G83</f>
        <v>3.2426673099732628E-2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4.5130246594175256E-2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0.47113912651958578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174460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174460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1160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1160</v>
      </c>
      <c r="D6351" s="2" t="str">
        <f t="shared" si="98"/>
        <v>Error?</v>
      </c>
      <c r="E6351" s="2" t="s">
        <v>199</v>
      </c>
    </row>
    <row r="6352" spans="1:5" x14ac:dyDescent="0.2">
      <c r="A6352">
        <v>6291</v>
      </c>
      <c r="B6352" s="138">
        <f>'Revenues 9-14'!J109</f>
        <v>175806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113799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153590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15192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97516</v>
      </c>
      <c r="D6983" s="2" t="str">
        <f t="shared" si="108"/>
        <v>Error?</v>
      </c>
    </row>
    <row r="6984" spans="1:4" x14ac:dyDescent="0.2">
      <c r="A6984">
        <v>6923</v>
      </c>
      <c r="B6984" s="138">
        <f>'Expenditures 15-22'!K86</f>
        <v>97516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20675</v>
      </c>
      <c r="D6987" s="2" t="str">
        <f t="shared" si="108"/>
        <v>Error?</v>
      </c>
    </row>
    <row r="6988" spans="1:4" x14ac:dyDescent="0.2">
      <c r="A6988">
        <v>6927</v>
      </c>
      <c r="B6988" s="138">
        <f>'Expenditures 15-22'!K88</f>
        <v>20675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118191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4375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4375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4375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175806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4375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175806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13767</v>
      </c>
      <c r="D7073" s="2" t="str">
        <f t="shared" si="109"/>
        <v>Error?</v>
      </c>
    </row>
    <row r="7074" spans="1:4" x14ac:dyDescent="0.2">
      <c r="A7074">
        <v>7013</v>
      </c>
      <c r="B7074" s="138">
        <f>'Expenditures 15-22'!K216</f>
        <v>13767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38029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38029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3725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3725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11875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11875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70199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70199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70199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105607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175806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70199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105607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175806</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4286</v>
      </c>
      <c r="D7246" s="2" t="str">
        <f t="shared" si="112"/>
        <v>Error?</v>
      </c>
    </row>
    <row r="7247" spans="1:4" x14ac:dyDescent="0.2">
      <c r="A7247">
        <f t="shared" si="113"/>
        <v>7186</v>
      </c>
      <c r="B7247" s="138">
        <f>'Expenditures 15-22'!E7</f>
        <v>14431</v>
      </c>
      <c r="D7247" s="2" t="str">
        <f t="shared" si="112"/>
        <v>Error?</v>
      </c>
    </row>
    <row r="7248" spans="1:4" x14ac:dyDescent="0.2">
      <c r="A7248">
        <f t="shared" si="113"/>
        <v>7187</v>
      </c>
      <c r="B7248" s="138">
        <f>'Expenditures 15-22'!F7</f>
        <v>21074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10461</v>
      </c>
      <c r="D7263" s="2" t="str">
        <f t="shared" si="112"/>
        <v>Error?</v>
      </c>
    </row>
    <row r="7264" spans="1:4" x14ac:dyDescent="0.2">
      <c r="A7264">
        <f t="shared" si="113"/>
        <v>7203</v>
      </c>
      <c r="B7264" s="138">
        <f>'Expenditures 15-22'!D17</f>
        <v>1000</v>
      </c>
      <c r="D7264" s="2" t="str">
        <f t="shared" si="112"/>
        <v>Error?</v>
      </c>
    </row>
    <row r="7265" spans="1:5" x14ac:dyDescent="0.2">
      <c r="A7265">
        <f t="shared" si="113"/>
        <v>7204</v>
      </c>
      <c r="B7265" s="138">
        <f>'Expenditures 15-22'!E17</f>
        <v>2848</v>
      </c>
      <c r="D7265" s="2" t="str">
        <f t="shared" si="112"/>
        <v>Error?</v>
      </c>
    </row>
    <row r="7266" spans="1:5" x14ac:dyDescent="0.2">
      <c r="A7266">
        <f t="shared" si="113"/>
        <v>7205</v>
      </c>
      <c r="B7266" s="138">
        <f>'Expenditures 15-22'!F17</f>
        <v>883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4375</v>
      </c>
      <c r="D7624" s="2" t="str">
        <f t="shared" si="124"/>
        <v>Error?</v>
      </c>
      <c r="E7624" s="2" t="s">
        <v>19</v>
      </c>
    </row>
    <row r="7625" spans="1:5" x14ac:dyDescent="0.2">
      <c r="A7625">
        <f t="shared" si="123"/>
        <v>7564</v>
      </c>
      <c r="B7625" s="138">
        <f>'Cap Outlay Deprec 26'!I17</f>
        <v>437.5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252587.5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30012</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30012</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13575</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13575</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5503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5503</v>
      </c>
      <c r="D7719" s="2" t="str">
        <f t="shared" si="126"/>
        <v>Error?</v>
      </c>
      <c r="E7719" s="2" t="s">
        <v>881</v>
      </c>
    </row>
    <row r="7720" spans="1:6" x14ac:dyDescent="0.2">
      <c r="A7720">
        <v>7659</v>
      </c>
      <c r="B7720" s="138">
        <f>'Rest Tax Levies-Tort Im 25'!H14</f>
        <v>9001</v>
      </c>
      <c r="D7720" s="2" t="str">
        <f t="shared" si="126"/>
        <v>Error?</v>
      </c>
      <c r="E7720" s="2" t="s">
        <v>881</v>
      </c>
    </row>
    <row r="7721" spans="1:6" x14ac:dyDescent="0.2">
      <c r="A7721">
        <v>7660</v>
      </c>
      <c r="B7721" s="138">
        <f>'Rest Tax Levies-Tort Im 25'!K14</f>
        <v>5503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29'!D73</f>
        <v>97760</v>
      </c>
      <c r="D7797" s="2" t="str">
        <f t="shared" si="127"/>
        <v>Error?</v>
      </c>
      <c r="E7797" s="4" t="s">
        <v>2020</v>
      </c>
    </row>
    <row r="7798" spans="1:5" x14ac:dyDescent="0.2">
      <c r="A7798">
        <v>7737</v>
      </c>
      <c r="B7798" s="138">
        <f>'Contracts Paid in CY 29'!F73</f>
        <v>0</v>
      </c>
      <c r="D7798" s="2" t="str">
        <f t="shared" si="127"/>
        <v>Error?</v>
      </c>
      <c r="E7798" s="4" t="s">
        <v>2020</v>
      </c>
    </row>
    <row r="7799" spans="1:5" x14ac:dyDescent="0.2">
      <c r="A7799">
        <v>7738</v>
      </c>
      <c r="B7799" s="138">
        <f>'Contracts Paid in CY 29'!G73</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8" t="str">
        <f>COVER!A17</f>
        <v>Hutsonville CUSD 1</v>
      </c>
      <c r="B7" s="2399"/>
      <c r="C7" s="2399"/>
      <c r="D7" s="2436"/>
      <c r="E7" s="2437">
        <f>COVER!A13</f>
        <v>12017001026</v>
      </c>
      <c r="F7" s="2438"/>
      <c r="G7" s="2405" t="str">
        <f>COVER!T23</f>
        <v>066-003998</v>
      </c>
      <c r="H7" s="2406"/>
      <c r="I7" s="2406"/>
      <c r="J7" s="2406"/>
      <c r="K7" s="2406"/>
      <c r="L7" s="240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8"/>
      <c r="B9" s="2409"/>
      <c r="C9" s="2409"/>
      <c r="D9" s="2409"/>
      <c r="E9" s="2409"/>
      <c r="F9" s="2410"/>
      <c r="G9" s="2411" t="str">
        <f>COVER!T13</f>
        <v>Kemper CPA Group</v>
      </c>
      <c r="H9" s="2412"/>
      <c r="I9" s="2412"/>
      <c r="J9" s="2412"/>
      <c r="K9" s="2412"/>
      <c r="L9" s="2413"/>
    </row>
    <row r="10" spans="1:29" ht="13.5" customHeight="1" x14ac:dyDescent="0.2">
      <c r="A10" s="2395" t="str">
        <f>COVER!A38</f>
        <v>Julie Kraemer</v>
      </c>
      <c r="B10" s="2396"/>
      <c r="C10" s="2396"/>
      <c r="D10" s="2396"/>
      <c r="E10" s="2396"/>
      <c r="F10" s="2397"/>
      <c r="G10" s="2411" t="str">
        <f>COVER!T17</f>
        <v>302 E. Walnut Street</v>
      </c>
      <c r="H10" s="2424"/>
      <c r="I10" s="2424"/>
      <c r="J10" s="2424"/>
      <c r="K10" s="2424"/>
      <c r="L10" s="2425"/>
    </row>
    <row r="11" spans="1:29" ht="13.5" customHeight="1" x14ac:dyDescent="0.2">
      <c r="A11" s="1185" t="s">
        <v>1599</v>
      </c>
      <c r="B11" s="1186"/>
      <c r="C11" s="1187"/>
      <c r="D11" s="1192"/>
      <c r="E11" s="1187"/>
      <c r="F11" s="1191"/>
      <c r="G11" s="2411" t="str">
        <f>COVER!T19</f>
        <v>Robinson</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bbradbury@kcpag.com</v>
      </c>
      <c r="J13" s="2433"/>
      <c r="K13" s="2433"/>
      <c r="L13" s="2434"/>
    </row>
    <row r="14" spans="1:29" ht="13.5" customHeight="1" x14ac:dyDescent="0.2">
      <c r="A14" s="2411" t="str">
        <f>COVER!A19</f>
        <v>500 W. Clover Street</v>
      </c>
      <c r="B14" s="2424"/>
      <c r="C14" s="2424"/>
      <c r="D14" s="2424"/>
      <c r="E14" s="2424"/>
      <c r="F14" s="2425"/>
      <c r="G14" s="1196" t="s">
        <v>1247</v>
      </c>
      <c r="H14" s="1194"/>
      <c r="I14" s="1194"/>
      <c r="J14" s="1194"/>
      <c r="K14" s="1194"/>
      <c r="L14" s="1195"/>
    </row>
    <row r="15" spans="1:29" ht="13.5" customHeight="1" x14ac:dyDescent="0.2">
      <c r="A15" s="2411" t="str">
        <f>COVER!A21</f>
        <v xml:space="preserve">Hutsonville  </v>
      </c>
      <c r="B15" s="2424"/>
      <c r="C15" s="2424"/>
      <c r="D15" s="2424"/>
      <c r="E15" s="2424"/>
      <c r="F15" s="2425"/>
      <c r="G15" s="2421" t="str">
        <f>COVER!T15</f>
        <v>Brian Bradbury</v>
      </c>
      <c r="H15" s="2422"/>
      <c r="I15" s="2422"/>
      <c r="J15" s="2422"/>
      <c r="K15" s="2422"/>
      <c r="L15" s="2423"/>
    </row>
    <row r="16" spans="1:29" ht="12.2" customHeight="1" x14ac:dyDescent="0.2">
      <c r="A16" s="2401">
        <f>COVER!A25</f>
        <v>62433</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6" t="s">
        <v>1246</v>
      </c>
      <c r="H17" s="1194"/>
      <c r="I17" s="1194"/>
      <c r="J17" s="1194"/>
      <c r="K17" s="1198" t="s">
        <v>1245</v>
      </c>
      <c r="L17" s="1191"/>
      <c r="M17" s="1184"/>
    </row>
    <row r="18" spans="1:13" ht="12.2" customHeight="1" x14ac:dyDescent="0.2">
      <c r="A18" s="2395"/>
      <c r="B18" s="2396"/>
      <c r="C18" s="2396"/>
      <c r="D18" s="2396"/>
      <c r="E18" s="2396"/>
      <c r="F18" s="2397"/>
      <c r="G18" s="2398" t="str">
        <f>COVER!T21</f>
        <v>618-546-1502</v>
      </c>
      <c r="H18" s="2399"/>
      <c r="I18" s="2399"/>
      <c r="J18" s="2399"/>
      <c r="K18" s="2398" t="str">
        <f>COVER!X21</f>
        <v>618-544-2140</v>
      </c>
      <c r="L18" s="240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G24" sqref="G2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9" t="str">
        <f>'Single Audit Cover'!A7</f>
        <v>Hutsonville CUSD 1</v>
      </c>
      <c r="B1" s="2435"/>
      <c r="C1" s="2435"/>
      <c r="D1" s="2435"/>
    </row>
    <row r="2" spans="1:11" s="1215" customFormat="1" ht="12.75" x14ac:dyDescent="0.2">
      <c r="A2" s="2440">
        <f>'Single Audit Cover'!E7</f>
        <v>12017001026</v>
      </c>
      <c r="B2" s="2441"/>
      <c r="C2" s="2441"/>
      <c r="D2" s="2441"/>
    </row>
    <row r="3" spans="1:11" s="1215" customFormat="1" ht="12.75" x14ac:dyDescent="0.2">
      <c r="A3" s="2439" t="s">
        <v>1593</v>
      </c>
      <c r="B3" s="2435"/>
      <c r="C3" s="2435"/>
      <c r="D3" s="243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3" t="str">
        <f>'Single Audit Cover'!A7</f>
        <v>Hutsonville CUSD 1</v>
      </c>
      <c r="B1" s="2443"/>
      <c r="C1" s="2443"/>
      <c r="D1" s="2443"/>
      <c r="E1" s="2443"/>
    </row>
    <row r="2" spans="1:5" x14ac:dyDescent="0.2">
      <c r="A2" s="2444">
        <f>'Single Audit Cover'!E7</f>
        <v>12017001026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60" t="s">
        <v>1305</v>
      </c>
    </row>
    <row r="10" spans="1:5" x14ac:dyDescent="0.2">
      <c r="A10" s="1261" t="s">
        <v>1304</v>
      </c>
      <c r="B10" s="1262" t="s">
        <v>1303</v>
      </c>
      <c r="C10" s="1262"/>
      <c r="D10" s="1263">
        <f>SUM('Acct Summary 7-8'!C7:K7)</f>
        <v>222290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19154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241444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5"/>
      <c r="B24" s="2445"/>
      <c r="D24" s="1268"/>
    </row>
    <row r="25" spans="1:4" x14ac:dyDescent="0.2">
      <c r="A25" s="2442"/>
      <c r="B25" s="2442"/>
      <c r="D25" s="1268"/>
    </row>
    <row r="26" spans="1:4" x14ac:dyDescent="0.2">
      <c r="A26" s="2442"/>
      <c r="B26" s="2442"/>
      <c r="D26" s="1268"/>
    </row>
    <row r="27" spans="1:4" x14ac:dyDescent="0.2">
      <c r="A27" s="2442"/>
      <c r="B27" s="2442"/>
      <c r="D27" s="1268"/>
    </row>
    <row r="28" spans="1:4" x14ac:dyDescent="0.2">
      <c r="A28" s="2442"/>
      <c r="B28" s="2442"/>
      <c r="D28" s="1268"/>
    </row>
    <row r="29" spans="1:4" x14ac:dyDescent="0.2">
      <c r="A29" s="2442"/>
      <c r="B29" s="2442"/>
      <c r="D29" s="1268"/>
    </row>
    <row r="30" spans="1:4" x14ac:dyDescent="0.2">
      <c r="A30" s="2442"/>
      <c r="B30" s="2442"/>
      <c r="D30" s="1268"/>
    </row>
    <row r="32" spans="1:4" x14ac:dyDescent="0.2">
      <c r="A32" s="1260" t="s">
        <v>1295</v>
      </c>
      <c r="D32" s="1263">
        <f>SUM(D19:D30)</f>
        <v>241444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2"/>
      <c r="B40" s="2442"/>
      <c r="D40" s="1268"/>
    </row>
    <row r="41" spans="1:4" x14ac:dyDescent="0.2">
      <c r="A41" s="2442"/>
      <c r="B41" s="2442"/>
      <c r="D41" s="1271"/>
    </row>
    <row r="42" spans="1:4" x14ac:dyDescent="0.2">
      <c r="A42" s="2442"/>
      <c r="B42" s="2442"/>
      <c r="D42" s="1271"/>
    </row>
    <row r="43" spans="1:4" x14ac:dyDescent="0.2">
      <c r="A43" s="2442"/>
      <c r="B43" s="2442"/>
      <c r="D43" s="1271"/>
    </row>
    <row r="44" spans="1:4" x14ac:dyDescent="0.2">
      <c r="A44" s="2442"/>
      <c r="B44" s="2442"/>
      <c r="D44" s="1271"/>
    </row>
    <row r="45" spans="1:4" x14ac:dyDescent="0.2">
      <c r="A45" s="2442"/>
      <c r="B45" s="2442"/>
      <c r="D45" s="1271"/>
    </row>
    <row r="47" spans="1:4" x14ac:dyDescent="0.2">
      <c r="B47" s="1272" t="s">
        <v>1289</v>
      </c>
      <c r="C47" s="1272"/>
      <c r="D47" s="1273">
        <f>SUM(D35:D45)</f>
        <v>0</v>
      </c>
    </row>
    <row r="49" spans="2:4" x14ac:dyDescent="0.2">
      <c r="B49" s="1272" t="s">
        <v>1288</v>
      </c>
      <c r="C49" s="1272"/>
      <c r="D49" s="1273">
        <f>D32-D47</f>
        <v>241444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Hutsonville CUSD 1</v>
      </c>
      <c r="B1" s="2448"/>
      <c r="C1" s="2448"/>
      <c r="D1" s="2448"/>
      <c r="E1" s="2448"/>
      <c r="F1" s="2448"/>
    </row>
    <row r="2" spans="1:7" ht="13.5" customHeight="1" x14ac:dyDescent="0.2">
      <c r="A2" s="2449">
        <f>'Single Audit Cover'!E7</f>
        <v>12017001026</v>
      </c>
      <c r="B2" s="2449"/>
      <c r="C2" s="2449"/>
      <c r="D2" s="2449"/>
      <c r="E2" s="2449"/>
      <c r="F2" s="2449"/>
      <c r="G2" s="1275"/>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6" t="s">
        <v>1831</v>
      </c>
      <c r="C6" s="317"/>
      <c r="D6" s="317"/>
    </row>
    <row r="7" spans="1:7" ht="60.95" customHeight="1" x14ac:dyDescent="0.2">
      <c r="A7" s="2447" t="s">
        <v>1832</v>
      </c>
      <c r="B7" s="2447"/>
      <c r="C7" s="2447"/>
      <c r="D7" s="2447"/>
      <c r="E7" s="2447"/>
      <c r="F7" s="244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447" t="s">
        <v>1834</v>
      </c>
      <c r="B13" s="2447"/>
      <c r="C13" s="2447"/>
      <c r="D13" s="2447"/>
      <c r="E13" s="2447"/>
      <c r="F13" s="2447"/>
    </row>
    <row r="14" spans="1:7" ht="9.75" customHeight="1" x14ac:dyDescent="0.2">
      <c r="C14" s="1260"/>
      <c r="D14" s="1260"/>
    </row>
    <row r="15" spans="1:7" ht="13.5" customHeight="1" x14ac:dyDescent="0.2">
      <c r="C15" s="1866" t="s">
        <v>1332</v>
      </c>
      <c r="D15" s="2453" t="s">
        <v>1331</v>
      </c>
      <c r="E15" s="2453"/>
      <c r="F15" s="2453"/>
    </row>
    <row r="16" spans="1:7" ht="13.5" customHeight="1" x14ac:dyDescent="0.2">
      <c r="A16" s="1282"/>
      <c r="B16" s="1276" t="s">
        <v>1330</v>
      </c>
      <c r="C16" s="1866" t="s">
        <v>1329</v>
      </c>
      <c r="D16" s="2454" t="s">
        <v>1670</v>
      </c>
      <c r="E16" s="2454"/>
      <c r="F16" s="2454"/>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3"/>
      <c r="E30" s="1286"/>
    </row>
    <row r="31" spans="1:6" ht="12" customHeight="1" x14ac:dyDescent="0.2">
      <c r="A31" s="1287" t="s">
        <v>1630</v>
      </c>
      <c r="B31" s="328"/>
      <c r="C31" s="1478"/>
      <c r="D31" s="1923"/>
      <c r="E31" s="1286"/>
    </row>
    <row r="32" spans="1:6" ht="30" customHeight="1" x14ac:dyDescent="0.2">
      <c r="A32" s="2456" t="s">
        <v>1835</v>
      </c>
      <c r="B32" s="2456"/>
      <c r="C32" s="2456"/>
      <c r="D32" s="2456"/>
      <c r="E32" s="2456"/>
      <c r="F32" s="2456"/>
    </row>
    <row r="33" spans="1:6" ht="13.5" customHeight="1" x14ac:dyDescent="0.2">
      <c r="A33" s="328" t="s">
        <v>1509</v>
      </c>
      <c r="B33" s="328"/>
      <c r="C33" s="1288">
        <v>0</v>
      </c>
      <c r="D33" s="1923"/>
      <c r="E33" s="1286"/>
    </row>
    <row r="34" spans="1:6" ht="13.5" customHeight="1" x14ac:dyDescent="0.2">
      <c r="A34" s="328" t="s">
        <v>1949</v>
      </c>
      <c r="B34" s="328"/>
      <c r="C34" s="1289">
        <v>0</v>
      </c>
      <c r="D34" s="1923" t="s">
        <v>1671</v>
      </c>
      <c r="E34" s="2457">
        <f>+C33+C34</f>
        <v>0</v>
      </c>
      <c r="F34" s="2458"/>
    </row>
    <row r="35" spans="1:6" ht="12" customHeight="1" x14ac:dyDescent="0.2">
      <c r="A35" s="328"/>
      <c r="B35" s="328"/>
      <c r="C35" s="1924"/>
      <c r="D35" s="1923"/>
      <c r="E35" s="1290"/>
      <c r="F35" s="1291"/>
    </row>
    <row r="36" spans="1:6" ht="13.5" customHeight="1" x14ac:dyDescent="0.2">
      <c r="A36" s="1287" t="s">
        <v>1631</v>
      </c>
      <c r="B36" s="328"/>
      <c r="C36" s="1478"/>
      <c r="D36" s="1923"/>
      <c r="E36" s="1286"/>
    </row>
    <row r="37" spans="1:6" ht="14.25" customHeight="1" x14ac:dyDescent="0.2">
      <c r="A37" s="328" t="s">
        <v>1563</v>
      </c>
      <c r="B37" s="328"/>
      <c r="C37" s="1925"/>
      <c r="D37" s="1923"/>
      <c r="E37" s="1286"/>
    </row>
    <row r="38" spans="1:6" ht="14.25" customHeight="1" x14ac:dyDescent="0.2">
      <c r="A38" s="328"/>
      <c r="B38" s="328" t="s">
        <v>1510</v>
      </c>
      <c r="C38" s="1292"/>
      <c r="D38" s="1923"/>
      <c r="E38" s="1286"/>
    </row>
    <row r="39" spans="1:6" ht="14.25" customHeight="1" x14ac:dyDescent="0.2">
      <c r="A39" s="328"/>
      <c r="B39" s="328" t="s">
        <v>1511</v>
      </c>
      <c r="C39" s="1292"/>
      <c r="D39" s="1923"/>
      <c r="E39" s="1286"/>
    </row>
    <row r="40" spans="1:6" ht="14.25" customHeight="1" x14ac:dyDescent="0.2">
      <c r="A40" s="328"/>
      <c r="B40" s="328" t="s">
        <v>1512</v>
      </c>
      <c r="C40" s="1292"/>
      <c r="D40" s="1923"/>
      <c r="E40" s="1286"/>
    </row>
    <row r="41" spans="1:6" ht="14.25" customHeight="1" x14ac:dyDescent="0.2">
      <c r="A41" s="328"/>
      <c r="B41" s="328" t="s">
        <v>1513</v>
      </c>
      <c r="C41" s="1292"/>
      <c r="D41" s="1923"/>
      <c r="E41" s="1286"/>
    </row>
    <row r="42" spans="1:6" ht="14.25" customHeight="1" x14ac:dyDescent="0.2">
      <c r="A42" s="328" t="s">
        <v>1514</v>
      </c>
      <c r="B42" s="328"/>
      <c r="C42" s="1921"/>
      <c r="D42" s="1923"/>
      <c r="E42" s="1286"/>
    </row>
    <row r="43" spans="1:6" ht="14.25" customHeight="1" x14ac:dyDescent="0.2">
      <c r="A43" s="328" t="s">
        <v>1515</v>
      </c>
      <c r="B43" s="328"/>
      <c r="C43" s="1293"/>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65"/>
      <c r="C50" s="1865"/>
      <c r="D50" s="1865"/>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J26" sqref="J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4" t="str">
        <f>'Single Audit Cover'!A7</f>
        <v>Hutsonville CUSD 1</v>
      </c>
      <c r="C1" s="2460"/>
      <c r="D1" s="2460"/>
      <c r="E1" s="2460"/>
      <c r="F1" s="2460"/>
      <c r="G1" s="2460"/>
      <c r="H1" s="2460"/>
      <c r="I1" s="2460"/>
      <c r="J1" s="2460"/>
      <c r="K1" s="2460"/>
      <c r="L1" s="2460"/>
      <c r="M1" s="2460"/>
    </row>
    <row r="2" spans="2:14" ht="15" x14ac:dyDescent="0.2">
      <c r="B2" s="2449">
        <f>'Single Audit Cover'!E7</f>
        <v>12017001026</v>
      </c>
      <c r="C2" s="2449"/>
      <c r="D2" s="2449"/>
      <c r="E2" s="2449"/>
      <c r="F2" s="2449"/>
      <c r="G2" s="2449"/>
      <c r="H2" s="2449"/>
      <c r="I2" s="2449"/>
      <c r="J2" s="2449"/>
      <c r="K2" s="2449"/>
      <c r="L2" s="2449"/>
      <c r="M2" s="2449"/>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2147</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C15" sqref="C1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Hutsonville CUSD 1</v>
      </c>
      <c r="C1" s="2468"/>
      <c r="D1" s="2468"/>
      <c r="E1" s="2468"/>
      <c r="F1" s="2468"/>
      <c r="G1" s="2468"/>
      <c r="H1" s="2468"/>
      <c r="I1" s="2468"/>
      <c r="J1" s="1422"/>
    </row>
    <row r="2" spans="2:10" s="317" customFormat="1" ht="12.75" customHeight="1" x14ac:dyDescent="0.2">
      <c r="B2" s="2469">
        <f>'Single Audit Cover'!E7</f>
        <v>12017001026</v>
      </c>
      <c r="C2" s="2470"/>
      <c r="D2" s="2470"/>
      <c r="E2" s="2470"/>
      <c r="F2" s="2470"/>
      <c r="G2" s="2470"/>
      <c r="H2" s="2470"/>
      <c r="I2" s="2470"/>
      <c r="J2" s="1422"/>
    </row>
    <row r="3" spans="2:10" s="317" customFormat="1" ht="12.75" customHeight="1" x14ac:dyDescent="0.2">
      <c r="B3" s="2471" t="s">
        <v>1347</v>
      </c>
      <c r="C3" s="2472"/>
      <c r="D3" s="2472"/>
      <c r="E3" s="2472"/>
      <c r="F3" s="2472"/>
      <c r="G3" s="2472"/>
      <c r="H3" s="2472"/>
      <c r="I3" s="2472"/>
      <c r="J3" s="1423"/>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1" t="s">
        <v>1346</v>
      </c>
      <c r="C7" s="2472"/>
      <c r="D7" s="2472"/>
      <c r="E7" s="2472"/>
      <c r="F7" s="2472"/>
      <c r="G7" s="2472"/>
      <c r="H7" s="2472"/>
      <c r="I7" s="247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3"/>
      <c r="D11" s="247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4"/>
      <c r="E29" s="2474"/>
      <c r="F29" s="2474"/>
      <c r="G29" s="2474"/>
      <c r="H29" s="2474"/>
      <c r="I29" s="247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5" t="s">
        <v>1854</v>
      </c>
      <c r="D37" s="2476"/>
      <c r="E37" s="2476"/>
      <c r="F37" s="2477"/>
      <c r="G37" s="2475" t="s">
        <v>1674</v>
      </c>
      <c r="H37" s="2476"/>
      <c r="I37" s="2477"/>
    </row>
    <row r="38" spans="2:9" ht="16.5" customHeight="1" x14ac:dyDescent="0.2">
      <c r="B38" s="1444"/>
      <c r="C38" s="2463"/>
      <c r="D38" s="2464"/>
      <c r="E38" s="2464"/>
      <c r="F38" s="2465"/>
      <c r="G38" s="2478"/>
      <c r="H38" s="2479"/>
      <c r="I38" s="2480"/>
    </row>
    <row r="39" spans="2:9" ht="16.5" customHeight="1" x14ac:dyDescent="0.2">
      <c r="B39" s="1444"/>
      <c r="C39" s="2463"/>
      <c r="D39" s="2464"/>
      <c r="E39" s="2464"/>
      <c r="F39" s="2465"/>
      <c r="G39" s="2466"/>
      <c r="H39" s="2466"/>
      <c r="I39" s="2466"/>
    </row>
    <row r="40" spans="2:9" ht="16.5" customHeight="1" x14ac:dyDescent="0.2">
      <c r="B40" s="1444"/>
      <c r="C40" s="2463"/>
      <c r="D40" s="2464"/>
      <c r="E40" s="2464"/>
      <c r="F40" s="2465"/>
      <c r="G40" s="2466"/>
      <c r="H40" s="2466"/>
      <c r="I40" s="2466"/>
    </row>
    <row r="41" spans="2:9" ht="16.5" customHeight="1" x14ac:dyDescent="0.2">
      <c r="B41" s="1444"/>
      <c r="C41" s="2463"/>
      <c r="D41" s="2464"/>
      <c r="E41" s="2464"/>
      <c r="F41" s="2465"/>
      <c r="G41" s="2466"/>
      <c r="H41" s="2466"/>
      <c r="I41" s="2466"/>
    </row>
    <row r="42" spans="2:9" ht="16.5" customHeight="1" x14ac:dyDescent="0.2">
      <c r="B42" s="1444"/>
      <c r="C42" s="2463"/>
      <c r="D42" s="2464"/>
      <c r="E42" s="2464"/>
      <c r="F42" s="2465"/>
      <c r="G42" s="2466"/>
      <c r="H42" s="2466"/>
      <c r="I42" s="2466"/>
    </row>
    <row r="43" spans="2:9" ht="16.5" customHeight="1" x14ac:dyDescent="0.2">
      <c r="B43" s="1444"/>
      <c r="C43" s="2481" t="s">
        <v>1675</v>
      </c>
      <c r="D43" s="2482"/>
      <c r="E43" s="2482"/>
      <c r="F43" s="2483"/>
      <c r="G43" s="2484">
        <f>SUM(G38:I42)</f>
        <v>0</v>
      </c>
      <c r="H43" s="2484"/>
      <c r="I43" s="2484"/>
    </row>
    <row r="44" spans="2:9" ht="12.75" customHeight="1" x14ac:dyDescent="0.2"/>
    <row r="45" spans="2:9" ht="12.75" customHeight="1" x14ac:dyDescent="0.2">
      <c r="B45" s="1435" t="s">
        <v>1952</v>
      </c>
      <c r="D45" s="2485">
        <v>0</v>
      </c>
      <c r="E45" s="248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7"/>
      <c r="F49" s="2487"/>
      <c r="G49" s="248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Hutsonville CUSD 1</v>
      </c>
      <c r="C1" s="2467"/>
      <c r="D1" s="2467"/>
      <c r="E1" s="2467"/>
      <c r="F1" s="2467"/>
      <c r="G1" s="2467"/>
      <c r="H1" s="2467"/>
      <c r="I1" s="2467"/>
      <c r="J1" s="2467"/>
      <c r="K1" s="2467"/>
      <c r="L1" s="1374"/>
      <c r="M1" s="1374"/>
    </row>
    <row r="2" spans="1:13" ht="12" customHeight="1" x14ac:dyDescent="0.2">
      <c r="B2" s="2469">
        <f>'Single Audit Cover'!E7</f>
        <v>12017001026</v>
      </c>
      <c r="C2" s="2469"/>
      <c r="D2" s="2469"/>
      <c r="E2" s="2469"/>
      <c r="F2" s="2469"/>
      <c r="G2" s="2469"/>
      <c r="H2" s="2469"/>
      <c r="I2" s="2469"/>
      <c r="J2" s="2469"/>
      <c r="K2" s="2469"/>
      <c r="L2" s="1375"/>
      <c r="M2" s="1376"/>
    </row>
    <row r="3" spans="1:13" ht="10.35" customHeight="1" x14ac:dyDescent="0.2">
      <c r="B3" s="2490" t="s">
        <v>1347</v>
      </c>
      <c r="C3" s="2490"/>
      <c r="D3" s="2490"/>
      <c r="E3" s="2490"/>
      <c r="F3" s="2490"/>
      <c r="G3" s="2490"/>
      <c r="H3" s="2490"/>
      <c r="I3" s="2490"/>
      <c r="J3" s="2490"/>
      <c r="K3" s="2490"/>
      <c r="L3" s="1377"/>
      <c r="M3" s="1377"/>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1" t="s">
        <v>1363</v>
      </c>
      <c r="C7" s="2491"/>
      <c r="D7" s="2492"/>
      <c r="E7" s="2492"/>
      <c r="F7" s="2492"/>
      <c r="G7" s="2492"/>
      <c r="H7" s="2492"/>
      <c r="I7" s="2492"/>
      <c r="J7" s="2492"/>
      <c r="K7" s="249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2082</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9" t="s">
        <v>2105</v>
      </c>
      <c r="C14" s="2489"/>
      <c r="D14" s="2489"/>
      <c r="E14" s="2489"/>
      <c r="F14" s="2489"/>
      <c r="G14" s="2489"/>
      <c r="H14" s="2489"/>
      <c r="I14" s="2489"/>
      <c r="J14" s="2489"/>
      <c r="K14" s="248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9" t="s">
        <v>2106</v>
      </c>
      <c r="C17" s="2489"/>
      <c r="D17" s="2489"/>
      <c r="E17" s="2489"/>
      <c r="F17" s="2489"/>
      <c r="G17" s="2489"/>
      <c r="H17" s="2489"/>
      <c r="I17" s="2489"/>
      <c r="J17" s="2489"/>
      <c r="K17" s="248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3" t="s">
        <v>2107</v>
      </c>
      <c r="C20" s="2493"/>
      <c r="D20" s="2489"/>
      <c r="E20" s="2489"/>
      <c r="F20" s="2489"/>
      <c r="G20" s="2489"/>
      <c r="H20" s="2489"/>
      <c r="I20" s="2489"/>
      <c r="J20" s="2489"/>
      <c r="K20" s="248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9" t="s">
        <v>2108</v>
      </c>
      <c r="C23" s="2489"/>
      <c r="D23" s="2489"/>
      <c r="E23" s="2489"/>
      <c r="F23" s="2489"/>
      <c r="G23" s="2489"/>
      <c r="H23" s="2489"/>
      <c r="I23" s="2489"/>
      <c r="J23" s="2489"/>
      <c r="K23" s="248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9" t="s">
        <v>2109</v>
      </c>
      <c r="C26" s="2489"/>
      <c r="D26" s="2489"/>
      <c r="E26" s="2489"/>
      <c r="F26" s="2489"/>
      <c r="G26" s="2489"/>
      <c r="H26" s="2489"/>
      <c r="I26" s="2489"/>
      <c r="J26" s="2489"/>
      <c r="K26" s="248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8" t="s">
        <v>2110</v>
      </c>
      <c r="C29" s="2488"/>
      <c r="D29" s="2489"/>
      <c r="E29" s="2489"/>
      <c r="F29" s="2489"/>
      <c r="G29" s="2489"/>
      <c r="H29" s="2489"/>
      <c r="I29" s="2489"/>
      <c r="J29" s="2489"/>
      <c r="K29" s="248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8" t="s">
        <v>2111</v>
      </c>
      <c r="C32" s="2488"/>
      <c r="D32" s="2489"/>
      <c r="E32" s="2489"/>
      <c r="F32" s="2489"/>
      <c r="G32" s="2489"/>
      <c r="H32" s="2489"/>
      <c r="I32" s="2489"/>
      <c r="J32" s="2489"/>
      <c r="K32" s="248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Hutsonville CUSD 1</v>
      </c>
      <c r="C1" s="2467"/>
      <c r="D1" s="2467"/>
      <c r="E1" s="2467"/>
      <c r="F1" s="2467"/>
      <c r="G1" s="2467"/>
      <c r="H1" s="2467"/>
      <c r="I1" s="2467"/>
      <c r="J1" s="2467"/>
      <c r="K1" s="2467"/>
      <c r="L1" s="1374"/>
      <c r="M1" s="1374"/>
    </row>
    <row r="2" spans="1:13" ht="12" customHeight="1" x14ac:dyDescent="0.2">
      <c r="B2" s="2469">
        <f>'Single Audit Cover'!E7</f>
        <v>12017001026</v>
      </c>
      <c r="C2" s="2469"/>
      <c r="D2" s="2469"/>
      <c r="E2" s="2469"/>
      <c r="F2" s="2469"/>
      <c r="G2" s="2469"/>
      <c r="H2" s="2469"/>
      <c r="I2" s="2469"/>
      <c r="J2" s="2469"/>
      <c r="K2" s="2469"/>
      <c r="L2" s="1375"/>
      <c r="M2" s="1376"/>
    </row>
    <row r="3" spans="1:13" ht="10.35" customHeight="1" x14ac:dyDescent="0.2">
      <c r="B3" s="2490" t="s">
        <v>1347</v>
      </c>
      <c r="C3" s="2490"/>
      <c r="D3" s="2490"/>
      <c r="E3" s="2490"/>
      <c r="F3" s="2490"/>
      <c r="G3" s="2490"/>
      <c r="H3" s="2490"/>
      <c r="I3" s="2490"/>
      <c r="J3" s="2490"/>
      <c r="K3" s="2490"/>
      <c r="L3" s="1949"/>
      <c r="M3" s="1949"/>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1" t="s">
        <v>1363</v>
      </c>
      <c r="C7" s="2491"/>
      <c r="D7" s="2492"/>
      <c r="E7" s="2492"/>
      <c r="F7" s="2492"/>
      <c r="G7" s="2492"/>
      <c r="H7" s="2492"/>
      <c r="I7" s="2492"/>
      <c r="J7" s="2492"/>
      <c r="K7" s="249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2082</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9" t="s">
        <v>2112</v>
      </c>
      <c r="C14" s="2489"/>
      <c r="D14" s="2489"/>
      <c r="E14" s="2489"/>
      <c r="F14" s="2489"/>
      <c r="G14" s="2489"/>
      <c r="H14" s="2489"/>
      <c r="I14" s="2489"/>
      <c r="J14" s="2489"/>
      <c r="K14" s="248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9" t="s">
        <v>2113</v>
      </c>
      <c r="C17" s="2489"/>
      <c r="D17" s="2489"/>
      <c r="E17" s="2489"/>
      <c r="F17" s="2489"/>
      <c r="G17" s="2489"/>
      <c r="H17" s="2489"/>
      <c r="I17" s="2489"/>
      <c r="J17" s="2489"/>
      <c r="K17" s="248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3" t="s">
        <v>2114</v>
      </c>
      <c r="C20" s="2493"/>
      <c r="D20" s="2489"/>
      <c r="E20" s="2489"/>
      <c r="F20" s="2489"/>
      <c r="G20" s="2489"/>
      <c r="H20" s="2489"/>
      <c r="I20" s="2489"/>
      <c r="J20" s="2489"/>
      <c r="K20" s="248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9" t="s">
        <v>2115</v>
      </c>
      <c r="C23" s="2489"/>
      <c r="D23" s="2489"/>
      <c r="E23" s="2489"/>
      <c r="F23" s="2489"/>
      <c r="G23" s="2489"/>
      <c r="H23" s="2489"/>
      <c r="I23" s="2489"/>
      <c r="J23" s="2489"/>
      <c r="K23" s="248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9" t="s">
        <v>2116</v>
      </c>
      <c r="C26" s="2489"/>
      <c r="D26" s="2489"/>
      <c r="E26" s="2489"/>
      <c r="F26" s="2489"/>
      <c r="G26" s="2489"/>
      <c r="H26" s="2489"/>
      <c r="I26" s="2489"/>
      <c r="J26" s="2489"/>
      <c r="K26" s="248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8" t="s">
        <v>2117</v>
      </c>
      <c r="C29" s="2488"/>
      <c r="D29" s="2489"/>
      <c r="E29" s="2489"/>
      <c r="F29" s="2489"/>
      <c r="G29" s="2489"/>
      <c r="H29" s="2489"/>
      <c r="I29" s="2489"/>
      <c r="J29" s="2489"/>
      <c r="K29" s="248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8" t="s">
        <v>2118</v>
      </c>
      <c r="C32" s="2488"/>
      <c r="D32" s="2489"/>
      <c r="E32" s="2489"/>
      <c r="F32" s="2489"/>
      <c r="G32" s="2489"/>
      <c r="H32" s="2489"/>
      <c r="I32" s="2489"/>
      <c r="J32" s="2489"/>
      <c r="K32" s="248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Hutsonville CUSD 1</v>
      </c>
      <c r="C1" s="2494"/>
      <c r="D1" s="2494"/>
      <c r="E1" s="2494"/>
      <c r="F1" s="2494"/>
      <c r="G1" s="2494"/>
      <c r="H1" s="2494"/>
      <c r="I1" s="2494"/>
      <c r="J1" s="2494"/>
      <c r="K1" s="2494"/>
      <c r="L1" s="1465"/>
    </row>
    <row r="2" spans="1:12" ht="12.75" customHeight="1" x14ac:dyDescent="0.2">
      <c r="B2" s="2495">
        <f>'Single Audit Cover'!E7</f>
        <v>12017001026</v>
      </c>
      <c r="C2" s="2495"/>
      <c r="D2" s="2495"/>
      <c r="E2" s="2495"/>
      <c r="F2" s="2495"/>
      <c r="G2" s="2495"/>
      <c r="H2" s="2495"/>
      <c r="I2" s="2495"/>
      <c r="J2" s="2495"/>
      <c r="K2" s="2495"/>
      <c r="L2" s="1466"/>
    </row>
    <row r="3" spans="1:12" ht="12.75" customHeight="1" x14ac:dyDescent="0.2">
      <c r="B3" s="2490" t="s">
        <v>1347</v>
      </c>
      <c r="C3" s="2490"/>
      <c r="D3" s="2490"/>
      <c r="E3" s="2490"/>
      <c r="F3" s="2490"/>
      <c r="G3" s="2490"/>
      <c r="H3" s="2490"/>
      <c r="I3" s="2490"/>
      <c r="J3" s="2490"/>
      <c r="K3" s="2490"/>
      <c r="L3" s="1377"/>
    </row>
    <row r="4" spans="1:12" ht="12.75" customHeight="1" x14ac:dyDescent="0.2">
      <c r="B4" s="2490" t="str">
        <f>'Single Audit Cover'!A4</f>
        <v>Year Ending June 30, 2018</v>
      </c>
      <c r="C4" s="2490"/>
      <c r="D4" s="2490"/>
      <c r="E4" s="2490"/>
      <c r="F4" s="2490"/>
      <c r="G4" s="2490"/>
      <c r="H4" s="2490"/>
      <c r="I4" s="2490"/>
      <c r="J4" s="2490"/>
      <c r="K4" s="2490"/>
      <c r="L4" s="1377"/>
    </row>
    <row r="5" spans="1:12" ht="5.25" customHeight="1" x14ac:dyDescent="0.2">
      <c r="B5" s="1260" t="s">
        <v>1231</v>
      </c>
      <c r="C5" s="1260"/>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4"/>
      <c r="G12" s="2474"/>
      <c r="H12" s="2474"/>
      <c r="I12" s="2474"/>
      <c r="J12" s="2474"/>
      <c r="K12" s="247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9"/>
      <c r="C20" s="2489"/>
      <c r="D20" s="2489"/>
      <c r="E20" s="2489"/>
      <c r="F20" s="2489"/>
      <c r="G20" s="2489"/>
      <c r="H20" s="2489"/>
      <c r="I20" s="2489"/>
      <c r="J20" s="2489"/>
      <c r="K20" s="248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7" sqref="D2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7" t="str">
        <f>'Single Audit Cover'!A7</f>
        <v>Hutsonville CUSD 1</v>
      </c>
      <c r="C1" s="2467"/>
      <c r="D1" s="2467"/>
      <c r="E1" s="1491"/>
    </row>
    <row r="2" spans="2:5" s="1282" customFormat="1" ht="12.75" customHeight="1" x14ac:dyDescent="0.2">
      <c r="B2" s="2469">
        <f>'Single Audit Cover'!E7</f>
        <v>12017001026</v>
      </c>
      <c r="C2" s="2469"/>
      <c r="D2" s="2469"/>
      <c r="E2" s="1492"/>
    </row>
    <row r="3" spans="2:5" ht="12.75" customHeight="1" x14ac:dyDescent="0.2">
      <c r="B3" s="2490" t="s">
        <v>1869</v>
      </c>
      <c r="C3" s="2490"/>
      <c r="D3" s="2490"/>
      <c r="E3" s="1274"/>
    </row>
    <row r="4" spans="2:5" s="1282" customFormat="1" ht="12.75" customHeight="1" x14ac:dyDescent="0.2">
      <c r="B4" s="2500" t="str">
        <f>'Single Audit Cover'!A4</f>
        <v>Year Ending June 30, 2018</v>
      </c>
      <c r="C4" s="2500"/>
      <c r="D4" s="250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2145</v>
      </c>
      <c r="C7" s="324" t="s">
        <v>2119</v>
      </c>
      <c r="D7" s="324" t="s">
        <v>2126</v>
      </c>
      <c r="E7" s="324"/>
    </row>
    <row r="8" spans="2:5" ht="13.5" customHeight="1" x14ac:dyDescent="0.2">
      <c r="B8" s="1496"/>
      <c r="C8" s="324" t="s">
        <v>2120</v>
      </c>
      <c r="D8" s="324"/>
      <c r="E8" s="324"/>
    </row>
    <row r="9" spans="2:5" ht="13.5" customHeight="1" x14ac:dyDescent="0.2">
      <c r="B9" s="1497"/>
      <c r="C9" s="323" t="s">
        <v>2121</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t="s">
        <v>2146</v>
      </c>
      <c r="C12" s="323" t="s">
        <v>2122</v>
      </c>
      <c r="D12" s="323" t="s">
        <v>2127</v>
      </c>
      <c r="E12" s="323"/>
    </row>
    <row r="13" spans="2:5" ht="13.5" customHeight="1" x14ac:dyDescent="0.2">
      <c r="B13" s="1496"/>
      <c r="C13" s="323" t="s">
        <v>2123</v>
      </c>
      <c r="D13" s="323"/>
      <c r="E13" s="323"/>
    </row>
    <row r="14" spans="2:5" ht="13.5" customHeight="1" x14ac:dyDescent="0.2">
      <c r="B14" s="1496"/>
      <c r="C14" s="323" t="s">
        <v>2124</v>
      </c>
      <c r="D14" s="323"/>
      <c r="E14" s="323"/>
    </row>
    <row r="15" spans="2:5" ht="13.5" customHeight="1" x14ac:dyDescent="0.2">
      <c r="B15" s="1496"/>
      <c r="C15" s="323" t="s">
        <v>2125</v>
      </c>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23503168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2.5999999999999999E-2</v>
      </c>
      <c r="E10" s="356" t="s">
        <v>1062</v>
      </c>
      <c r="F10" s="355">
        <v>5.0000000000000001E-3</v>
      </c>
      <c r="G10" s="356" t="s">
        <v>1062</v>
      </c>
      <c r="H10" s="355">
        <v>2E-3</v>
      </c>
      <c r="I10" s="356" t="s">
        <v>1063</v>
      </c>
      <c r="J10" s="1751">
        <f>ROUND(D10+F10+H10,5)</f>
        <v>3.3000000000000002E-2</v>
      </c>
      <c r="K10" s="222"/>
      <c r="L10" s="355">
        <v>5.0000000000000001E-4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3237604</v>
      </c>
      <c r="E16" s="356"/>
      <c r="F16" s="1752">
        <f>SUM('Acct Summary 7-8'!C17,'Acct Summary 7-8'!D17,'Acct Summary 7-8'!F17)</f>
        <v>3084646</v>
      </c>
      <c r="G16" s="356"/>
      <c r="H16" s="1752">
        <f>SUM(D16-F16)</f>
        <v>152958</v>
      </c>
      <c r="I16" s="222"/>
      <c r="J16" s="1752">
        <f>SUM('Acct Summary 7-8'!C81,'Acct Summary 7-8'!D81,'Acct Summary 7-8'!F81,'Acct Summary 7-8'!I81)</f>
        <v>1343489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3243437.1840000004</v>
      </c>
      <c r="I31" s="368"/>
      <c r="J31" s="222"/>
      <c r="K31" s="222"/>
      <c r="L31" s="222"/>
      <c r="M31" s="222"/>
    </row>
    <row r="32" spans="1:13" ht="13.35" customHeight="1" x14ac:dyDescent="0.2">
      <c r="B32" s="369" t="s">
        <v>2082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535200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Hutsonville CUSD 1</v>
      </c>
      <c r="E7" s="391"/>
      <c r="G7" s="252"/>
      <c r="H7" s="387"/>
      <c r="I7" s="387"/>
      <c r="J7" s="387"/>
      <c r="K7" s="387"/>
      <c r="L7" s="329"/>
      <c r="M7" s="329"/>
      <c r="N7" s="329"/>
      <c r="O7" s="329"/>
      <c r="P7" s="329"/>
    </row>
    <row r="8" spans="1:18" ht="12.75" x14ac:dyDescent="0.2">
      <c r="A8" s="329"/>
      <c r="B8" s="329"/>
      <c r="C8" s="389" t="s">
        <v>1187</v>
      </c>
      <c r="D8" s="392">
        <f>COVER!A13</f>
        <v>12017001026</v>
      </c>
      <c r="E8" s="393"/>
      <c r="G8" s="329"/>
      <c r="H8" s="329"/>
      <c r="I8" s="329"/>
      <c r="J8" s="329"/>
      <c r="K8" s="329"/>
      <c r="L8" s="329"/>
      <c r="M8" s="329"/>
      <c r="N8" s="329"/>
      <c r="O8" s="329"/>
      <c r="P8" s="329"/>
    </row>
    <row r="9" spans="1:18" ht="12.75" x14ac:dyDescent="0.2">
      <c r="A9" s="329"/>
      <c r="B9" s="329"/>
      <c r="C9" s="389" t="s">
        <v>737</v>
      </c>
      <c r="D9" s="394" t="str">
        <f>COVER!A15</f>
        <v>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1343489</v>
      </c>
      <c r="I12" s="404"/>
      <c r="J12" s="404"/>
      <c r="K12" s="405">
        <f>TRUNC((H12/H13*100000),5)/100000</f>
        <v>0.4149639671</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3237604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3084646</v>
      </c>
      <c r="I17" s="404"/>
      <c r="J17" s="416"/>
      <c r="K17" s="405">
        <f>TRUNC((H17/H18*100000),5)/100000</f>
        <v>0.95275580329999998</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3237604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1343489</v>
      </c>
      <c r="I24" s="422"/>
      <c r="J24" s="422"/>
      <c r="K24" s="423">
        <f>TRUNC(((H24/H25*100000)/100000),2)</f>
        <v>156.79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8568.4611100000002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659263.86239999998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535200</v>
      </c>
      <c r="I32" s="420"/>
      <c r="J32" s="420"/>
      <c r="K32" s="423">
        <f>TRUNC(100-((((H32/H33*100))*100)/100),2)</f>
        <v>83.49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3243437.1840000004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81"/>
      <c r="D3" s="1582"/>
      <c r="E3" s="1582"/>
      <c r="F3" s="1582"/>
      <c r="G3" s="1582"/>
      <c r="H3" s="1582"/>
      <c r="I3" s="1582"/>
      <c r="J3" s="1582"/>
      <c r="K3" s="1582"/>
      <c r="L3" s="1582"/>
      <c r="M3" s="1583"/>
      <c r="N3" s="1584"/>
    </row>
    <row r="4" spans="1:14" ht="13.5" customHeight="1" x14ac:dyDescent="0.2">
      <c r="A4" s="463" t="s">
        <v>1750</v>
      </c>
      <c r="B4" s="464"/>
      <c r="C4" s="465">
        <v>953650</v>
      </c>
      <c r="D4" s="466">
        <v>47962</v>
      </c>
      <c r="E4" s="466">
        <v>5908</v>
      </c>
      <c r="F4" s="466">
        <v>77110</v>
      </c>
      <c r="G4" s="466">
        <v>149229</v>
      </c>
      <c r="H4" s="466"/>
      <c r="I4" s="466">
        <v>264767</v>
      </c>
      <c r="J4" s="467"/>
      <c r="K4" s="466">
        <v>22210</v>
      </c>
      <c r="L4" s="466">
        <v>132912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953650</v>
      </c>
      <c r="D13" s="1756">
        <f t="shared" ref="D13:L13" si="0">SUM(D4:D12)</f>
        <v>47962</v>
      </c>
      <c r="E13" s="1756">
        <f t="shared" si="0"/>
        <v>5908</v>
      </c>
      <c r="F13" s="1756">
        <f t="shared" si="0"/>
        <v>77110</v>
      </c>
      <c r="G13" s="1756">
        <f t="shared" si="0"/>
        <v>149229</v>
      </c>
      <c r="H13" s="1756">
        <f t="shared" si="0"/>
        <v>0</v>
      </c>
      <c r="I13" s="1756">
        <f t="shared" si="0"/>
        <v>264767</v>
      </c>
      <c r="J13" s="1756">
        <f t="shared" si="0"/>
        <v>0</v>
      </c>
      <c r="K13" s="1756">
        <f t="shared" si="0"/>
        <v>22210</v>
      </c>
      <c r="L13" s="1756">
        <f t="shared" si="0"/>
        <v>132912</v>
      </c>
      <c r="M13" s="468"/>
      <c r="N13" s="469"/>
    </row>
    <row r="14" spans="1:14" ht="18" customHeight="1" thickTop="1" x14ac:dyDescent="0.2">
      <c r="A14" s="2124" t="s">
        <v>149</v>
      </c>
      <c r="B14" s="212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15425</v>
      </c>
      <c r="N16" s="484"/>
    </row>
    <row r="17" spans="1:14" s="485" customFormat="1" ht="12.75" customHeight="1" x14ac:dyDescent="0.2">
      <c r="A17" s="482" t="s">
        <v>1470</v>
      </c>
      <c r="B17" s="483">
        <v>230</v>
      </c>
      <c r="C17" s="477"/>
      <c r="D17" s="477"/>
      <c r="E17" s="477"/>
      <c r="F17" s="477"/>
      <c r="G17" s="477"/>
      <c r="H17" s="477"/>
      <c r="I17" s="477"/>
      <c r="J17" s="477"/>
      <c r="K17" s="477"/>
      <c r="L17" s="477"/>
      <c r="M17" s="467">
        <v>8056325</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972200</v>
      </c>
      <c r="N19" s="484"/>
    </row>
    <row r="20" spans="1:14" s="485" customFormat="1" ht="12.75" customHeight="1" x14ac:dyDescent="0.2">
      <c r="A20" s="482" t="s">
        <v>1473</v>
      </c>
      <c r="B20" s="483">
        <v>260</v>
      </c>
      <c r="C20" s="477"/>
      <c r="D20" s="477"/>
      <c r="E20" s="477"/>
      <c r="F20" s="477"/>
      <c r="G20" s="477"/>
      <c r="H20" s="477"/>
      <c r="I20" s="477"/>
      <c r="J20" s="477"/>
      <c r="K20" s="477"/>
      <c r="L20" s="477"/>
      <c r="M20" s="467">
        <v>49698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5908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529292</v>
      </c>
    </row>
    <row r="23" spans="1:14" ht="13.5" customHeight="1" thickBot="1" x14ac:dyDescent="0.25">
      <c r="A23" s="1755" t="s">
        <v>664</v>
      </c>
      <c r="B23" s="1760"/>
      <c r="C23" s="468"/>
      <c r="D23" s="468"/>
      <c r="E23" s="468"/>
      <c r="F23" s="468"/>
      <c r="G23" s="468"/>
      <c r="H23" s="468"/>
      <c r="I23" s="468"/>
      <c r="J23" s="468"/>
      <c r="K23" s="468"/>
      <c r="L23" s="468"/>
      <c r="M23" s="1707">
        <f>SUM(M15:M22)</f>
        <v>9093648</v>
      </c>
      <c r="N23" s="1707">
        <f>SUM(N21:N22)</f>
        <v>535200</v>
      </c>
    </row>
    <row r="24" spans="1:14" ht="18" customHeight="1" thickTop="1" x14ac:dyDescent="0.2">
      <c r="A24" s="2126" t="s">
        <v>619</v>
      </c>
      <c r="B24" s="212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132912</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132912</v>
      </c>
      <c r="M34" s="468"/>
      <c r="N34" s="480"/>
    </row>
    <row r="35" spans="1:14" ht="18" customHeight="1" thickTop="1" x14ac:dyDescent="0.2">
      <c r="A35" s="2128" t="s">
        <v>550</v>
      </c>
      <c r="B35" s="212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535200</v>
      </c>
    </row>
    <row r="37" spans="1:14" ht="13.5" thickBot="1" x14ac:dyDescent="0.25">
      <c r="A37" s="1755" t="s">
        <v>674</v>
      </c>
      <c r="B37" s="1760"/>
      <c r="C37" s="477"/>
      <c r="D37" s="477"/>
      <c r="E37" s="477"/>
      <c r="F37" s="477"/>
      <c r="G37" s="477"/>
      <c r="H37" s="477"/>
      <c r="I37" s="477"/>
      <c r="J37" s="477"/>
      <c r="K37" s="477"/>
      <c r="L37" s="480"/>
      <c r="M37" s="468"/>
      <c r="N37" s="1707">
        <f>SUM(N36:N36)</f>
        <v>535200</v>
      </c>
    </row>
    <row r="38" spans="1:14" s="329" customFormat="1" ht="13.5" customHeight="1" thickTop="1" x14ac:dyDescent="0.2">
      <c r="A38" s="496" t="s">
        <v>440</v>
      </c>
      <c r="B38" s="483">
        <v>714</v>
      </c>
      <c r="C38" s="466"/>
      <c r="D38" s="466"/>
      <c r="E38" s="466"/>
      <c r="F38" s="466"/>
      <c r="G38" s="466">
        <v>35720</v>
      </c>
      <c r="H38" s="466"/>
      <c r="I38" s="466"/>
      <c r="J38" s="467"/>
      <c r="K38" s="466"/>
      <c r="L38" s="481"/>
      <c r="M38" s="497"/>
      <c r="N38" s="497"/>
    </row>
    <row r="39" spans="1:14" s="329" customFormat="1" ht="13.5" customHeight="1" x14ac:dyDescent="0.2">
      <c r="A39" s="496" t="s">
        <v>360</v>
      </c>
      <c r="B39" s="483">
        <v>730</v>
      </c>
      <c r="C39" s="466">
        <v>953650</v>
      </c>
      <c r="D39" s="466">
        <v>47962</v>
      </c>
      <c r="E39" s="466">
        <v>5908</v>
      </c>
      <c r="F39" s="466">
        <v>77110</v>
      </c>
      <c r="G39" s="466">
        <v>113509</v>
      </c>
      <c r="H39" s="466"/>
      <c r="I39" s="466">
        <v>264767</v>
      </c>
      <c r="J39" s="467"/>
      <c r="K39" s="466">
        <v>22210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9093648</v>
      </c>
      <c r="N40" s="497"/>
    </row>
    <row r="41" spans="1:14" ht="13.5" customHeight="1" thickBot="1" x14ac:dyDescent="0.25">
      <c r="A41" s="1755" t="s">
        <v>676</v>
      </c>
      <c r="B41" s="1725"/>
      <c r="C41" s="1707">
        <f>(SUM(C34,C37,C38,C39))</f>
        <v>953650</v>
      </c>
      <c r="D41" s="1707">
        <f t="shared" ref="D41:L41" si="2">SUM(D34,D37,D38:D39)</f>
        <v>47962</v>
      </c>
      <c r="E41" s="1707">
        <f t="shared" si="2"/>
        <v>5908</v>
      </c>
      <c r="F41" s="1707">
        <f t="shared" si="2"/>
        <v>77110</v>
      </c>
      <c r="G41" s="1707">
        <f t="shared" si="2"/>
        <v>149229</v>
      </c>
      <c r="H41" s="1707">
        <f t="shared" si="2"/>
        <v>0</v>
      </c>
      <c r="I41" s="1707">
        <f t="shared" si="2"/>
        <v>264767</v>
      </c>
      <c r="J41" s="1707">
        <f t="shared" si="2"/>
        <v>0</v>
      </c>
      <c r="K41" s="1707">
        <f t="shared" si="2"/>
        <v>22210</v>
      </c>
      <c r="L41" s="1707">
        <f t="shared" si="2"/>
        <v>132912</v>
      </c>
      <c r="M41" s="1707">
        <f>SUM(M40)</f>
        <v>9093648</v>
      </c>
      <c r="N41" s="1707">
        <f>SUM(N37)</f>
        <v>535200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34" activePane="bottomLeft" state="frozenSplit"/>
      <selection activeCell="A47" sqref="A47"/>
      <selection pane="bottomLeft" activeCell="I60" sqref="I6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5"/>
      <c r="D3" s="1596"/>
      <c r="E3" s="1596"/>
      <c r="F3" s="1596"/>
      <c r="G3" s="1596"/>
      <c r="H3" s="1596"/>
      <c r="I3" s="1596"/>
      <c r="J3" s="1596"/>
      <c r="K3" s="1597"/>
      <c r="L3" s="506"/>
    </row>
    <row r="4" spans="1:13" ht="15.75" customHeight="1" x14ac:dyDescent="0.2">
      <c r="A4" s="1950" t="s">
        <v>1579</v>
      </c>
      <c r="B4" s="1951">
        <v>1000</v>
      </c>
      <c r="C4" s="1761">
        <f>'Revenues 9-14'!C109</f>
        <v>920978</v>
      </c>
      <c r="D4" s="1761">
        <f>'Revenues 9-14'!D109</f>
        <v>281814</v>
      </c>
      <c r="E4" s="1761">
        <f>'Revenues 9-14'!E109</f>
        <v>97941</v>
      </c>
      <c r="F4" s="1761">
        <f>'Revenues 9-14'!F109</f>
        <v>134105</v>
      </c>
      <c r="G4" s="1761">
        <f>'Revenues 9-14'!G109</f>
        <v>147301</v>
      </c>
      <c r="H4" s="1761">
        <f>'Revenues 9-14'!H109</f>
        <v>0</v>
      </c>
      <c r="I4" s="1761">
        <f>'Revenues 9-14'!I109</f>
        <v>11949</v>
      </c>
      <c r="J4" s="1761">
        <f>'Revenues 9-14'!J109</f>
        <v>175806</v>
      </c>
      <c r="K4" s="1761">
        <f>'Revenues 9-14'!K109</f>
        <v>11464</v>
      </c>
      <c r="L4" s="347"/>
    </row>
    <row r="5" spans="1:13" ht="15.75" customHeight="1" x14ac:dyDescent="0.2">
      <c r="A5" s="1598" t="s">
        <v>1580</v>
      </c>
      <c r="B5" s="1599">
        <v>2000</v>
      </c>
      <c r="C5" s="1762">
        <f>'Revenues 9-14'!C114</f>
        <v>10700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1386794</v>
      </c>
      <c r="D6" s="1762">
        <f>'Revenues 9-14'!D173</f>
        <v>65000</v>
      </c>
      <c r="E6" s="1762">
        <f>'Revenues 9-14'!E173</f>
        <v>0</v>
      </c>
      <c r="F6" s="1762">
        <f>'Revenues 9-14'!F173</f>
        <v>203974</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222290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2540762</v>
      </c>
      <c r="D8" s="1707">
        <f t="shared" ref="D8:K8" si="0">SUM(D4:D7)</f>
        <v>346814</v>
      </c>
      <c r="E8" s="1707">
        <f t="shared" si="0"/>
        <v>97941</v>
      </c>
      <c r="F8" s="1707">
        <f t="shared" si="0"/>
        <v>338079</v>
      </c>
      <c r="G8" s="1707">
        <f t="shared" si="0"/>
        <v>147301</v>
      </c>
      <c r="H8" s="1707">
        <f t="shared" si="0"/>
        <v>0</v>
      </c>
      <c r="I8" s="1707">
        <f t="shared" si="0"/>
        <v>11949</v>
      </c>
      <c r="J8" s="1707">
        <f t="shared" si="0"/>
        <v>175806</v>
      </c>
      <c r="K8" s="1707">
        <f t="shared" si="0"/>
        <v>11464</v>
      </c>
      <c r="L8" s="347"/>
    </row>
    <row r="9" spans="1:13" ht="15.75" thickTop="1" x14ac:dyDescent="0.2">
      <c r="A9" s="514" t="s">
        <v>1752</v>
      </c>
      <c r="B9" s="515">
        <v>3998</v>
      </c>
      <c r="C9" s="481">
        <v>935721</v>
      </c>
      <c r="D9" s="516"/>
      <c r="E9" s="481"/>
      <c r="F9" s="481"/>
      <c r="G9" s="517"/>
      <c r="H9" s="481"/>
      <c r="I9" s="509" t="s">
        <v>1231</v>
      </c>
      <c r="J9" s="478"/>
      <c r="K9" s="481"/>
      <c r="L9" s="347"/>
    </row>
    <row r="10" spans="1:13" s="519" customFormat="1" ht="13.5" thickBot="1" x14ac:dyDescent="0.25">
      <c r="A10" s="1755" t="s">
        <v>1235</v>
      </c>
      <c r="B10" s="1728"/>
      <c r="C10" s="1707">
        <f>SUM(C8:C9)</f>
        <v>3476483</v>
      </c>
      <c r="D10" s="1707">
        <f t="shared" ref="D10:K10" si="1">SUM(D8:D9)</f>
        <v>346814</v>
      </c>
      <c r="E10" s="1707">
        <f t="shared" si="1"/>
        <v>97941</v>
      </c>
      <c r="F10" s="1707">
        <f t="shared" si="1"/>
        <v>338079</v>
      </c>
      <c r="G10" s="1707">
        <f t="shared" si="1"/>
        <v>147301</v>
      </c>
      <c r="H10" s="1707">
        <f t="shared" si="1"/>
        <v>0</v>
      </c>
      <c r="I10" s="1707">
        <f t="shared" si="1"/>
        <v>11949</v>
      </c>
      <c r="J10" s="1707">
        <f t="shared" si="1"/>
        <v>175806</v>
      </c>
      <c r="K10" s="1707">
        <f t="shared" si="1"/>
        <v>11464</v>
      </c>
      <c r="L10" s="518"/>
    </row>
    <row r="11" spans="1:13" s="519" customFormat="1" ht="16.7" customHeight="1" thickTop="1" x14ac:dyDescent="0.2">
      <c r="A11" s="2124" t="s">
        <v>1238</v>
      </c>
      <c r="B11" s="2125"/>
      <c r="C11" s="1592"/>
      <c r="D11" s="1593"/>
      <c r="E11" s="1593"/>
      <c r="F11" s="1593"/>
      <c r="G11" s="1593"/>
      <c r="H11" s="1593"/>
      <c r="I11" s="1593"/>
      <c r="J11" s="1593"/>
      <c r="K11" s="1594"/>
      <c r="L11" s="518"/>
    </row>
    <row r="12" spans="1:13" ht="15.75" customHeight="1" x14ac:dyDescent="0.2">
      <c r="A12" s="1598" t="s">
        <v>476</v>
      </c>
      <c r="B12" s="1600">
        <v>1000</v>
      </c>
      <c r="C12" s="1761">
        <f>'Expenditures 15-22'!K33</f>
        <v>1530501</v>
      </c>
      <c r="D12" s="520" t="s">
        <v>1231</v>
      </c>
      <c r="E12" s="468" t="s">
        <v>1231</v>
      </c>
      <c r="F12" s="468" t="s">
        <v>1231</v>
      </c>
      <c r="G12" s="1761">
        <f>'Expenditures 15-22'!K229</f>
        <v>49423</v>
      </c>
      <c r="H12" s="521"/>
      <c r="I12" s="468" t="s">
        <v>1231</v>
      </c>
      <c r="J12" s="468" t="s">
        <v>1231</v>
      </c>
      <c r="K12" s="521" t="s">
        <v>1231</v>
      </c>
      <c r="L12" s="347"/>
    </row>
    <row r="13" spans="1:13" ht="15.75" customHeight="1" x14ac:dyDescent="0.2">
      <c r="A13" s="1598" t="s">
        <v>477</v>
      </c>
      <c r="B13" s="1600">
        <v>2000</v>
      </c>
      <c r="C13" s="1762">
        <f>'Expenditures 15-22'!K74</f>
        <v>813224</v>
      </c>
      <c r="D13" s="1762">
        <f>'Expenditures 15-22'!K129</f>
        <v>338716</v>
      </c>
      <c r="E13" s="469" t="s">
        <v>1231</v>
      </c>
      <c r="F13" s="1762">
        <f>'Expenditures 15-22'!K184</f>
        <v>284014</v>
      </c>
      <c r="G13" s="1762">
        <f>'Expenditures 15-22'!K279</f>
        <v>93039</v>
      </c>
      <c r="H13" s="1762">
        <f>'Expenditures 15-22'!K303</f>
        <v>0</v>
      </c>
      <c r="I13" s="468" t="s">
        <v>1231</v>
      </c>
      <c r="J13" s="1762">
        <f>'Expenditures 15-22'!K330</f>
        <v>175806</v>
      </c>
      <c r="K13" s="1766">
        <f>'Expenditures 15-22'!K352</f>
        <v>1000</v>
      </c>
      <c r="L13" s="347"/>
    </row>
    <row r="14" spans="1:13" ht="15.75" customHeight="1" x14ac:dyDescent="0.2">
      <c r="A14" s="1598" t="s">
        <v>469</v>
      </c>
      <c r="B14" s="1600">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118191</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95885</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2461916</v>
      </c>
      <c r="D17" s="1707">
        <f t="shared" si="2"/>
        <v>338716</v>
      </c>
      <c r="E17" s="1707">
        <f t="shared" si="2"/>
        <v>95885</v>
      </c>
      <c r="F17" s="1707">
        <f t="shared" si="2"/>
        <v>284014</v>
      </c>
      <c r="G17" s="1707">
        <f t="shared" si="2"/>
        <v>142462</v>
      </c>
      <c r="H17" s="1707">
        <f t="shared" si="2"/>
        <v>0</v>
      </c>
      <c r="I17" s="468"/>
      <c r="J17" s="1707">
        <f>SUM(J12:J16)</f>
        <v>175806</v>
      </c>
      <c r="K17" s="1707">
        <f>SUM(K12:K16)</f>
        <v>1000</v>
      </c>
      <c r="L17" s="347"/>
    </row>
    <row r="18" spans="1:12" ht="15" customHeight="1" thickTop="1" x14ac:dyDescent="0.2">
      <c r="A18" s="1763" t="s">
        <v>1753</v>
      </c>
      <c r="B18" s="1764">
        <v>4180</v>
      </c>
      <c r="C18" s="1761">
        <f t="shared" ref="C18:H18" si="3">C9</f>
        <v>935721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3397637</v>
      </c>
      <c r="D19" s="1707">
        <f t="shared" si="4"/>
        <v>338716</v>
      </c>
      <c r="E19" s="1707">
        <f t="shared" si="4"/>
        <v>95885</v>
      </c>
      <c r="F19" s="1707">
        <f t="shared" si="4"/>
        <v>284014</v>
      </c>
      <c r="G19" s="1707">
        <f t="shared" si="4"/>
        <v>142462</v>
      </c>
      <c r="H19" s="1707">
        <f t="shared" si="4"/>
        <v>0</v>
      </c>
      <c r="I19" s="468"/>
      <c r="J19" s="1707">
        <f>SUM(J17:J18)</f>
        <v>175806</v>
      </c>
      <c r="K19" s="1707">
        <f>SUM(K17:K18)</f>
        <v>1000</v>
      </c>
      <c r="L19" s="347"/>
    </row>
    <row r="20" spans="1:12" ht="16.5" thickTop="1" thickBot="1" x14ac:dyDescent="0.25">
      <c r="A20" s="2140" t="s">
        <v>1754</v>
      </c>
      <c r="B20" s="2141"/>
      <c r="C20" s="1765">
        <f>C8-C17</f>
        <v>78846</v>
      </c>
      <c r="D20" s="1765">
        <f t="shared" ref="D20:K20" si="5">D8-D17</f>
        <v>8098</v>
      </c>
      <c r="E20" s="1765">
        <f t="shared" si="5"/>
        <v>2056</v>
      </c>
      <c r="F20" s="1765">
        <f t="shared" si="5"/>
        <v>54065</v>
      </c>
      <c r="G20" s="1765">
        <f t="shared" si="5"/>
        <v>4839</v>
      </c>
      <c r="H20" s="1765">
        <f t="shared" si="5"/>
        <v>0</v>
      </c>
      <c r="I20" s="1765">
        <f t="shared" si="5"/>
        <v>11949</v>
      </c>
      <c r="J20" s="1765">
        <f t="shared" si="5"/>
        <v>0</v>
      </c>
      <c r="K20" s="1765">
        <f t="shared" si="5"/>
        <v>10464</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0" t="s">
        <v>460</v>
      </c>
      <c r="B76" s="2131"/>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2" t="s">
        <v>1239</v>
      </c>
      <c r="B77" s="2133"/>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36" t="s">
        <v>618</v>
      </c>
      <c r="B78" s="2137"/>
      <c r="C78" s="1721">
        <f t="shared" ref="C78:K78" si="9">C20+C77</f>
        <v>78846</v>
      </c>
      <c r="D78" s="1721">
        <f t="shared" si="9"/>
        <v>8098</v>
      </c>
      <c r="E78" s="1721">
        <f t="shared" si="9"/>
        <v>2056</v>
      </c>
      <c r="F78" s="1721">
        <f t="shared" si="9"/>
        <v>54065</v>
      </c>
      <c r="G78" s="1721">
        <f t="shared" si="9"/>
        <v>4839</v>
      </c>
      <c r="H78" s="1721">
        <f t="shared" si="9"/>
        <v>0</v>
      </c>
      <c r="I78" s="1721">
        <f t="shared" si="9"/>
        <v>11949</v>
      </c>
      <c r="J78" s="1721">
        <f t="shared" si="9"/>
        <v>0</v>
      </c>
      <c r="K78" s="1721">
        <f t="shared" si="9"/>
        <v>10464</v>
      </c>
      <c r="L78" s="533"/>
    </row>
    <row r="79" spans="1:12" ht="13.5" thickTop="1" x14ac:dyDescent="0.2">
      <c r="A79" s="1516" t="s">
        <v>2073</v>
      </c>
      <c r="B79" s="534"/>
      <c r="C79" s="478">
        <v>874804</v>
      </c>
      <c r="D79" s="535">
        <v>39864</v>
      </c>
      <c r="E79" s="535">
        <v>3852</v>
      </c>
      <c r="F79" s="535">
        <v>23045</v>
      </c>
      <c r="G79" s="535">
        <v>144390</v>
      </c>
      <c r="H79" s="535">
        <v>0</v>
      </c>
      <c r="I79" s="535">
        <v>252818</v>
      </c>
      <c r="J79" s="535">
        <v>0</v>
      </c>
      <c r="K79" s="535">
        <v>11746</v>
      </c>
      <c r="L79" s="347"/>
    </row>
    <row r="80" spans="1:12" x14ac:dyDescent="0.2">
      <c r="A80" s="2142" t="s">
        <v>1898</v>
      </c>
      <c r="B80" s="2143"/>
      <c r="C80" s="467"/>
      <c r="D80" s="467"/>
      <c r="E80" s="467"/>
      <c r="F80" s="467"/>
      <c r="G80" s="467"/>
      <c r="H80" s="467"/>
      <c r="I80" s="467"/>
      <c r="J80" s="467"/>
      <c r="K80" s="467"/>
      <c r="L80" s="347"/>
    </row>
    <row r="81" spans="1:12" ht="13.5" thickBot="1" x14ac:dyDescent="0.25">
      <c r="A81" s="2134" t="s">
        <v>2074</v>
      </c>
      <c r="B81" s="2135"/>
      <c r="C81" s="1707">
        <f>(SUM(C78:C80))</f>
        <v>953650</v>
      </c>
      <c r="D81" s="1707">
        <f>SUM(D78:D80)</f>
        <v>47962</v>
      </c>
      <c r="E81" s="1707">
        <f t="shared" ref="E81:K81" si="10">SUM(E78:E80)</f>
        <v>5908</v>
      </c>
      <c r="F81" s="1707">
        <f t="shared" si="10"/>
        <v>77110</v>
      </c>
      <c r="G81" s="1707">
        <f t="shared" si="10"/>
        <v>149229</v>
      </c>
      <c r="H81" s="1707">
        <f t="shared" si="10"/>
        <v>0</v>
      </c>
      <c r="I81" s="1707">
        <f t="shared" si="10"/>
        <v>264767</v>
      </c>
      <c r="J81" s="1707">
        <f t="shared" si="10"/>
        <v>0</v>
      </c>
      <c r="K81" s="1707">
        <f t="shared" si="10"/>
        <v>22210</v>
      </c>
      <c r="L81" s="347"/>
    </row>
    <row r="82" spans="1:12" ht="0.75" customHeight="1" thickTop="1" thickBot="1" x14ac:dyDescent="0.25">
      <c r="A82" s="536" t="s">
        <v>361</v>
      </c>
      <c r="B82" s="537"/>
      <c r="C82" s="538">
        <f>(C81-C79)</f>
        <v>78846</v>
      </c>
      <c r="D82" s="538">
        <f t="shared" ref="D82:K82" si="11">(D81-D79)</f>
        <v>8098</v>
      </c>
      <c r="E82" s="538">
        <f t="shared" si="11"/>
        <v>2056</v>
      </c>
      <c r="F82" s="538">
        <f t="shared" si="11"/>
        <v>54065</v>
      </c>
      <c r="G82" s="538">
        <f t="shared" si="11"/>
        <v>4839</v>
      </c>
      <c r="H82" s="538">
        <f t="shared" si="11"/>
        <v>0</v>
      </c>
      <c r="I82" s="538">
        <f t="shared" si="11"/>
        <v>11949</v>
      </c>
      <c r="J82" s="538">
        <f t="shared" si="11"/>
        <v>0</v>
      </c>
      <c r="K82" s="538">
        <f t="shared" si="11"/>
        <v>10464</v>
      </c>
    </row>
    <row r="83" spans="1:12" ht="14.25" hidden="1" thickTop="1" thickBot="1" x14ac:dyDescent="0.25">
      <c r="A83" s="539" t="s">
        <v>362</v>
      </c>
      <c r="B83" s="464"/>
      <c r="C83" s="540">
        <f>C82/C81</f>
        <v>8.2678131389922929E-2</v>
      </c>
      <c r="D83" s="540">
        <f t="shared" ref="D83:K83" si="12">D82/D81</f>
        <v>0.16884199991660065</v>
      </c>
      <c r="E83" s="540">
        <f t="shared" si="12"/>
        <v>0.34800270819228163</v>
      </c>
      <c r="F83" s="540">
        <f t="shared" si="12"/>
        <v>0.70114122681883029</v>
      </c>
      <c r="G83" s="540">
        <f t="shared" si="12"/>
        <v>3.2426673099732628E-2</v>
      </c>
      <c r="H83" s="540" t="e">
        <f t="shared" si="12"/>
        <v>#DIV/0!</v>
      </c>
      <c r="I83" s="540">
        <f t="shared" si="12"/>
        <v>4.5130246594175256E-2</v>
      </c>
      <c r="J83" s="540" t="e">
        <f t="shared" si="12"/>
        <v>#DIV/0!</v>
      </c>
      <c r="K83" s="540">
        <f t="shared" si="12"/>
        <v>0.47113912651958578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592430</v>
      </c>
      <c r="D5" s="481">
        <v>113938</v>
      </c>
      <c r="E5" s="466">
        <v>97830</v>
      </c>
      <c r="F5" s="548">
        <v>45599</v>
      </c>
      <c r="G5" s="466">
        <v>64194</v>
      </c>
      <c r="H5" s="466"/>
      <c r="I5" s="466">
        <v>11371</v>
      </c>
      <c r="J5" s="467">
        <v>174460</v>
      </c>
      <c r="K5" s="466">
        <v>11370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9001</v>
      </c>
      <c r="D7" s="466"/>
      <c r="E7" s="468"/>
      <c r="F7" s="467"/>
      <c r="G7" s="467"/>
      <c r="H7" s="467"/>
      <c r="I7" s="468"/>
      <c r="J7" s="468"/>
      <c r="K7" s="468"/>
    </row>
    <row r="8" spans="1:12" x14ac:dyDescent="0.2">
      <c r="A8" s="463" t="s">
        <v>433</v>
      </c>
      <c r="B8" s="470">
        <v>1150</v>
      </c>
      <c r="C8" s="475"/>
      <c r="D8" s="475"/>
      <c r="E8" s="477"/>
      <c r="F8" s="477"/>
      <c r="G8" s="481">
        <v>64194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601431</v>
      </c>
      <c r="D12" s="1726">
        <f t="shared" si="0"/>
        <v>113938</v>
      </c>
      <c r="E12" s="1726">
        <f t="shared" si="0"/>
        <v>97830</v>
      </c>
      <c r="F12" s="1726">
        <f t="shared" si="0"/>
        <v>45599</v>
      </c>
      <c r="G12" s="1726">
        <f t="shared" si="0"/>
        <v>128388</v>
      </c>
      <c r="H12" s="1726">
        <f t="shared" si="0"/>
        <v>0</v>
      </c>
      <c r="I12" s="1726">
        <f t="shared" si="0"/>
        <v>11371</v>
      </c>
      <c r="J12" s="1726">
        <f t="shared" si="0"/>
        <v>174460</v>
      </c>
      <c r="K12" s="1707">
        <f t="shared" si="0"/>
        <v>11370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135894</v>
      </c>
      <c r="D16" s="466">
        <v>128548</v>
      </c>
      <c r="E16" s="466"/>
      <c r="F16" s="466">
        <v>84474</v>
      </c>
      <c r="G16" s="466">
        <v>18364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135894</v>
      </c>
      <c r="D18" s="1729">
        <f t="shared" ref="D18:K18" si="1">SUM(D14:D17)</f>
        <v>128548</v>
      </c>
      <c r="E18" s="1729">
        <f t="shared" si="1"/>
        <v>0</v>
      </c>
      <c r="F18" s="1729">
        <f t="shared" si="1"/>
        <v>84474</v>
      </c>
      <c r="G18" s="1729">
        <f t="shared" si="1"/>
        <v>18364</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40537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40537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3112</v>
      </c>
      <c r="D65" s="466">
        <v>160</v>
      </c>
      <c r="E65" s="466">
        <v>111</v>
      </c>
      <c r="F65" s="467">
        <v>232</v>
      </c>
      <c r="G65" s="466">
        <v>549</v>
      </c>
      <c r="H65" s="466"/>
      <c r="I65" s="466">
        <v>578</v>
      </c>
      <c r="J65" s="467">
        <v>186</v>
      </c>
      <c r="K65" s="466">
        <v>94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3112</v>
      </c>
      <c r="D67" s="1707">
        <f t="shared" ref="D67:K67" si="2">SUM(D65:D66)</f>
        <v>160</v>
      </c>
      <c r="E67" s="1707">
        <f t="shared" si="2"/>
        <v>111</v>
      </c>
      <c r="F67" s="1707">
        <f t="shared" si="2"/>
        <v>232</v>
      </c>
      <c r="G67" s="1707">
        <f t="shared" si="2"/>
        <v>549</v>
      </c>
      <c r="H67" s="1707">
        <f t="shared" si="2"/>
        <v>0</v>
      </c>
      <c r="I67" s="1707">
        <f t="shared" si="2"/>
        <v>578</v>
      </c>
      <c r="J67" s="1707">
        <f t="shared" si="2"/>
        <v>186</v>
      </c>
      <c r="K67" s="1707">
        <f t="shared" si="2"/>
        <v>94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33348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11972</v>
      </c>
      <c r="D72" s="468"/>
      <c r="E72" s="468"/>
      <c r="F72" s="468"/>
      <c r="G72" s="468"/>
      <c r="H72" s="468"/>
      <c r="I72" s="468"/>
      <c r="J72" s="468"/>
      <c r="K72" s="468"/>
    </row>
    <row r="73" spans="1:11" ht="12.75" customHeight="1" x14ac:dyDescent="0.2">
      <c r="A73" s="463" t="s">
        <v>1055</v>
      </c>
      <c r="B73" s="470">
        <v>1620</v>
      </c>
      <c r="C73" s="551">
        <v>5927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51247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7719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11596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19315</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12866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12866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30500</v>
      </c>
      <c r="E95" s="521"/>
      <c r="F95" s="521"/>
      <c r="G95" s="521"/>
      <c r="H95" s="521"/>
      <c r="I95" s="521"/>
      <c r="J95" s="521"/>
      <c r="K95" s="521"/>
    </row>
    <row r="96" spans="1:11" ht="12.75" customHeight="1" x14ac:dyDescent="0.2">
      <c r="A96" s="463" t="s">
        <v>409</v>
      </c>
      <c r="B96" s="470">
        <v>1920</v>
      </c>
      <c r="C96" s="551">
        <v>6600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1160</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49976</v>
      </c>
      <c r="D107" s="466">
        <v>8668</v>
      </c>
      <c r="E107" s="466"/>
      <c r="F107" s="466">
        <v>3800</v>
      </c>
      <c r="G107" s="466"/>
      <c r="H107" s="466"/>
      <c r="I107" s="466"/>
      <c r="J107" s="467"/>
      <c r="K107" s="466"/>
    </row>
    <row r="108" spans="1:12" ht="12.75" customHeight="1" thickBot="1" x14ac:dyDescent="0.25">
      <c r="A108" s="1727" t="s">
        <v>508</v>
      </c>
      <c r="B108" s="1731"/>
      <c r="C108" s="1726">
        <f>SUM(C95:C107)</f>
        <v>56576</v>
      </c>
      <c r="D108" s="1726">
        <f t="shared" ref="D108:K108" si="3">SUM(D95:D107)</f>
        <v>39168</v>
      </c>
      <c r="E108" s="1726">
        <f t="shared" si="3"/>
        <v>0</v>
      </c>
      <c r="F108" s="1726">
        <f t="shared" si="3"/>
        <v>3800</v>
      </c>
      <c r="G108" s="1726">
        <f t="shared" si="3"/>
        <v>0</v>
      </c>
      <c r="H108" s="1726">
        <f t="shared" si="3"/>
        <v>0</v>
      </c>
      <c r="I108" s="1726">
        <f t="shared" si="3"/>
        <v>0</v>
      </c>
      <c r="J108" s="1726">
        <f t="shared" si="3"/>
        <v>1160</v>
      </c>
      <c r="K108" s="1707">
        <f t="shared" si="3"/>
        <v>0</v>
      </c>
    </row>
    <row r="109" spans="1:12" ht="14.25" thickTop="1" thickBot="1" x14ac:dyDescent="0.25">
      <c r="A109" s="1732" t="s">
        <v>266</v>
      </c>
      <c r="B109" s="1733" t="s">
        <v>591</v>
      </c>
      <c r="C109" s="1734">
        <f t="shared" ref="C109:K109" si="4">SUM(C12,C18,C40,C63,C67,C75,C82,C93,C108,)</f>
        <v>920978</v>
      </c>
      <c r="D109" s="1734">
        <f t="shared" si="4"/>
        <v>281814</v>
      </c>
      <c r="E109" s="1734">
        <f t="shared" si="4"/>
        <v>97941</v>
      </c>
      <c r="F109" s="1734">
        <f t="shared" si="4"/>
        <v>134105</v>
      </c>
      <c r="G109" s="1734">
        <f t="shared" si="4"/>
        <v>147301</v>
      </c>
      <c r="H109" s="1734">
        <f t="shared" si="4"/>
        <v>0</v>
      </c>
      <c r="I109" s="1734">
        <f t="shared" si="4"/>
        <v>11949</v>
      </c>
      <c r="J109" s="1734">
        <f t="shared" si="4"/>
        <v>175806</v>
      </c>
      <c r="K109" s="1721">
        <f t="shared" si="4"/>
        <v>11464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10700</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10700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1168091</v>
      </c>
      <c r="D117" s="481">
        <v>65000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1168091</v>
      </c>
      <c r="D121" s="1726">
        <f t="shared" si="5"/>
        <v>65000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24718</v>
      </c>
      <c r="D125" s="561"/>
      <c r="E125" s="468"/>
      <c r="F125" s="466"/>
      <c r="G125" s="468"/>
      <c r="H125" s="468"/>
      <c r="I125" s="468"/>
      <c r="J125" s="468"/>
      <c r="K125" s="468"/>
    </row>
    <row r="126" spans="1:11" ht="12.75" customHeight="1" x14ac:dyDescent="0.2">
      <c r="A126" s="463" t="s">
        <v>922</v>
      </c>
      <c r="B126" s="562">
        <v>3110</v>
      </c>
      <c r="C126" s="551">
        <v>15798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40516</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1576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5503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132536</v>
      </c>
      <c r="G151" s="467"/>
      <c r="H151" s="468"/>
      <c r="I151" s="468"/>
      <c r="J151" s="468"/>
      <c r="K151" s="468"/>
    </row>
    <row r="152" spans="1:11" ht="12.75" customHeight="1" x14ac:dyDescent="0.2">
      <c r="A152" s="463" t="s">
        <v>1117</v>
      </c>
      <c r="B152" s="562">
        <v>3510</v>
      </c>
      <c r="C152" s="551"/>
      <c r="D152" s="466"/>
      <c r="E152" s="561"/>
      <c r="F152" s="466">
        <v>71438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203974</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169608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58" t="s">
        <v>418</v>
      </c>
      <c r="B172" s="2159"/>
      <c r="C172" s="1741">
        <f t="shared" ref="C172:K172" si="6">SUM(C131,C140,C144,C145:C149,C154,C155:C170,C171)</f>
        <v>218703</v>
      </c>
      <c r="D172" s="1741">
        <f t="shared" si="6"/>
        <v>0</v>
      </c>
      <c r="E172" s="1741">
        <f t="shared" si="6"/>
        <v>0</v>
      </c>
      <c r="F172" s="1741">
        <f t="shared" si="6"/>
        <v>203974</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1386794</v>
      </c>
      <c r="D173" s="1734">
        <f>SUM(D121,D172)</f>
        <v>65000</v>
      </c>
      <c r="E173" s="1734">
        <f>SUM(E121,E172)</f>
        <v>0</v>
      </c>
      <c r="F173" s="1734">
        <f t="shared" ref="F173:K173" si="7">SUM(F121,F172)</f>
        <v>203974</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4" t="s">
        <v>1764</v>
      </c>
      <c r="B178" s="2165"/>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6" t="s">
        <v>818</v>
      </c>
      <c r="B184" s="2167"/>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2" t="s">
        <v>1906</v>
      </c>
      <c r="B185" s="216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82600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30239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112839</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81239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81239</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6863</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21349</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222290</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222290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2540762</v>
      </c>
      <c r="D275" s="1734">
        <f t="shared" si="12"/>
        <v>346814</v>
      </c>
      <c r="E275" s="1734">
        <f t="shared" si="12"/>
        <v>97941</v>
      </c>
      <c r="F275" s="1734">
        <f t="shared" si="12"/>
        <v>338079</v>
      </c>
      <c r="G275" s="1734">
        <f t="shared" si="12"/>
        <v>147301</v>
      </c>
      <c r="H275" s="1734">
        <f t="shared" si="12"/>
        <v>0</v>
      </c>
      <c r="I275" s="1734">
        <f t="shared" si="12"/>
        <v>11949</v>
      </c>
      <c r="J275" s="1734">
        <f t="shared" si="12"/>
        <v>175806</v>
      </c>
      <c r="K275" s="1721">
        <f t="shared" si="12"/>
        <v>11464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0" zoomScaleNormal="80" workbookViewId="0">
      <pane ySplit="2" topLeftCell="A3" activePane="bottomLeft" state="frozen"/>
      <selection activeCell="A47" sqref="A47"/>
      <selection pane="bottomLeft" activeCell="U52" sqref="U5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812317</v>
      </c>
      <c r="D5" s="466">
        <v>122299</v>
      </c>
      <c r="E5" s="466">
        <v>6563</v>
      </c>
      <c r="F5" s="466">
        <v>55191</v>
      </c>
      <c r="G5" s="466"/>
      <c r="H5" s="466"/>
      <c r="I5" s="467"/>
      <c r="J5" s="467"/>
      <c r="K5" s="1690">
        <f>SUM(C5:J5)</f>
        <v>996370</v>
      </c>
      <c r="L5" s="466">
        <v>1028452</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v>113799</v>
      </c>
      <c r="D7" s="467">
        <v>4286</v>
      </c>
      <c r="E7" s="467">
        <v>14431</v>
      </c>
      <c r="F7" s="467">
        <v>21074</v>
      </c>
      <c r="G7" s="467"/>
      <c r="H7" s="467"/>
      <c r="I7" s="467"/>
      <c r="J7" s="467"/>
      <c r="K7" s="1690">
        <f t="shared" ref="K7:K32" si="0">SUM(C7:J7)</f>
        <v>153590</v>
      </c>
      <c r="L7" s="466">
        <v>128425</v>
      </c>
    </row>
    <row r="8" spans="1:14" x14ac:dyDescent="0.2">
      <c r="A8" s="1526" t="s">
        <v>166</v>
      </c>
      <c r="B8" s="615">
        <v>1200</v>
      </c>
      <c r="C8" s="466">
        <v>197137</v>
      </c>
      <c r="D8" s="466">
        <v>26735</v>
      </c>
      <c r="E8" s="466"/>
      <c r="F8" s="466">
        <v>13805</v>
      </c>
      <c r="G8" s="466"/>
      <c r="H8" s="466"/>
      <c r="I8" s="467"/>
      <c r="J8" s="467"/>
      <c r="K8" s="1690">
        <f t="shared" si="0"/>
        <v>237677</v>
      </c>
      <c r="L8" s="466">
        <v>242889</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53949</v>
      </c>
      <c r="D10" s="466">
        <v>434</v>
      </c>
      <c r="E10" s="466">
        <v>37260</v>
      </c>
      <c r="F10" s="466">
        <v>12057</v>
      </c>
      <c r="G10" s="466"/>
      <c r="H10" s="466"/>
      <c r="I10" s="467"/>
      <c r="J10" s="467"/>
      <c r="K10" s="1690">
        <f t="shared" si="0"/>
        <v>103700</v>
      </c>
      <c r="L10" s="466">
        <v>101700</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c r="D13" s="466"/>
      <c r="E13" s="466">
        <v>450</v>
      </c>
      <c r="F13" s="466">
        <v>306</v>
      </c>
      <c r="G13" s="466"/>
      <c r="H13" s="466"/>
      <c r="I13" s="467"/>
      <c r="J13" s="467"/>
      <c r="K13" s="1690">
        <f t="shared" si="0"/>
        <v>756</v>
      </c>
      <c r="L13" s="466">
        <v>1700</v>
      </c>
    </row>
    <row r="14" spans="1:14" x14ac:dyDescent="0.2">
      <c r="A14" s="1526" t="s">
        <v>1020</v>
      </c>
      <c r="B14" s="615">
        <v>1500</v>
      </c>
      <c r="C14" s="466">
        <v>9763</v>
      </c>
      <c r="D14" s="466">
        <v>79</v>
      </c>
      <c r="E14" s="466">
        <v>9400</v>
      </c>
      <c r="F14" s="466">
        <v>2233</v>
      </c>
      <c r="G14" s="466"/>
      <c r="H14" s="466">
        <v>1741</v>
      </c>
      <c r="I14" s="467"/>
      <c r="J14" s="467"/>
      <c r="K14" s="1690">
        <f t="shared" si="0"/>
        <v>23216</v>
      </c>
      <c r="L14" s="466">
        <v>22650</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v>10461</v>
      </c>
      <c r="D17" s="467">
        <v>1000</v>
      </c>
      <c r="E17" s="467">
        <v>2848</v>
      </c>
      <c r="F17" s="467">
        <v>883</v>
      </c>
      <c r="G17" s="467"/>
      <c r="H17" s="467"/>
      <c r="I17" s="467"/>
      <c r="J17" s="467"/>
      <c r="K17" s="1690">
        <f t="shared" si="0"/>
        <v>15192</v>
      </c>
      <c r="L17" s="466">
        <v>23539</v>
      </c>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1197426</v>
      </c>
      <c r="D33" s="1689">
        <f t="shared" ref="D33:L33" si="1">SUM(D5:D32)</f>
        <v>154833</v>
      </c>
      <c r="E33" s="1689">
        <f t="shared" si="1"/>
        <v>70952</v>
      </c>
      <c r="F33" s="1689">
        <f t="shared" si="1"/>
        <v>105549</v>
      </c>
      <c r="G33" s="1689">
        <f t="shared" si="1"/>
        <v>0</v>
      </c>
      <c r="H33" s="1689">
        <f t="shared" si="1"/>
        <v>1741</v>
      </c>
      <c r="I33" s="1689">
        <f t="shared" si="1"/>
        <v>0</v>
      </c>
      <c r="J33" s="1689">
        <f t="shared" si="1"/>
        <v>0</v>
      </c>
      <c r="K33" s="1689">
        <f t="shared" si="1"/>
        <v>1530501</v>
      </c>
      <c r="L33" s="1689">
        <f t="shared" si="1"/>
        <v>1549355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row>
    <row r="37" spans="1:14" x14ac:dyDescent="0.2">
      <c r="A37" s="1526" t="s">
        <v>1151</v>
      </c>
      <c r="B37" s="615">
        <v>2120</v>
      </c>
      <c r="C37" s="466">
        <v>35397</v>
      </c>
      <c r="D37" s="466">
        <v>4236</v>
      </c>
      <c r="E37" s="466">
        <v>1512</v>
      </c>
      <c r="F37" s="466">
        <v>443</v>
      </c>
      <c r="G37" s="466"/>
      <c r="H37" s="466"/>
      <c r="I37" s="467"/>
      <c r="J37" s="467"/>
      <c r="K37" s="1690">
        <f t="shared" si="2"/>
        <v>41588</v>
      </c>
      <c r="L37" s="466">
        <v>44480</v>
      </c>
    </row>
    <row r="38" spans="1:14" x14ac:dyDescent="0.2">
      <c r="A38" s="1526" t="s">
        <v>207</v>
      </c>
      <c r="B38" s="615">
        <v>2130</v>
      </c>
      <c r="C38" s="466"/>
      <c r="D38" s="466"/>
      <c r="E38" s="466">
        <v>1455</v>
      </c>
      <c r="F38" s="466">
        <v>2226</v>
      </c>
      <c r="G38" s="466"/>
      <c r="H38" s="466"/>
      <c r="I38" s="467"/>
      <c r="J38" s="467"/>
      <c r="K38" s="1690">
        <f t="shared" si="2"/>
        <v>3681</v>
      </c>
      <c r="L38" s="466">
        <v>4500</v>
      </c>
    </row>
    <row r="39" spans="1:14" x14ac:dyDescent="0.2">
      <c r="A39" s="1526" t="s">
        <v>208</v>
      </c>
      <c r="B39" s="615">
        <v>2140</v>
      </c>
      <c r="C39" s="466"/>
      <c r="D39" s="466"/>
      <c r="E39" s="466"/>
      <c r="F39" s="466"/>
      <c r="G39" s="466"/>
      <c r="H39" s="466"/>
      <c r="I39" s="467"/>
      <c r="J39" s="467"/>
      <c r="K39" s="1690">
        <f t="shared" si="2"/>
        <v>0</v>
      </c>
      <c r="L39" s="466"/>
    </row>
    <row r="40" spans="1:14" x14ac:dyDescent="0.2">
      <c r="A40" s="1526" t="s">
        <v>209</v>
      </c>
      <c r="B40" s="615">
        <v>2150</v>
      </c>
      <c r="C40" s="466"/>
      <c r="D40" s="466"/>
      <c r="E40" s="466"/>
      <c r="F40" s="466"/>
      <c r="G40" s="466"/>
      <c r="H40" s="466"/>
      <c r="I40" s="467"/>
      <c r="J40" s="467"/>
      <c r="K40" s="1690">
        <f t="shared" si="2"/>
        <v>0</v>
      </c>
      <c r="L40" s="466"/>
    </row>
    <row r="41" spans="1:14" x14ac:dyDescent="0.2">
      <c r="A41" s="1526" t="s">
        <v>1768</v>
      </c>
      <c r="B41" s="615">
        <v>2190</v>
      </c>
      <c r="C41" s="466"/>
      <c r="D41" s="466"/>
      <c r="E41" s="466">
        <v>100</v>
      </c>
      <c r="F41" s="466">
        <v>1525</v>
      </c>
      <c r="G41" s="466"/>
      <c r="H41" s="466"/>
      <c r="I41" s="467"/>
      <c r="J41" s="467"/>
      <c r="K41" s="1690">
        <f t="shared" si="2"/>
        <v>1625</v>
      </c>
      <c r="L41" s="466">
        <v>1600</v>
      </c>
    </row>
    <row r="42" spans="1:14" ht="12.75" customHeight="1" thickBot="1" x14ac:dyDescent="0.25">
      <c r="A42" s="1687" t="s">
        <v>581</v>
      </c>
      <c r="B42" s="1688" t="s">
        <v>740</v>
      </c>
      <c r="C42" s="1689">
        <f>SUM(C36:C41)</f>
        <v>35397</v>
      </c>
      <c r="D42" s="1689">
        <f t="shared" ref="D42:L42" si="3">SUM(D36:D41)</f>
        <v>4236</v>
      </c>
      <c r="E42" s="1689">
        <f t="shared" si="3"/>
        <v>3067</v>
      </c>
      <c r="F42" s="1689">
        <f t="shared" si="3"/>
        <v>4194</v>
      </c>
      <c r="G42" s="1689">
        <f t="shared" si="3"/>
        <v>0</v>
      </c>
      <c r="H42" s="1689">
        <f t="shared" si="3"/>
        <v>0</v>
      </c>
      <c r="I42" s="1689">
        <f t="shared" si="3"/>
        <v>0</v>
      </c>
      <c r="J42" s="1689">
        <f t="shared" si="3"/>
        <v>0</v>
      </c>
      <c r="K42" s="1689">
        <f t="shared" si="3"/>
        <v>46894</v>
      </c>
      <c r="L42" s="1689">
        <f t="shared" si="3"/>
        <v>50580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1">
        <f>SUM(C44:J44)</f>
        <v>0</v>
      </c>
      <c r="L44" s="481"/>
    </row>
    <row r="45" spans="1:14" x14ac:dyDescent="0.2">
      <c r="A45" s="1526" t="s">
        <v>869</v>
      </c>
      <c r="B45" s="615">
        <v>2220</v>
      </c>
      <c r="C45" s="466">
        <v>42078</v>
      </c>
      <c r="D45" s="466">
        <v>8526</v>
      </c>
      <c r="E45" s="466">
        <v>1550</v>
      </c>
      <c r="F45" s="466">
        <v>11385</v>
      </c>
      <c r="G45" s="466"/>
      <c r="H45" s="466"/>
      <c r="I45" s="467"/>
      <c r="J45" s="467"/>
      <c r="K45" s="1691">
        <f>SUM(C45:J45)</f>
        <v>63539</v>
      </c>
      <c r="L45" s="466">
        <v>63828</v>
      </c>
    </row>
    <row r="46" spans="1:14" x14ac:dyDescent="0.2">
      <c r="A46" s="1526"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42078</v>
      </c>
      <c r="D47" s="1689">
        <f t="shared" ref="D47:K47" si="4">SUM(D44:D46)</f>
        <v>8526</v>
      </c>
      <c r="E47" s="1689">
        <f t="shared" si="4"/>
        <v>1550</v>
      </c>
      <c r="F47" s="1689">
        <f t="shared" si="4"/>
        <v>11385</v>
      </c>
      <c r="G47" s="1689">
        <f t="shared" si="4"/>
        <v>0</v>
      </c>
      <c r="H47" s="1689">
        <f t="shared" si="4"/>
        <v>0</v>
      </c>
      <c r="I47" s="1689">
        <f t="shared" si="4"/>
        <v>0</v>
      </c>
      <c r="J47" s="1689">
        <f t="shared" si="4"/>
        <v>0</v>
      </c>
      <c r="K47" s="1689">
        <f t="shared" si="4"/>
        <v>63539</v>
      </c>
      <c r="L47" s="1689">
        <f>SUM(L44:L46)</f>
        <v>63828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17036</v>
      </c>
      <c r="F49" s="481">
        <v>5848</v>
      </c>
      <c r="G49" s="481"/>
      <c r="H49" s="481">
        <v>2024</v>
      </c>
      <c r="I49" s="467"/>
      <c r="J49" s="467"/>
      <c r="K49" s="1691">
        <f>SUM(C49:J49)</f>
        <v>24908</v>
      </c>
      <c r="L49" s="481">
        <v>23700</v>
      </c>
    </row>
    <row r="50" spans="1:14" x14ac:dyDescent="0.2">
      <c r="A50" s="1526" t="s">
        <v>872</v>
      </c>
      <c r="B50" s="615">
        <v>2320</v>
      </c>
      <c r="C50" s="466">
        <v>135824</v>
      </c>
      <c r="D50" s="466">
        <v>14043</v>
      </c>
      <c r="E50" s="466">
        <v>6705</v>
      </c>
      <c r="F50" s="466">
        <v>32029</v>
      </c>
      <c r="G50" s="466"/>
      <c r="H50" s="466">
        <v>1458</v>
      </c>
      <c r="I50" s="467"/>
      <c r="J50" s="467"/>
      <c r="K50" s="1691">
        <f>SUM(C50:J50)</f>
        <v>190059</v>
      </c>
      <c r="L50" s="466">
        <v>182553</v>
      </c>
    </row>
    <row r="51" spans="1:14" x14ac:dyDescent="0.2">
      <c r="A51" s="1526" t="s">
        <v>44</v>
      </c>
      <c r="B51" s="615">
        <v>2330</v>
      </c>
      <c r="C51" s="466"/>
      <c r="D51" s="466"/>
      <c r="E51" s="466"/>
      <c r="F51" s="466"/>
      <c r="G51" s="466"/>
      <c r="H51" s="466"/>
      <c r="I51" s="467"/>
      <c r="J51" s="467"/>
      <c r="K51" s="1691">
        <f>SUM(C51:J51)</f>
        <v>0</v>
      </c>
      <c r="L51" s="466"/>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135824</v>
      </c>
      <c r="D53" s="1689">
        <f t="shared" ref="D53:L53" si="5">SUM(D49:D52)</f>
        <v>14043</v>
      </c>
      <c r="E53" s="1689">
        <f t="shared" si="5"/>
        <v>23741</v>
      </c>
      <c r="F53" s="1689">
        <f t="shared" si="5"/>
        <v>37877</v>
      </c>
      <c r="G53" s="1689">
        <f t="shared" si="5"/>
        <v>0</v>
      </c>
      <c r="H53" s="1689">
        <f t="shared" si="5"/>
        <v>3482</v>
      </c>
      <c r="I53" s="1689">
        <f t="shared" si="5"/>
        <v>0</v>
      </c>
      <c r="J53" s="1689">
        <f t="shared" si="5"/>
        <v>0</v>
      </c>
      <c r="K53" s="1689">
        <f t="shared" si="5"/>
        <v>214967</v>
      </c>
      <c r="L53" s="1689">
        <f t="shared" si="5"/>
        <v>206253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215501</v>
      </c>
      <c r="D55" s="481">
        <v>25679</v>
      </c>
      <c r="E55" s="481">
        <v>3308</v>
      </c>
      <c r="F55" s="481">
        <v>15406</v>
      </c>
      <c r="G55" s="481"/>
      <c r="H55" s="481">
        <v>665</v>
      </c>
      <c r="I55" s="467"/>
      <c r="J55" s="467"/>
      <c r="K55" s="1691">
        <f>SUM(C55:J55)</f>
        <v>260559</v>
      </c>
      <c r="L55" s="481">
        <v>258603</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215501</v>
      </c>
      <c r="D57" s="1693">
        <f t="shared" ref="D57:K57" si="6">SUM(D55:D56)</f>
        <v>25679</v>
      </c>
      <c r="E57" s="1693">
        <f t="shared" si="6"/>
        <v>3308</v>
      </c>
      <c r="F57" s="1693">
        <f t="shared" si="6"/>
        <v>15406</v>
      </c>
      <c r="G57" s="1693">
        <f t="shared" si="6"/>
        <v>0</v>
      </c>
      <c r="H57" s="1693">
        <f t="shared" si="6"/>
        <v>665</v>
      </c>
      <c r="I57" s="1693">
        <f t="shared" si="6"/>
        <v>0</v>
      </c>
      <c r="J57" s="1693">
        <f t="shared" si="6"/>
        <v>0</v>
      </c>
      <c r="K57" s="1693">
        <f t="shared" si="6"/>
        <v>260559</v>
      </c>
      <c r="L57" s="1689">
        <f>SUM(L55:L56)</f>
        <v>258603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28630</v>
      </c>
      <c r="D60" s="466">
        <v>3324</v>
      </c>
      <c r="E60" s="466">
        <v>192</v>
      </c>
      <c r="F60" s="466"/>
      <c r="G60" s="466"/>
      <c r="H60" s="466"/>
      <c r="I60" s="467"/>
      <c r="J60" s="467"/>
      <c r="K60" s="1691">
        <f t="shared" si="7"/>
        <v>32146</v>
      </c>
      <c r="L60" s="466">
        <v>40510</v>
      </c>
      <c r="M60" s="610"/>
      <c r="N60" s="610"/>
    </row>
    <row r="61" spans="1:14" s="343" customFormat="1" x14ac:dyDescent="0.2">
      <c r="A61" s="1526" t="s">
        <v>206</v>
      </c>
      <c r="B61" s="615">
        <v>2540</v>
      </c>
      <c r="C61" s="466"/>
      <c r="D61" s="466"/>
      <c r="E61" s="466">
        <v>11735</v>
      </c>
      <c r="F61" s="466"/>
      <c r="G61" s="466"/>
      <c r="H61" s="466"/>
      <c r="I61" s="467"/>
      <c r="J61" s="467"/>
      <c r="K61" s="1691">
        <f t="shared" si="7"/>
        <v>11735</v>
      </c>
      <c r="L61" s="466"/>
      <c r="M61" s="610"/>
      <c r="N61" s="610"/>
    </row>
    <row r="62" spans="1:14" s="343" customFormat="1" x14ac:dyDescent="0.2">
      <c r="A62" s="1526" t="s">
        <v>1010</v>
      </c>
      <c r="B62" s="615">
        <v>2550</v>
      </c>
      <c r="C62" s="466"/>
      <c r="D62" s="466"/>
      <c r="E62" s="466"/>
      <c r="F62" s="466"/>
      <c r="G62" s="466"/>
      <c r="H62" s="466"/>
      <c r="I62" s="467"/>
      <c r="J62" s="467"/>
      <c r="K62" s="1691">
        <f t="shared" si="7"/>
        <v>0</v>
      </c>
      <c r="L62" s="466"/>
      <c r="M62" s="610"/>
      <c r="N62" s="610"/>
    </row>
    <row r="63" spans="1:14" s="610" customFormat="1" x14ac:dyDescent="0.2">
      <c r="A63" s="1526" t="s">
        <v>102</v>
      </c>
      <c r="B63" s="615">
        <v>2560</v>
      </c>
      <c r="C63" s="466">
        <v>76445</v>
      </c>
      <c r="D63" s="466">
        <v>2831</v>
      </c>
      <c r="E63" s="466">
        <v>459</v>
      </c>
      <c r="F63" s="466">
        <v>101572</v>
      </c>
      <c r="G63" s="466"/>
      <c r="H63" s="466"/>
      <c r="I63" s="467"/>
      <c r="J63" s="467"/>
      <c r="K63" s="1691">
        <f t="shared" si="7"/>
        <v>181307</v>
      </c>
      <c r="L63" s="466">
        <v>175840</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105075</v>
      </c>
      <c r="D65" s="1689">
        <f t="shared" ref="D65:L65" si="8">SUM(D59:D64)</f>
        <v>6155</v>
      </c>
      <c r="E65" s="1689">
        <f t="shared" si="8"/>
        <v>12386</v>
      </c>
      <c r="F65" s="1689">
        <f t="shared" si="8"/>
        <v>101572</v>
      </c>
      <c r="G65" s="1689">
        <f t="shared" si="8"/>
        <v>0</v>
      </c>
      <c r="H65" s="1689">
        <f t="shared" si="8"/>
        <v>0</v>
      </c>
      <c r="I65" s="1689">
        <f t="shared" si="8"/>
        <v>0</v>
      </c>
      <c r="J65" s="1689">
        <f t="shared" si="8"/>
        <v>0</v>
      </c>
      <c r="K65" s="1689">
        <f t="shared" si="8"/>
        <v>225188</v>
      </c>
      <c r="L65" s="1689">
        <f t="shared" si="8"/>
        <v>216350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c r="F69" s="466"/>
      <c r="G69" s="466"/>
      <c r="H69" s="466"/>
      <c r="I69" s="467"/>
      <c r="J69" s="467"/>
      <c r="K69" s="1691">
        <f>SUM(C69:J69)</f>
        <v>0</v>
      </c>
      <c r="L69" s="466"/>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c r="D71" s="466"/>
      <c r="E71" s="466"/>
      <c r="F71" s="466">
        <v>2077</v>
      </c>
      <c r="G71" s="466"/>
      <c r="H71" s="466"/>
      <c r="I71" s="467"/>
      <c r="J71" s="467"/>
      <c r="K71" s="1691">
        <f>SUM(C71:J71)</f>
        <v>2077</v>
      </c>
      <c r="L71" s="466">
        <v>1000</v>
      </c>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2077</v>
      </c>
      <c r="G72" s="1689">
        <f t="shared" si="9"/>
        <v>0</v>
      </c>
      <c r="H72" s="1689">
        <f t="shared" si="9"/>
        <v>0</v>
      </c>
      <c r="I72" s="1689">
        <f t="shared" si="9"/>
        <v>0</v>
      </c>
      <c r="J72" s="1689">
        <f t="shared" si="9"/>
        <v>0</v>
      </c>
      <c r="K72" s="1689">
        <f t="shared" si="9"/>
        <v>2077</v>
      </c>
      <c r="L72" s="1689">
        <f>SUM(L67:L71)</f>
        <v>1000</v>
      </c>
      <c r="M72" s="610"/>
      <c r="N72" s="610"/>
    </row>
    <row r="73" spans="1:14" s="343" customFormat="1" ht="14.25" thickTop="1" thickBot="1" x14ac:dyDescent="0.25">
      <c r="A73" s="1532" t="s">
        <v>1037</v>
      </c>
      <c r="B73" s="633" t="s">
        <v>595</v>
      </c>
      <c r="C73" s="573"/>
      <c r="D73" s="573"/>
      <c r="E73" s="573"/>
      <c r="F73" s="573"/>
      <c r="G73" s="573"/>
      <c r="H73" s="573"/>
      <c r="I73" s="531"/>
      <c r="J73" s="531"/>
      <c r="K73" s="1689">
        <f>SUM(C73:J73)</f>
        <v>0</v>
      </c>
      <c r="L73" s="576"/>
      <c r="M73" s="610"/>
      <c r="N73" s="610"/>
    </row>
    <row r="74" spans="1:14" ht="12.75" customHeight="1" thickTop="1" thickBot="1" x14ac:dyDescent="0.25">
      <c r="A74" s="1687" t="s">
        <v>865</v>
      </c>
      <c r="B74" s="1695">
        <v>2000</v>
      </c>
      <c r="C74" s="1696">
        <f>SUM(C42,C47,C53,C57,C65,C72,C73)</f>
        <v>533875</v>
      </c>
      <c r="D74" s="1696">
        <f t="shared" ref="D74:K74" si="10">SUM(D42,D47,D53,D57,D65,D72,D73)</f>
        <v>58639</v>
      </c>
      <c r="E74" s="1696">
        <f t="shared" si="10"/>
        <v>44052</v>
      </c>
      <c r="F74" s="1696">
        <f t="shared" si="10"/>
        <v>172511</v>
      </c>
      <c r="G74" s="1696">
        <f t="shared" si="10"/>
        <v>0</v>
      </c>
      <c r="H74" s="1696">
        <f t="shared" si="10"/>
        <v>4147</v>
      </c>
      <c r="I74" s="1696">
        <f t="shared" si="10"/>
        <v>0</v>
      </c>
      <c r="J74" s="1696">
        <f t="shared" si="10"/>
        <v>0</v>
      </c>
      <c r="K74" s="1696">
        <f t="shared" si="10"/>
        <v>813224</v>
      </c>
      <c r="L74" s="1696">
        <f>SUM(L42,L47,L53,L57,L65,L72,L73)</f>
        <v>796614</v>
      </c>
    </row>
    <row r="75" spans="1:14" s="259" customFormat="1" ht="15.75" customHeight="1" thickTop="1" thickBot="1" x14ac:dyDescent="0.25">
      <c r="A75" s="1632" t="s">
        <v>49</v>
      </c>
      <c r="B75" s="1633" t="s">
        <v>596</v>
      </c>
      <c r="C75" s="573"/>
      <c r="D75" s="573"/>
      <c r="E75" s="573"/>
      <c r="F75" s="573"/>
      <c r="G75" s="573"/>
      <c r="H75" s="573"/>
      <c r="I75" s="531"/>
      <c r="J75" s="531"/>
      <c r="K75" s="1689">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v>1500</v>
      </c>
    </row>
    <row r="79" spans="1:14" x14ac:dyDescent="0.2">
      <c r="A79" s="1526" t="s">
        <v>322</v>
      </c>
      <c r="B79" s="615">
        <v>4120</v>
      </c>
      <c r="C79" s="617"/>
      <c r="D79" s="617"/>
      <c r="E79" s="466"/>
      <c r="F79" s="617"/>
      <c r="G79" s="617"/>
      <c r="H79" s="466"/>
      <c r="I79" s="477"/>
      <c r="J79" s="477"/>
      <c r="K79" s="1690">
        <f t="shared" si="11"/>
        <v>0</v>
      </c>
      <c r="L79" s="466"/>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c r="F81" s="617"/>
      <c r="G81" s="617"/>
      <c r="H81" s="466"/>
      <c r="I81" s="477"/>
      <c r="J81" s="477"/>
      <c r="K81" s="1690">
        <f t="shared" si="11"/>
        <v>0</v>
      </c>
      <c r="L81" s="466"/>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0</v>
      </c>
      <c r="I84" s="477"/>
      <c r="J84" s="477"/>
      <c r="K84" s="1689">
        <f>SUM(K78:K83)</f>
        <v>0</v>
      </c>
      <c r="L84" s="1689">
        <f>SUM(L78:L83)</f>
        <v>1500</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v>97516</v>
      </c>
      <c r="I86" s="477"/>
      <c r="J86" s="477"/>
      <c r="K86" s="1696">
        <f t="shared" ref="K86:K98" si="12">H86</f>
        <v>97516</v>
      </c>
      <c r="L86" s="530">
        <v>60000</v>
      </c>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v>20675</v>
      </c>
      <c r="I88" s="477"/>
      <c r="J88" s="477"/>
      <c r="K88" s="1696">
        <f t="shared" si="12"/>
        <v>20675</v>
      </c>
      <c r="L88" s="530">
        <v>30000</v>
      </c>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118191</v>
      </c>
      <c r="I92" s="477"/>
      <c r="J92" s="477"/>
      <c r="K92" s="1696">
        <f t="shared" si="12"/>
        <v>118191</v>
      </c>
      <c r="L92" s="1689">
        <f>SUM(L85:L91)</f>
        <v>90000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118191</v>
      </c>
      <c r="I102" s="477"/>
      <c r="J102" s="477"/>
      <c r="K102" s="1696">
        <f>SUM(K84,K92,K100,K101)</f>
        <v>118191</v>
      </c>
      <c r="L102" s="1696">
        <f>SUM(L84,L92,L100,L101)</f>
        <v>91500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1731301</v>
      </c>
      <c r="D114" s="1689">
        <f t="shared" ref="D114:K114" si="13">SUM(D33,D74,D75,D102,D112,D113)</f>
        <v>213472</v>
      </c>
      <c r="E114" s="1689">
        <f t="shared" si="13"/>
        <v>115004</v>
      </c>
      <c r="F114" s="1689">
        <f t="shared" si="13"/>
        <v>278060</v>
      </c>
      <c r="G114" s="1689">
        <f t="shared" si="13"/>
        <v>0</v>
      </c>
      <c r="H114" s="1689">
        <f>SUM(H33,H74,H75,H102,H112,H113)</f>
        <v>124079</v>
      </c>
      <c r="I114" s="1689">
        <f t="shared" si="13"/>
        <v>0</v>
      </c>
      <c r="J114" s="1689">
        <f t="shared" si="13"/>
        <v>0</v>
      </c>
      <c r="K114" s="1689">
        <f t="shared" si="13"/>
        <v>2461916</v>
      </c>
      <c r="L114" s="1689">
        <f>SUM(L33,L74,L75,L102,L112,L113)</f>
        <v>2437469</v>
      </c>
    </row>
    <row r="115" spans="1:14" ht="13.5" thickTop="1" x14ac:dyDescent="0.2">
      <c r="A115" s="2170" t="s">
        <v>1053</v>
      </c>
      <c r="B115" s="2171"/>
      <c r="C115" s="619"/>
      <c r="D115" s="619"/>
      <c r="E115" s="619"/>
      <c r="F115" s="619"/>
      <c r="G115" s="619"/>
      <c r="H115" s="619"/>
      <c r="I115" s="619"/>
      <c r="J115" s="619"/>
      <c r="K115" s="1703">
        <f>'Revenues 9-14'!C275-'Expenditures 15-22'!K114</f>
        <v>78846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124128</v>
      </c>
      <c r="D124" s="466">
        <v>19743</v>
      </c>
      <c r="E124" s="466">
        <v>26104</v>
      </c>
      <c r="F124" s="466">
        <v>114668</v>
      </c>
      <c r="G124" s="466">
        <v>49698</v>
      </c>
      <c r="H124" s="466"/>
      <c r="I124" s="467">
        <v>4375</v>
      </c>
      <c r="J124" s="467"/>
      <c r="K124" s="1689">
        <f>SUM(C124:J124)</f>
        <v>338716</v>
      </c>
      <c r="L124" s="466">
        <v>306095</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124128</v>
      </c>
      <c r="D127" s="1689">
        <f t="shared" ref="D127:L127" si="14">SUM(D122:D126)</f>
        <v>19743</v>
      </c>
      <c r="E127" s="1689">
        <f t="shared" si="14"/>
        <v>26104</v>
      </c>
      <c r="F127" s="1689">
        <f t="shared" si="14"/>
        <v>114668</v>
      </c>
      <c r="G127" s="1689">
        <f t="shared" si="14"/>
        <v>49698</v>
      </c>
      <c r="H127" s="1689">
        <f t="shared" si="14"/>
        <v>0</v>
      </c>
      <c r="I127" s="1689">
        <f t="shared" si="14"/>
        <v>4375</v>
      </c>
      <c r="J127" s="1689">
        <f t="shared" si="14"/>
        <v>0</v>
      </c>
      <c r="K127" s="1689">
        <f t="shared" si="14"/>
        <v>338716</v>
      </c>
      <c r="L127" s="1689">
        <f t="shared" si="14"/>
        <v>306095</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124128</v>
      </c>
      <c r="D129" s="1696">
        <f t="shared" ref="D129:L129" si="15">SUM(D120,D127,D128)</f>
        <v>19743</v>
      </c>
      <c r="E129" s="1696">
        <f t="shared" si="15"/>
        <v>26104</v>
      </c>
      <c r="F129" s="1696">
        <f t="shared" si="15"/>
        <v>114668</v>
      </c>
      <c r="G129" s="1696">
        <f t="shared" si="15"/>
        <v>49698</v>
      </c>
      <c r="H129" s="1696">
        <f t="shared" si="15"/>
        <v>0</v>
      </c>
      <c r="I129" s="1696">
        <f t="shared" si="15"/>
        <v>4375</v>
      </c>
      <c r="J129" s="1696">
        <f t="shared" si="15"/>
        <v>0</v>
      </c>
      <c r="K129" s="1696">
        <f t="shared" si="15"/>
        <v>338716</v>
      </c>
      <c r="L129" s="1696">
        <f t="shared" si="15"/>
        <v>306095</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7"/>
      <c r="C151" s="1689">
        <f>SUM(C129,C130,C139,C149,C150)</f>
        <v>124128</v>
      </c>
      <c r="D151" s="1689">
        <f t="shared" ref="D151:K151" si="16">SUM(D129,D130,D139,D149,D150)</f>
        <v>19743</v>
      </c>
      <c r="E151" s="1689">
        <f t="shared" si="16"/>
        <v>26104</v>
      </c>
      <c r="F151" s="1689">
        <f t="shared" si="16"/>
        <v>114668</v>
      </c>
      <c r="G151" s="1689">
        <f t="shared" si="16"/>
        <v>49698</v>
      </c>
      <c r="H151" s="1689">
        <f t="shared" si="16"/>
        <v>0</v>
      </c>
      <c r="I151" s="1689">
        <f t="shared" si="16"/>
        <v>4375</v>
      </c>
      <c r="J151" s="1689">
        <f t="shared" si="16"/>
        <v>0</v>
      </c>
      <c r="K151" s="1689">
        <f t="shared" si="16"/>
        <v>338716</v>
      </c>
      <c r="L151" s="1689">
        <f>SUM(L129,L130,L139,L149,L150)</f>
        <v>306095</v>
      </c>
    </row>
    <row r="152" spans="1:14" ht="12.75" customHeight="1" thickTop="1" x14ac:dyDescent="0.2">
      <c r="A152" s="2190" t="s">
        <v>1240</v>
      </c>
      <c r="B152" s="2191"/>
      <c r="C152" s="619"/>
      <c r="D152" s="619"/>
      <c r="E152" s="619"/>
      <c r="F152" s="619"/>
      <c r="G152" s="619"/>
      <c r="H152" s="619"/>
      <c r="I152" s="619"/>
      <c r="J152" s="617"/>
      <c r="K152" s="1703">
        <f>'Revenues 9-14'!D275-'Expenditures 15-22'!K151</f>
        <v>8098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1958</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1957</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1959</v>
      </c>
      <c r="C158" s="617"/>
      <c r="D158" s="617"/>
      <c r="E158" s="617"/>
      <c r="F158" s="617"/>
      <c r="G158" s="617"/>
      <c r="H158" s="467"/>
      <c r="I158" s="617"/>
      <c r="J158" s="617"/>
      <c r="K158" s="1690">
        <f>H158</f>
        <v>0</v>
      </c>
      <c r="L158" s="467"/>
      <c r="M158" s="620"/>
      <c r="N158" s="620"/>
    </row>
    <row r="159" spans="1:14" s="621" customFormat="1" ht="12" x14ac:dyDescent="0.2">
      <c r="A159" s="1846" t="s">
        <v>1960</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1961</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11985</v>
      </c>
      <c r="I169" s="617"/>
      <c r="J169" s="617"/>
      <c r="K169" s="1690">
        <f>SUM(C169:H169)</f>
        <v>11985</v>
      </c>
      <c r="L169" s="657">
        <v>11985</v>
      </c>
    </row>
    <row r="170" spans="1:14" ht="33.75" customHeight="1" x14ac:dyDescent="0.2">
      <c r="A170" s="670" t="s">
        <v>1769</v>
      </c>
      <c r="B170" s="672" t="s">
        <v>31</v>
      </c>
      <c r="C170" s="617"/>
      <c r="D170" s="617"/>
      <c r="E170" s="617"/>
      <c r="F170" s="617"/>
      <c r="G170" s="617"/>
      <c r="H170" s="569">
        <v>83400</v>
      </c>
      <c r="I170" s="617"/>
      <c r="J170" s="617"/>
      <c r="K170" s="1690">
        <f>SUM(C170:J170)</f>
        <v>83400</v>
      </c>
      <c r="L170" s="569">
        <v>83400</v>
      </c>
    </row>
    <row r="171" spans="1:14" ht="15.75" customHeight="1" x14ac:dyDescent="0.2">
      <c r="A171" s="622" t="s">
        <v>790</v>
      </c>
      <c r="B171" s="673" t="s">
        <v>86</v>
      </c>
      <c r="C171" s="617"/>
      <c r="D171" s="617"/>
      <c r="E171" s="466"/>
      <c r="F171" s="617"/>
      <c r="G171" s="617"/>
      <c r="H171" s="569">
        <v>500</v>
      </c>
      <c r="I171" s="477"/>
      <c r="J171" s="617"/>
      <c r="K171" s="1690">
        <f>SUM(C171:J171)</f>
        <v>500</v>
      </c>
      <c r="L171" s="569">
        <v>500</v>
      </c>
    </row>
    <row r="172" spans="1:14" ht="12.75" customHeight="1" thickBot="1" x14ac:dyDescent="0.25">
      <c r="A172" s="1687" t="s">
        <v>659</v>
      </c>
      <c r="B172" s="1688" t="s">
        <v>513</v>
      </c>
      <c r="C172" s="617"/>
      <c r="D172" s="617"/>
      <c r="E172" s="1696">
        <f>SUM(E168,E169,E170,E171)</f>
        <v>0</v>
      </c>
      <c r="F172" s="617"/>
      <c r="G172" s="617"/>
      <c r="H172" s="1696">
        <f>SUM(H168,H169,H170,H171)</f>
        <v>95885</v>
      </c>
      <c r="I172" s="639"/>
      <c r="J172" s="617"/>
      <c r="K172" s="1696">
        <f>SUM(K168,K169,K170,K171)</f>
        <v>95885</v>
      </c>
      <c r="L172" s="1696">
        <f>SUM(L168,L169,L170,L171)</f>
        <v>95885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95885</v>
      </c>
      <c r="I174" s="639"/>
      <c r="J174" s="617"/>
      <c r="K174" s="1696">
        <f>SUM(K160,K172,K173)</f>
        <v>95885</v>
      </c>
      <c r="L174" s="1696">
        <f>SUM(L160,L172,L173)</f>
        <v>95885</v>
      </c>
    </row>
    <row r="175" spans="1:14" ht="13.5" thickTop="1" x14ac:dyDescent="0.2">
      <c r="A175" s="2170" t="s">
        <v>1053</v>
      </c>
      <c r="B175" s="2171"/>
      <c r="C175" s="617"/>
      <c r="D175" s="617"/>
      <c r="E175" s="617"/>
      <c r="F175" s="617"/>
      <c r="G175" s="617"/>
      <c r="H175" s="619"/>
      <c r="I175" s="617"/>
      <c r="J175" s="617"/>
      <c r="K175" s="1703">
        <f>'Revenues 9-14'!E275-'Expenditures 15-22'!K174</f>
        <v>2056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206986</v>
      </c>
      <c r="D182" s="466">
        <v>12732</v>
      </c>
      <c r="E182" s="466">
        <v>23457</v>
      </c>
      <c r="F182" s="466">
        <v>40839</v>
      </c>
      <c r="G182" s="466"/>
      <c r="H182" s="466"/>
      <c r="I182" s="467"/>
      <c r="J182" s="467"/>
      <c r="K182" s="1690">
        <f>SUM(C182:J182)</f>
        <v>284014</v>
      </c>
      <c r="L182" s="466">
        <v>274653</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206986</v>
      </c>
      <c r="D184" s="1696">
        <f t="shared" ref="D184:J184" si="17">SUM(D180,D182,D183)</f>
        <v>12732</v>
      </c>
      <c r="E184" s="1696">
        <f t="shared" si="17"/>
        <v>23457</v>
      </c>
      <c r="F184" s="1696">
        <f t="shared" si="17"/>
        <v>40839</v>
      </c>
      <c r="G184" s="1696">
        <f t="shared" si="17"/>
        <v>0</v>
      </c>
      <c r="H184" s="1696">
        <f t="shared" si="17"/>
        <v>0</v>
      </c>
      <c r="I184" s="1696">
        <f t="shared" si="17"/>
        <v>0</v>
      </c>
      <c r="J184" s="1696">
        <f t="shared" si="17"/>
        <v>0</v>
      </c>
      <c r="K184" s="1696">
        <f>SUM(K180,K182,K183)</f>
        <v>284014</v>
      </c>
      <c r="L184" s="1696">
        <f>SUM(L180, L182:L183)</f>
        <v>274653</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206986</v>
      </c>
      <c r="D210" s="1689">
        <f>SUM(D184,D185)</f>
        <v>12732</v>
      </c>
      <c r="E210" s="1689">
        <f>SUM(E184,E185,E196)</f>
        <v>23457</v>
      </c>
      <c r="F210" s="1689">
        <f>SUM(F184,F185)</f>
        <v>40839</v>
      </c>
      <c r="G210" s="1689">
        <f>SUM(G184,G185)</f>
        <v>0</v>
      </c>
      <c r="H210" s="1689">
        <f>SUM(H184,H185,H196,H208,H209)</f>
        <v>0</v>
      </c>
      <c r="I210" s="1689">
        <f>SUM(I184,I185)</f>
        <v>0</v>
      </c>
      <c r="J210" s="1689">
        <f>SUM(J184,J185)</f>
        <v>0</v>
      </c>
      <c r="K210" s="1690">
        <f>SUM(K184,K185,K196,K208,K209)</f>
        <v>284014</v>
      </c>
      <c r="L210" s="1689">
        <f>SUM(L184,L185,L196,L208,L209)</f>
        <v>274653</v>
      </c>
    </row>
    <row r="211" spans="1:14" ht="13.5" thickTop="1" x14ac:dyDescent="0.2">
      <c r="A211" s="2170" t="s">
        <v>1053</v>
      </c>
      <c r="B211" s="2171"/>
      <c r="C211" s="619"/>
      <c r="D211" s="619"/>
      <c r="E211" s="619"/>
      <c r="F211" s="619"/>
      <c r="G211" s="619"/>
      <c r="H211" s="619"/>
      <c r="I211" s="617"/>
      <c r="J211" s="617"/>
      <c r="K211" s="1703">
        <f>'Revenues 9-14'!F275-'Expenditures 15-22'!K210</f>
        <v>54065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17200</v>
      </c>
      <c r="E215" s="617"/>
      <c r="F215" s="617"/>
      <c r="G215" s="617"/>
      <c r="H215" s="617"/>
      <c r="I215" s="617"/>
      <c r="J215" s="617"/>
      <c r="K215" s="1690">
        <f>D215</f>
        <v>17200</v>
      </c>
      <c r="L215" s="466">
        <v>21377</v>
      </c>
    </row>
    <row r="216" spans="1:14" x14ac:dyDescent="0.2">
      <c r="A216" s="1526" t="s">
        <v>165</v>
      </c>
      <c r="B216" s="615" t="s">
        <v>1024</v>
      </c>
      <c r="C216" s="617"/>
      <c r="D216" s="467">
        <v>13767</v>
      </c>
      <c r="E216" s="617"/>
      <c r="F216" s="617"/>
      <c r="G216" s="617"/>
      <c r="H216" s="617"/>
      <c r="I216" s="617"/>
      <c r="J216" s="617"/>
      <c r="K216" s="1690">
        <f t="shared" ref="K216:K228" si="19">D216</f>
        <v>13767</v>
      </c>
      <c r="L216" s="466">
        <v>5984</v>
      </c>
    </row>
    <row r="217" spans="1:14" x14ac:dyDescent="0.2">
      <c r="A217" s="1526" t="s">
        <v>166</v>
      </c>
      <c r="B217" s="615">
        <v>1200</v>
      </c>
      <c r="C217" s="617"/>
      <c r="D217" s="466">
        <v>9081</v>
      </c>
      <c r="E217" s="617"/>
      <c r="F217" s="617"/>
      <c r="G217" s="617"/>
      <c r="H217" s="617"/>
      <c r="I217" s="617"/>
      <c r="J217" s="617"/>
      <c r="K217" s="1690">
        <f t="shared" si="19"/>
        <v>9081</v>
      </c>
      <c r="L217" s="466">
        <v>12241</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v>8840</v>
      </c>
      <c r="E219" s="617"/>
      <c r="F219" s="617"/>
      <c r="G219" s="617"/>
      <c r="H219" s="617"/>
      <c r="I219" s="617"/>
      <c r="J219" s="617"/>
      <c r="K219" s="1690">
        <f t="shared" si="19"/>
        <v>8840</v>
      </c>
      <c r="L219" s="466">
        <v>4795</v>
      </c>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c r="E222" s="617"/>
      <c r="F222" s="617"/>
      <c r="G222" s="617"/>
      <c r="H222" s="617"/>
      <c r="I222" s="617"/>
      <c r="J222" s="617"/>
      <c r="K222" s="1690">
        <f t="shared" si="19"/>
        <v>0</v>
      </c>
      <c r="L222" s="466"/>
    </row>
    <row r="223" spans="1:14" x14ac:dyDescent="0.2">
      <c r="A223" s="1526" t="s">
        <v>1020</v>
      </c>
      <c r="B223" s="615">
        <v>1500</v>
      </c>
      <c r="C223" s="617"/>
      <c r="D223" s="466">
        <v>535</v>
      </c>
      <c r="E223" s="617"/>
      <c r="F223" s="617"/>
      <c r="G223" s="617"/>
      <c r="H223" s="617"/>
      <c r="I223" s="617"/>
      <c r="J223" s="617"/>
      <c r="K223" s="1690">
        <f t="shared" si="19"/>
        <v>535</v>
      </c>
      <c r="L223" s="466">
        <v>445</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c r="E226" s="617"/>
      <c r="F226" s="617"/>
      <c r="G226" s="617"/>
      <c r="H226" s="617"/>
      <c r="I226" s="617"/>
      <c r="J226" s="617"/>
      <c r="K226" s="1690">
        <f t="shared" si="19"/>
        <v>0</v>
      </c>
      <c r="L226" s="466"/>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49423</v>
      </c>
      <c r="E229" s="617"/>
      <c r="F229" s="617"/>
      <c r="G229" s="617"/>
      <c r="H229" s="617"/>
      <c r="I229" s="617"/>
      <c r="J229" s="617"/>
      <c r="K229" s="1689">
        <f>SUM(K215:K228)</f>
        <v>49423</v>
      </c>
      <c r="L229" s="1689">
        <f>SUM(L215:L228)</f>
        <v>44842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v>513</v>
      </c>
      <c r="E233" s="617"/>
      <c r="F233" s="617"/>
      <c r="G233" s="617"/>
      <c r="H233" s="617"/>
      <c r="I233" s="617"/>
      <c r="J233" s="617"/>
      <c r="K233" s="1690">
        <f t="shared" si="20"/>
        <v>513</v>
      </c>
      <c r="L233" s="466">
        <v>386</v>
      </c>
    </row>
    <row r="234" spans="1:12" x14ac:dyDescent="0.2">
      <c r="A234" s="1526" t="s">
        <v>207</v>
      </c>
      <c r="B234" s="615">
        <v>2130</v>
      </c>
      <c r="C234" s="617"/>
      <c r="D234" s="466"/>
      <c r="E234" s="617"/>
      <c r="F234" s="617"/>
      <c r="G234" s="617"/>
      <c r="H234" s="617"/>
      <c r="I234" s="617"/>
      <c r="J234" s="617"/>
      <c r="K234" s="1690">
        <f t="shared" si="20"/>
        <v>0</v>
      </c>
      <c r="L234" s="466"/>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513</v>
      </c>
      <c r="E238" s="617"/>
      <c r="F238" s="617"/>
      <c r="G238" s="617"/>
      <c r="H238" s="617"/>
      <c r="I238" s="617"/>
      <c r="J238" s="617"/>
      <c r="K238" s="1689">
        <f>SUM(K232:K237)</f>
        <v>513</v>
      </c>
      <c r="L238" s="1689">
        <f>SUM(L232:L237)</f>
        <v>386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row>
    <row r="241" spans="1:12" x14ac:dyDescent="0.2">
      <c r="A241" s="1526" t="s">
        <v>869</v>
      </c>
      <c r="B241" s="615">
        <v>2220</v>
      </c>
      <c r="C241" s="617"/>
      <c r="D241" s="466">
        <v>528</v>
      </c>
      <c r="E241" s="617"/>
      <c r="F241" s="617"/>
      <c r="G241" s="617"/>
      <c r="H241" s="617"/>
      <c r="I241" s="617"/>
      <c r="J241" s="617"/>
      <c r="K241" s="1691">
        <f>D241</f>
        <v>528</v>
      </c>
      <c r="L241" s="466">
        <v>530</v>
      </c>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528</v>
      </c>
      <c r="E243" s="617"/>
      <c r="F243" s="617"/>
      <c r="G243" s="617"/>
      <c r="H243" s="617"/>
      <c r="I243" s="617"/>
      <c r="J243" s="617"/>
      <c r="K243" s="1689">
        <f>SUM(K240:K242)</f>
        <v>528</v>
      </c>
      <c r="L243" s="1689">
        <f>SUM(L240:L242)</f>
        <v>530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row>
    <row r="246" spans="1:12" x14ac:dyDescent="0.2">
      <c r="A246" s="1526" t="s">
        <v>872</v>
      </c>
      <c r="B246" s="615">
        <v>2320</v>
      </c>
      <c r="C246" s="617"/>
      <c r="D246" s="466">
        <v>1299</v>
      </c>
      <c r="E246" s="617"/>
      <c r="F246" s="617"/>
      <c r="G246" s="617"/>
      <c r="H246" s="617"/>
      <c r="I246" s="617"/>
      <c r="J246" s="617"/>
      <c r="K246" s="1691">
        <f t="shared" ref="K246:K256" si="21">D246</f>
        <v>1299</v>
      </c>
      <c r="L246" s="466">
        <v>1543</v>
      </c>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1299</v>
      </c>
      <c r="E257" s="617"/>
      <c r="F257" s="617"/>
      <c r="G257" s="617"/>
      <c r="H257" s="617"/>
      <c r="I257" s="617"/>
      <c r="J257" s="617"/>
      <c r="K257" s="1689">
        <f>SUM(K245:K256)</f>
        <v>1299</v>
      </c>
      <c r="L257" s="1689">
        <f>SUM(L245:L256)</f>
        <v>1543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15212</v>
      </c>
      <c r="E259" s="617"/>
      <c r="F259" s="617"/>
      <c r="G259" s="617"/>
      <c r="H259" s="617"/>
      <c r="I259" s="617"/>
      <c r="J259" s="617"/>
      <c r="K259" s="1691">
        <f>D259</f>
        <v>15212</v>
      </c>
      <c r="L259" s="481">
        <v>16039</v>
      </c>
    </row>
    <row r="260" spans="1:14" s="598" customFormat="1" x14ac:dyDescent="0.2">
      <c r="A260" s="1544"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15212</v>
      </c>
      <c r="E261" s="617"/>
      <c r="F261" s="617"/>
      <c r="G261" s="617"/>
      <c r="H261" s="617"/>
      <c r="I261" s="617"/>
      <c r="J261" s="617"/>
      <c r="K261" s="1689">
        <f>SUM(K259:K260)</f>
        <v>15212</v>
      </c>
      <c r="L261" s="1689">
        <f>SUM(L259:L260)</f>
        <v>16039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9180</v>
      </c>
      <c r="E264" s="617"/>
      <c r="F264" s="617"/>
      <c r="G264" s="617"/>
      <c r="H264" s="617"/>
      <c r="I264" s="617"/>
      <c r="J264" s="617"/>
      <c r="K264" s="1691">
        <f t="shared" ref="K264:K269" si="22">D264</f>
        <v>9180</v>
      </c>
      <c r="L264" s="466">
        <v>10400</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27427</v>
      </c>
      <c r="E266" s="617"/>
      <c r="F266" s="617"/>
      <c r="G266" s="617"/>
      <c r="H266" s="617"/>
      <c r="I266" s="617"/>
      <c r="J266" s="617"/>
      <c r="K266" s="1691">
        <f t="shared" si="22"/>
        <v>27427</v>
      </c>
      <c r="L266" s="466">
        <v>31280</v>
      </c>
    </row>
    <row r="267" spans="1:14" x14ac:dyDescent="0.2">
      <c r="A267" s="1526" t="s">
        <v>1010</v>
      </c>
      <c r="B267" s="615">
        <v>2550</v>
      </c>
      <c r="C267" s="617"/>
      <c r="D267" s="466">
        <v>26497</v>
      </c>
      <c r="E267" s="617"/>
      <c r="F267" s="617"/>
      <c r="G267" s="617"/>
      <c r="H267" s="617"/>
      <c r="I267" s="617"/>
      <c r="J267" s="617"/>
      <c r="K267" s="1691">
        <f t="shared" si="22"/>
        <v>26497</v>
      </c>
      <c r="L267" s="466">
        <v>25707</v>
      </c>
    </row>
    <row r="268" spans="1:14" x14ac:dyDescent="0.2">
      <c r="A268" s="1526" t="s">
        <v>102</v>
      </c>
      <c r="B268" s="615">
        <v>2560</v>
      </c>
      <c r="C268" s="617"/>
      <c r="D268" s="466">
        <v>12383</v>
      </c>
      <c r="E268" s="617"/>
      <c r="F268" s="617"/>
      <c r="G268" s="617"/>
      <c r="H268" s="617"/>
      <c r="I268" s="617"/>
      <c r="J268" s="617"/>
      <c r="K268" s="1691">
        <f t="shared" si="22"/>
        <v>12383</v>
      </c>
      <c r="L268" s="466">
        <v>13499</v>
      </c>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75487</v>
      </c>
      <c r="E270" s="617"/>
      <c r="F270" s="617"/>
      <c r="G270" s="617"/>
      <c r="H270" s="617"/>
      <c r="I270" s="617"/>
      <c r="J270" s="617"/>
      <c r="K270" s="1689">
        <f>SUM(K263:K269)</f>
        <v>75487</v>
      </c>
      <c r="L270" s="1689">
        <f>SUM(L263:L269)</f>
        <v>80886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93039</v>
      </c>
      <c r="E279" s="617"/>
      <c r="F279" s="617"/>
      <c r="G279" s="617"/>
      <c r="H279" s="617"/>
      <c r="I279" s="617"/>
      <c r="J279" s="617"/>
      <c r="K279" s="1696">
        <f>SUM(K238,K243,K257,K261,K270,K277,K278)</f>
        <v>93039</v>
      </c>
      <c r="L279" s="1696">
        <f>SUM(L238,L243,L257,L261,L270,L277,L278)</f>
        <v>99384</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1957</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89">
        <f>SUM(D229,D279,D280,D285)</f>
        <v>142462</v>
      </c>
      <c r="E295" s="617"/>
      <c r="F295" s="617"/>
      <c r="G295" s="617"/>
      <c r="H295" s="1689">
        <f>H293</f>
        <v>0</v>
      </c>
      <c r="I295" s="617"/>
      <c r="J295" s="617"/>
      <c r="K295" s="1689">
        <f>SUM(K229,K279,K280,K285,K293,K294)</f>
        <v>142462</v>
      </c>
      <c r="L295" s="1689">
        <f>SUM(L229,L279,L280,L285,L293,L294)</f>
        <v>144226</v>
      </c>
    </row>
    <row r="296" spans="1:14" ht="13.5" thickTop="1" x14ac:dyDescent="0.2">
      <c r="A296" s="2170" t="s">
        <v>1053</v>
      </c>
      <c r="B296" s="2171"/>
      <c r="C296" s="617"/>
      <c r="D296" s="619"/>
      <c r="E296" s="617"/>
      <c r="F296" s="617"/>
      <c r="G296" s="617"/>
      <c r="H296" s="688"/>
      <c r="I296" s="617"/>
      <c r="J296" s="617"/>
      <c r="K296" s="1703">
        <f>'Revenues 9-14'!G275-'Expenditures 15-22'!K295</f>
        <v>4839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81" t="s">
        <v>1053</v>
      </c>
      <c r="B313" s="2182"/>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38029</v>
      </c>
      <c r="F320" s="467"/>
      <c r="G320" s="467"/>
      <c r="H320" s="467"/>
      <c r="I320" s="467"/>
      <c r="J320" s="467"/>
      <c r="K320" s="1690">
        <f t="shared" ref="K320:K327" si="24">SUM(C320:J320)</f>
        <v>38029</v>
      </c>
      <c r="L320" s="467">
        <v>38029</v>
      </c>
      <c r="M320" s="666"/>
      <c r="N320" s="666"/>
    </row>
    <row r="321" spans="1:14" s="675" customFormat="1" x14ac:dyDescent="0.2">
      <c r="A321" s="1541" t="s">
        <v>318</v>
      </c>
      <c r="B321" s="698" t="s">
        <v>301</v>
      </c>
      <c r="C321" s="467"/>
      <c r="D321" s="467"/>
      <c r="E321" s="467">
        <v>8391</v>
      </c>
      <c r="F321" s="467"/>
      <c r="G321" s="467"/>
      <c r="H321" s="467"/>
      <c r="I321" s="467"/>
      <c r="J321" s="467"/>
      <c r="K321" s="1690">
        <f t="shared" si="24"/>
        <v>8391</v>
      </c>
      <c r="L321" s="467">
        <v>12500</v>
      </c>
      <c r="M321" s="666"/>
      <c r="N321" s="666"/>
    </row>
    <row r="322" spans="1:14" s="675" customFormat="1" x14ac:dyDescent="0.2">
      <c r="A322" s="1541" t="s">
        <v>256</v>
      </c>
      <c r="B322" s="698" t="s">
        <v>302</v>
      </c>
      <c r="C322" s="467"/>
      <c r="D322" s="467"/>
      <c r="E322" s="467">
        <v>3725</v>
      </c>
      <c r="F322" s="467"/>
      <c r="G322" s="467"/>
      <c r="H322" s="467"/>
      <c r="I322" s="467"/>
      <c r="J322" s="467"/>
      <c r="K322" s="1690">
        <f t="shared" si="24"/>
        <v>3725</v>
      </c>
      <c r="L322" s="467">
        <v>2905</v>
      </c>
      <c r="M322" s="666"/>
      <c r="N322" s="666"/>
    </row>
    <row r="323" spans="1:14" s="675" customFormat="1" x14ac:dyDescent="0.2">
      <c r="A323" s="1541" t="s">
        <v>726</v>
      </c>
      <c r="B323" s="698" t="s">
        <v>303</v>
      </c>
      <c r="C323" s="467"/>
      <c r="D323" s="467"/>
      <c r="E323" s="467">
        <v>11875</v>
      </c>
      <c r="F323" s="467"/>
      <c r="G323" s="467"/>
      <c r="H323" s="467"/>
      <c r="I323" s="467"/>
      <c r="J323" s="467"/>
      <c r="K323" s="1690">
        <f t="shared" si="24"/>
        <v>11875</v>
      </c>
      <c r="L323" s="467">
        <v>16697</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70199</v>
      </c>
      <c r="D325" s="467"/>
      <c r="E325" s="467"/>
      <c r="F325" s="467"/>
      <c r="G325" s="467"/>
      <c r="H325" s="467"/>
      <c r="I325" s="467"/>
      <c r="J325" s="467"/>
      <c r="K325" s="1690">
        <f t="shared" si="24"/>
        <v>70199</v>
      </c>
      <c r="L325" s="467">
        <v>56755</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42" t="s">
        <v>492</v>
      </c>
      <c r="B328" s="691" t="s">
        <v>1194</v>
      </c>
      <c r="C328" s="474"/>
      <c r="D328" s="474"/>
      <c r="E328" s="474">
        <v>30012</v>
      </c>
      <c r="F328" s="474"/>
      <c r="G328" s="474"/>
      <c r="H328" s="474"/>
      <c r="I328" s="474"/>
      <c r="J328" s="474"/>
      <c r="K328" s="1718">
        <f>SUM(C328:J328)</f>
        <v>30012</v>
      </c>
      <c r="L328" s="474">
        <v>30012</v>
      </c>
      <c r="M328" s="666"/>
      <c r="N328" s="666"/>
    </row>
    <row r="329" spans="1:14" s="675" customFormat="1" x14ac:dyDescent="0.2">
      <c r="A329" s="1542" t="s">
        <v>1195</v>
      </c>
      <c r="B329" s="691" t="s">
        <v>1196</v>
      </c>
      <c r="C329" s="474"/>
      <c r="D329" s="474"/>
      <c r="E329" s="474">
        <v>13575</v>
      </c>
      <c r="F329" s="474"/>
      <c r="G329" s="474"/>
      <c r="H329" s="474"/>
      <c r="I329" s="474"/>
      <c r="J329" s="474"/>
      <c r="K329" s="1718">
        <f>SUM(C329:J329)</f>
        <v>13575</v>
      </c>
      <c r="L329" s="474">
        <v>13113</v>
      </c>
      <c r="M329" s="666"/>
      <c r="N329" s="666"/>
    </row>
    <row r="330" spans="1:14" s="675" customFormat="1" ht="12.75" customHeight="1" thickBot="1" x14ac:dyDescent="0.25">
      <c r="A330" s="1719" t="s">
        <v>741</v>
      </c>
      <c r="B330" s="1688" t="s">
        <v>590</v>
      </c>
      <c r="C330" s="1689">
        <f>SUM(C319:C329)</f>
        <v>70199</v>
      </c>
      <c r="D330" s="1689">
        <f t="shared" ref="D330:J330" si="25">SUM(D319:D329)</f>
        <v>0</v>
      </c>
      <c r="E330" s="1689">
        <f t="shared" si="25"/>
        <v>105607</v>
      </c>
      <c r="F330" s="1689">
        <f t="shared" si="25"/>
        <v>0</v>
      </c>
      <c r="G330" s="1689">
        <f t="shared" si="25"/>
        <v>0</v>
      </c>
      <c r="H330" s="1689">
        <f t="shared" si="25"/>
        <v>0</v>
      </c>
      <c r="I330" s="1689">
        <f t="shared" si="25"/>
        <v>0</v>
      </c>
      <c r="J330" s="1689">
        <f t="shared" si="25"/>
        <v>0</v>
      </c>
      <c r="K330" s="1689">
        <f>SUM(K319:K329)</f>
        <v>175806</v>
      </c>
      <c r="L330" s="1689">
        <f>SUM(L319:L329)</f>
        <v>170011</v>
      </c>
      <c r="M330" s="666"/>
      <c r="N330" s="666"/>
    </row>
    <row r="331" spans="1:14" s="675" customFormat="1" ht="12.75" customHeight="1" thickTop="1" x14ac:dyDescent="0.2">
      <c r="A331" s="1851" t="s">
        <v>1963</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1957</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1959</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70199</v>
      </c>
      <c r="D342" s="1689">
        <f>SUM(D330)</f>
        <v>0</v>
      </c>
      <c r="E342" s="1689">
        <f>SUM(E330)</f>
        <v>105607</v>
      </c>
      <c r="F342" s="1689">
        <f>SUM(F330)</f>
        <v>0</v>
      </c>
      <c r="G342" s="1689">
        <f>SUM(G330)</f>
        <v>0</v>
      </c>
      <c r="H342" s="1689">
        <f>SUM(H330,H334,H340)</f>
        <v>0</v>
      </c>
      <c r="I342" s="1689">
        <f>SUM(I330)</f>
        <v>0</v>
      </c>
      <c r="J342" s="1689">
        <f>SUM(J330)</f>
        <v>0</v>
      </c>
      <c r="K342" s="1689">
        <f>SUM(K330,K334,K340)</f>
        <v>175806</v>
      </c>
      <c r="L342" s="1696">
        <f>SUM(L330,L340,L341)</f>
        <v>170011</v>
      </c>
    </row>
    <row r="343" spans="1:14" ht="12.75" customHeight="1" thickTop="1" x14ac:dyDescent="0.2">
      <c r="A343" s="2183" t="s">
        <v>1053</v>
      </c>
      <c r="B343" s="2184"/>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v>1000</v>
      </c>
      <c r="F349" s="466"/>
      <c r="G349" s="466"/>
      <c r="H349" s="466"/>
      <c r="I349" s="467"/>
      <c r="J349" s="467"/>
      <c r="K349" s="1690">
        <f>SUM(C349:J349)</f>
        <v>1000</v>
      </c>
      <c r="L349" s="466"/>
    </row>
    <row r="350" spans="1:14" ht="12.75" customHeight="1" thickBot="1" x14ac:dyDescent="0.25">
      <c r="A350" s="1687" t="s">
        <v>743</v>
      </c>
      <c r="B350" s="1688" t="s">
        <v>35</v>
      </c>
      <c r="C350" s="1689">
        <f>SUM(C348:C349)</f>
        <v>0</v>
      </c>
      <c r="D350" s="1689">
        <f t="shared" ref="D350:L350" si="26">SUM(D348:D349)</f>
        <v>0</v>
      </c>
      <c r="E350" s="1689">
        <f t="shared" si="26"/>
        <v>1000</v>
      </c>
      <c r="F350" s="1689">
        <f t="shared" si="26"/>
        <v>0</v>
      </c>
      <c r="G350" s="1689">
        <f t="shared" si="26"/>
        <v>0</v>
      </c>
      <c r="H350" s="1689">
        <f t="shared" si="26"/>
        <v>0</v>
      </c>
      <c r="I350" s="1689">
        <f t="shared" si="26"/>
        <v>0</v>
      </c>
      <c r="J350" s="1689">
        <f t="shared" si="26"/>
        <v>0</v>
      </c>
      <c r="K350" s="1689">
        <f t="shared" si="26"/>
        <v>1000</v>
      </c>
      <c r="L350" s="1689">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1000</v>
      </c>
      <c r="F352" s="1689">
        <f t="shared" si="27"/>
        <v>0</v>
      </c>
      <c r="G352" s="1689">
        <f t="shared" si="27"/>
        <v>0</v>
      </c>
      <c r="H352" s="1689">
        <f t="shared" si="27"/>
        <v>0</v>
      </c>
      <c r="I352" s="1689">
        <f t="shared" si="27"/>
        <v>0</v>
      </c>
      <c r="J352" s="1689">
        <f t="shared" si="27"/>
        <v>0</v>
      </c>
      <c r="K352" s="1689">
        <f t="shared" si="27"/>
        <v>1000</v>
      </c>
      <c r="L352" s="1689">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1965</v>
      </c>
      <c r="B354" s="684" t="s">
        <v>1957</v>
      </c>
      <c r="C354" s="617"/>
      <c r="D354" s="617"/>
      <c r="E354" s="617"/>
      <c r="F354" s="617"/>
      <c r="G354" s="617"/>
      <c r="H354" s="474"/>
      <c r="I354" s="702"/>
      <c r="J354" s="617"/>
      <c r="K354" s="1718">
        <f>H354</f>
        <v>0</v>
      </c>
      <c r="L354" s="471"/>
    </row>
    <row r="355" spans="1:14" ht="12.75" customHeight="1" x14ac:dyDescent="0.2">
      <c r="A355" s="1535" t="s">
        <v>1966</v>
      </c>
      <c r="B355" s="691" t="s">
        <v>1959</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1000</v>
      </c>
      <c r="F367" s="1689">
        <f t="shared" si="28"/>
        <v>0</v>
      </c>
      <c r="G367" s="1689">
        <f t="shared" si="28"/>
        <v>0</v>
      </c>
      <c r="H367" s="1689">
        <f t="shared" si="28"/>
        <v>0</v>
      </c>
      <c r="I367" s="1689">
        <f t="shared" si="28"/>
        <v>0</v>
      </c>
      <c r="J367" s="1689">
        <f t="shared" si="28"/>
        <v>0</v>
      </c>
      <c r="K367" s="1689">
        <f t="shared" si="28"/>
        <v>1000</v>
      </c>
      <c r="L367" s="1689">
        <f t="shared" si="28"/>
        <v>0</v>
      </c>
    </row>
    <row r="368" spans="1:14" ht="13.5" thickTop="1" x14ac:dyDescent="0.2">
      <c r="A368" s="2170" t="s">
        <v>1053</v>
      </c>
      <c r="B368" s="2171"/>
      <c r="C368" s="655"/>
      <c r="D368" s="655"/>
      <c r="E368" s="627"/>
      <c r="F368" s="627"/>
      <c r="G368" s="627"/>
      <c r="H368" s="627"/>
      <c r="I368" s="627"/>
      <c r="J368" s="624"/>
      <c r="K368" s="1690">
        <f>'Revenues 9-14'!K275-'Expenditures 15-22'!K367</f>
        <v>10464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purl.org/dc/terms/"/>
    <ds:schemaRef ds:uri="http://purl.org/dc/dcmitype/"/>
    <ds:schemaRef ds:uri="4d435f69-8686-490b-bd6d-b153bf22ab50"/>
    <ds:schemaRef ds:uri="http://purl.org/dc/elements/1.1/"/>
    <ds:schemaRef ds:uri="d21dc803-237d-4c68-8692-8d731fd29118"/>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2018-10-10T20:05:47Z</cp:lastPrinted>
  <dcterms:created xsi:type="dcterms:W3CDTF">2003-10-29T19:06:34Z</dcterms:created>
  <dcterms:modified xsi:type="dcterms:W3CDTF">2018-10-29T20:51:32Z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