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24" i="127" l="1"/>
  <c r="I17" i="127"/>
  <c r="I12" i="127"/>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s="1"/>
  <c r="B6732" i="106"/>
  <c r="D6732" i="106"/>
  <c r="B6733" i="106"/>
  <c r="D6733" i="106" s="1"/>
  <c r="B6734" i="106"/>
  <c r="D6734" i="106" s="1"/>
  <c r="B6735" i="106"/>
  <c r="D6735" i="106" s="1"/>
  <c r="B6736" i="106"/>
  <c r="D6736" i="106"/>
  <c r="B6737" i="106"/>
  <c r="D6737" i="106" s="1"/>
  <c r="B6738" i="106"/>
  <c r="D6738" i="106" s="1"/>
  <c r="B6739" i="106"/>
  <c r="D6739" i="106" s="1"/>
  <c r="B6740" i="106"/>
  <c r="D6740" i="106"/>
  <c r="B6741" i="106"/>
  <c r="D6741" i="106" s="1"/>
  <c r="B6742" i="106"/>
  <c r="D6742" i="106" s="1"/>
  <c r="B6743" i="106"/>
  <c r="D6743" i="106" s="1"/>
  <c r="B6744" i="106"/>
  <c r="D6744" i="106"/>
  <c r="B6745" i="106"/>
  <c r="D6745" i="106" s="1"/>
  <c r="B6746" i="106"/>
  <c r="D6746" i="106" s="1"/>
  <c r="B6747" i="106"/>
  <c r="D6747" i="106" s="1"/>
  <c r="B6748" i="106"/>
  <c r="D6748" i="106"/>
  <c r="B6749" i="106"/>
  <c r="D6749" i="106" s="1"/>
  <c r="B6750" i="106"/>
  <c r="D6750" i="106" s="1"/>
  <c r="B6751" i="106"/>
  <c r="D6751" i="106" s="1"/>
  <c r="B6752" i="106"/>
  <c r="D6752" i="106"/>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c r="B6765" i="106"/>
  <c r="D6765" i="106" s="1"/>
  <c r="B6766" i="106"/>
  <c r="D6766" i="106" s="1"/>
  <c r="B6767" i="106"/>
  <c r="D6767" i="106" s="1"/>
  <c r="B6768" i="106"/>
  <c r="D6768" i="106"/>
  <c r="B6769" i="106"/>
  <c r="D6769" i="106" s="1"/>
  <c r="B6770" i="106"/>
  <c r="D6770" i="106" s="1"/>
  <c r="B6771" i="106"/>
  <c r="D6771" i="106" s="1"/>
  <c r="B6772" i="106"/>
  <c r="D6772" i="106"/>
  <c r="B6773" i="106"/>
  <c r="D6773" i="106" s="1"/>
  <c r="B6774" i="106"/>
  <c r="D6774" i="106" s="1"/>
  <c r="B6775" i="106"/>
  <c r="D6775" i="106" s="1"/>
  <c r="B6776" i="106"/>
  <c r="D6776" i="106"/>
  <c r="B6777" i="106"/>
  <c r="D6777" i="106" s="1"/>
  <c r="B6778" i="106"/>
  <c r="D6778" i="106" s="1"/>
  <c r="B6779" i="106"/>
  <c r="D6779" i="106" s="1"/>
  <c r="B6780" i="106"/>
  <c r="D6780" i="106"/>
  <c r="B6781" i="106"/>
  <c r="D6781" i="106" s="1"/>
  <c r="B6782" i="106"/>
  <c r="D6782" i="106" s="1"/>
  <c r="B6783" i="106"/>
  <c r="D6783" i="106" s="1"/>
  <c r="B6784" i="106"/>
  <c r="D6784" i="106"/>
  <c r="B6785" i="106"/>
  <c r="D6785" i="106" s="1"/>
  <c r="B6786" i="106"/>
  <c r="D6786" i="106" s="1"/>
  <c r="B6787" i="106"/>
  <c r="D6787" i="106" s="1"/>
  <c r="B6788" i="106"/>
  <c r="D6788" i="106"/>
  <c r="B6789" i="106"/>
  <c r="D6789" i="106" s="1"/>
  <c r="B6790" i="106"/>
  <c r="D6790" i="106" s="1"/>
  <c r="B6791" i="106"/>
  <c r="D6791" i="106" s="1"/>
  <c r="B6792" i="106"/>
  <c r="D6792" i="106"/>
  <c r="B6793" i="106"/>
  <c r="D6793" i="106" s="1"/>
  <c r="B6794" i="106"/>
  <c r="D6794" i="106" s="1"/>
  <c r="B6795" i="106"/>
  <c r="D6795" i="106" s="1"/>
  <c r="B6796" i="106"/>
  <c r="D6796" i="106"/>
  <c r="B6797" i="106"/>
  <c r="D6797" i="106" s="1"/>
  <c r="B6798" i="106"/>
  <c r="D6798" i="106" s="1"/>
  <c r="B6799" i="106"/>
  <c r="D6799" i="106" s="1"/>
  <c r="B6800" i="106"/>
  <c r="D6800" i="106"/>
  <c r="B6801" i="106"/>
  <c r="D6801" i="106" s="1"/>
  <c r="B6802" i="106"/>
  <c r="D6802" i="106" s="1"/>
  <c r="B6803" i="106"/>
  <c r="D6803" i="106" s="1"/>
  <c r="B6804" i="106"/>
  <c r="D6804" i="106"/>
  <c r="B6805" i="106"/>
  <c r="D6805" i="106" s="1"/>
  <c r="B6806" i="106"/>
  <c r="D6806" i="106" s="1"/>
  <c r="B6807" i="106"/>
  <c r="D6807" i="106" s="1"/>
  <c r="B6808" i="106"/>
  <c r="D6808" i="106"/>
  <c r="B6809" i="106"/>
  <c r="D6809" i="106" s="1"/>
  <c r="B6810" i="106"/>
  <c r="D6810" i="106" s="1"/>
  <c r="B6811" i="106"/>
  <c r="D6811" i="106" s="1"/>
  <c r="B6812" i="106"/>
  <c r="D6812" i="106"/>
  <c r="B6813" i="106"/>
  <c r="D6813" i="106" s="1"/>
  <c r="B6814" i="106"/>
  <c r="D6814" i="106" s="1"/>
  <c r="B6815" i="106"/>
  <c r="D6815" i="106" s="1"/>
  <c r="B6816" i="106"/>
  <c r="D6816" i="106"/>
  <c r="B6817" i="106"/>
  <c r="D6817" i="106" s="1"/>
  <c r="B6818" i="106"/>
  <c r="D6818" i="106" s="1"/>
  <c r="B6819" i="106"/>
  <c r="D6819" i="106" s="1"/>
  <c r="B6820" i="106"/>
  <c r="D6820" i="106"/>
  <c r="B6821" i="106"/>
  <c r="D6821" i="106" s="1"/>
  <c r="B6822" i="106"/>
  <c r="D6822" i="106" s="1"/>
  <c r="B6823" i="106"/>
  <c r="D6823" i="106" s="1"/>
  <c r="B6824" i="106"/>
  <c r="D6824" i="106"/>
  <c r="B6825" i="106"/>
  <c r="D6825" i="106" s="1"/>
  <c r="B6826" i="106"/>
  <c r="D6826" i="106" s="1"/>
  <c r="B6827" i="106"/>
  <c r="D6827" i="106" s="1"/>
  <c r="B6828" i="106"/>
  <c r="D6828" i="106"/>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D13" i="7"/>
  <c r="B3726" i="106" s="1"/>
  <c r="D3726" i="106" s="1"/>
  <c r="F136" i="34"/>
  <c r="F128" i="34"/>
  <c r="F111" i="34"/>
  <c r="B5847" i="106"/>
  <c r="D5847" i="106" s="1"/>
  <c r="B5752" i="106"/>
  <c r="D5752" i="106" s="1"/>
  <c r="K274" i="5"/>
  <c r="H173" i="5"/>
  <c r="B5906" i="106" s="1"/>
  <c r="D5906" i="106" s="1"/>
  <c r="H109" i="5"/>
  <c r="B6025" i="106" s="1"/>
  <c r="D6025" i="106" s="1"/>
  <c r="D109" i="5"/>
  <c r="B5356" i="106" s="1"/>
  <c r="D5356" i="106" s="1"/>
  <c r="H6" i="4"/>
  <c r="B2656" i="106" s="1"/>
  <c r="D2656" i="106" s="1"/>
  <c r="D11" i="7"/>
  <c r="B1768" i="106" s="1"/>
  <c r="D1768" i="106" s="1"/>
  <c r="F127" i="34" l="1"/>
  <c r="F130" i="34"/>
  <c r="L5" i="11"/>
  <c r="B2056" i="106" s="1"/>
  <c r="D2056" i="106" s="1"/>
  <c r="K28" i="118"/>
  <c r="O27" i="118" s="1"/>
  <c r="O29" i="118" s="1"/>
  <c r="G5" i="4"/>
  <c r="B3409" i="106" s="1"/>
  <c r="D3409" i="106" s="1"/>
  <c r="G172" i="5"/>
  <c r="J367" i="29"/>
  <c r="B7245" i="106" s="1"/>
  <c r="D7245" i="106" s="1"/>
  <c r="B7235" i="106"/>
  <c r="D7235" i="106" s="1"/>
  <c r="H342" i="29"/>
  <c r="L312" i="29"/>
  <c r="F66" i="34"/>
  <c r="F50" i="34"/>
  <c r="F46" i="34"/>
  <c r="F44" i="34"/>
  <c r="F41" i="34"/>
  <c r="F35" i="34"/>
  <c r="J41" i="3"/>
  <c r="K350" i="29"/>
  <c r="K76" i="4"/>
  <c r="B3586" i="106" s="1"/>
  <c r="D3586" i="106" s="1"/>
  <c r="G210" i="29"/>
  <c r="E174" i="29"/>
  <c r="B1309" i="106" s="1"/>
  <c r="D1309" i="106" s="1"/>
  <c r="F131" i="34"/>
  <c r="B3649" i="106"/>
  <c r="D3649" i="106" s="1"/>
  <c r="G367" i="29"/>
  <c r="B3621" i="106"/>
  <c r="D3621" i="106" s="1"/>
  <c r="C367" i="29"/>
  <c r="K24" i="12"/>
  <c r="D69" i="36"/>
  <c r="F19" i="7"/>
  <c r="B1807" i="106" s="1"/>
  <c r="D1807" i="106" s="1"/>
  <c r="L342" i="29"/>
  <c r="B1410" i="106"/>
  <c r="D1410" i="106" s="1"/>
  <c r="E29" i="108"/>
  <c r="K184" i="29"/>
  <c r="F13" i="4" s="1"/>
  <c r="B2596" i="106" s="1"/>
  <c r="D2596" i="106" s="1"/>
  <c r="G29" i="108"/>
  <c r="B1329" i="106"/>
  <c r="D1329" i="106" s="1"/>
  <c r="F61" i="34"/>
  <c r="F28" i="108"/>
  <c r="F41" i="108" s="1"/>
  <c r="G43" i="108" s="1"/>
  <c r="E28" i="108"/>
  <c r="G39" i="108"/>
  <c r="D15" i="7"/>
  <c r="B1772" i="106" s="1"/>
  <c r="D1772" i="106" s="1"/>
  <c r="D7" i="7"/>
  <c r="B1763" i="106" s="1"/>
  <c r="D1763" i="106" s="1"/>
  <c r="D5" i="7"/>
  <c r="B1761" i="106" s="1"/>
  <c r="D1761" i="106" s="1"/>
  <c r="D17" i="7"/>
  <c r="B4104" i="106" s="1"/>
  <c r="D4104" i="106" s="1"/>
  <c r="D9" i="7"/>
  <c r="B1767" i="106" s="1"/>
  <c r="D1767" i="106" s="1"/>
  <c r="F106" i="34"/>
  <c r="C172" i="5"/>
  <c r="C109" i="5"/>
  <c r="B5121" i="106" s="1"/>
  <c r="D5121" i="106" s="1"/>
  <c r="F94" i="34"/>
  <c r="B5096" i="106"/>
  <c r="D5096" i="106" s="1"/>
  <c r="D12" i="7"/>
  <c r="B1769" i="106" s="1"/>
  <c r="D1769" i="106" s="1"/>
  <c r="H4" i="4"/>
  <c r="B2655" i="106" s="1"/>
  <c r="D2655" i="106" s="1"/>
  <c r="G109" i="5"/>
  <c r="B1746" i="106"/>
  <c r="D1746" i="106" s="1"/>
  <c r="D4" i="4"/>
  <c r="B2564" i="106" s="1"/>
  <c r="D2564" i="106" s="1"/>
  <c r="D52" i="36"/>
  <c r="D31" i="36"/>
  <c r="D11" i="37"/>
  <c r="H33" i="118"/>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F275" i="5" s="1"/>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3670" i="106" l="1"/>
  <c r="D3670" i="106" s="1"/>
  <c r="K352" i="29"/>
  <c r="G173" i="5"/>
  <c r="B5770" i="106"/>
  <c r="D5770" i="106" s="1"/>
  <c r="B1365" i="106"/>
  <c r="D1365" i="106" s="1"/>
  <c r="F65" i="34"/>
  <c r="H367" i="29"/>
  <c r="B3660" i="106" s="1"/>
  <c r="D3660" i="106" s="1"/>
  <c r="B7733" i="106"/>
  <c r="D7733" i="106" s="1"/>
  <c r="K26" i="12"/>
  <c r="B7743" i="106" s="1"/>
  <c r="D7743" i="106" s="1"/>
  <c r="K342" i="29"/>
  <c r="F13" i="34" s="1"/>
  <c r="B1381" i="106"/>
  <c r="D1381" i="106" s="1"/>
  <c r="B1317" i="106"/>
  <c r="D1317" i="106" s="1"/>
  <c r="L114" i="29"/>
  <c r="C114" i="29"/>
  <c r="B757" i="106" s="1"/>
  <c r="D757" i="106" s="1"/>
  <c r="B5214" i="106"/>
  <c r="D5214" i="106" s="1"/>
  <c r="C173" i="5"/>
  <c r="C4" i="4"/>
  <c r="B2551" i="106" s="1"/>
  <c r="D2551" i="106" s="1"/>
  <c r="H8" i="4"/>
  <c r="H10" i="4" s="1"/>
  <c r="B4127" i="106" s="1"/>
  <c r="D4127" i="106" s="1"/>
  <c r="B6024" i="106"/>
  <c r="D6024"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5778" i="106" l="1"/>
  <c r="D5778" i="106" s="1"/>
  <c r="G6" i="4"/>
  <c r="B2604" i="106" s="1"/>
  <c r="D2604" i="106" s="1"/>
  <c r="K13" i="4"/>
  <c r="B3572" i="106" s="1"/>
  <c r="D3572" i="106" s="1"/>
  <c r="B3672" i="106"/>
  <c r="D3672" i="106" s="1"/>
  <c r="K367" i="29"/>
  <c r="B7224" i="106"/>
  <c r="D7224" i="106" s="1"/>
  <c r="B1145" i="106"/>
  <c r="D1145" i="106" s="1"/>
  <c r="G41" i="108"/>
  <c r="G44" i="108" s="1"/>
  <c r="G45" i="108" s="1"/>
  <c r="B5223" i="106"/>
  <c r="D5223" i="106" s="1"/>
  <c r="C6" i="4"/>
  <c r="B2553" i="106" s="1"/>
  <c r="D2553" i="106" s="1"/>
  <c r="B2658" i="106"/>
  <c r="D2658" i="106" s="1"/>
  <c r="J8" i="4"/>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<sst xmlns="http://schemas.openxmlformats.org/spreadsheetml/2006/main" count="5098" uniqueCount="2151">
  <si>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</si>
  <si>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</si>
  <si>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</si>
  <si>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</si>
  <si>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</si>
  <si>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</si>
  <si>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</si>
  <si>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</si>
  <si>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</si>
  <si>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</si>
  <si>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</si>
  <si>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</si>
  <si>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</si>
  <si>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</si>
  <si>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</si>
  <si>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</si>
  <si>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</si>
  <si>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</si>
  <si>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</si>
  <si>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</si>
  <si>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</si>
  <si>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</si>
  <si>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</si>
  <si>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</si>
  <si>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</si>
  <si>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</si>
  <si>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</si>
  <si>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</si>
  <si>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</si>
  <si>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</si>
  <si>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</si>
  <si>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</si>
  <si>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</si>
  <si>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</si>
  <si>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</si>
  <si>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</si>
  <si>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</si>
  <si>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</si>
  <si>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</si>
  <si>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</si>
  <si>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</si>
  <si>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</si>
  <si>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</si>
  <si>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</si>
  <si>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</si>
  <si>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</si>
  <si>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</si>
  <si>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</si>
  <si>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</si>
  <si>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</si>
  <si>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</si>
  <si>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</si>
  <si>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</si>
  <si>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</si>
  <si>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</si>
  <si>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</si>
  <si>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</si>
  <si>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</si>
  <si>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</si>
  <si>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</si>
  <si>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</si>
  <si>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</si>
  <si>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</si>
  <si>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</si>
  <si>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</si>
  <si>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</si>
  <si>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</si>
  <si>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</si>
  <si>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</si>
  <si>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</si>
  <si>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</si>
  <si>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</si>
  <si>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</si>
  <si>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</si>
  <si>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</si>
  <si>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</si>
  <si>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</si>
  <si>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</si>
  <si>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</si>
  <si>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</si>
  <si>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</si>
  <si>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</si>
  <si>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</si>
  <si>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</si>
  <si>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</si>
  <si>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</si>
  <si>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</si>
  <si>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</si>
  <si>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</si>
  <si>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</si>
  <si>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</si>
  <si>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</si>
  <si>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</si>
  <si>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</si>
  <si>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</si>
  <si>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</si>
  <si>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</si>
  <si>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</si>
  <si>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</si>
  <si>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</si>
  <si>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</si>
  <si>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</si>
  <si>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</si>
  <si>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</si>
  <si>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</si>
  <si>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</si>
  <si>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</si>
  <si>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</si>
  <si>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</si>
  <si>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</si>
  <si>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</si>
  <si>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</si>
  <si>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</si>
  <si>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</si>
  <si>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</si>
  <si>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</si>
  <si>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</si>
  <si>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</si>
  <si>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</si>
  <si>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</si>
  <si>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</si>
  <si>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</si>
  <si>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</si>
  <si>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</si>
  <si>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</si>
  <si>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</si>
  <si>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</si>
  <si>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</si>
  <si>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</si>
  <si>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</si>
  <si>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</si>
  <si>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</si>
  <si>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</si>
  <si>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</si>
  <si>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</si>
  <si>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</si>
  <si>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</si>
  <si>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</si>
  <si>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</si>
  <si>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</si>
  <si>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</si>
  <si>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</si>
  <si>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</si>
  <si>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</si>
  <si>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</si>
  <si>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</si>
  <si>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</si>
  <si>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</si>
  <si>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</si>
  <si>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</si>
  <si>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</si>
  <si>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</si>
  <si>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</si>
  <si>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</si>
  <si>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</si>
  <si>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</si>
  <si>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</si>
  <si>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</si>
  <si>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</si>
  <si>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</si>
  <si>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</si>
  <si>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</si>
  <si>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</si>
  <si>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</si>
  <si>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</si>
  <si>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</si>
  <si>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</si>
  <si>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</si>
  <si>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</si>
  <si>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</si>
  <si>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</si>
  <si>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</si>
  <si>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</si>
  <si>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</si>
  <si>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</si>
  <si>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</si>
  <si>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</si>
  <si>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</si>
  <si>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</si>
  <si>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</si>
  <si>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</si>
  <si>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</si>
  <si>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</si>
  <si>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</si>
  <si>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</si>
  <si>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</si>
  <si>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</si>
  <si>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</si>
  <si>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</si>
  <si>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</si>
  <si>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</si>
  <si>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</si>
  <si>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</si>
  <si>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</si>
  <si>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</si>
  <si>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</si>
  <si>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</si>
  <si>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</si>
  <si>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</si>
  <si>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</si>
  <si>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</si>
  <si>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</si>
  <si>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</si>
  <si>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</si>
  <si>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</si>
  <si>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</si>
  <si>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</si>
  <si>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</si>
  <si>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</si>
  <si>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</si>
  <si>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</si>
  <si>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</si>
  <si>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</si>
  <si>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</si>
  <si>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</si>
  <si>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</si>
  <si>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</si>
  <si>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</si>
  <si>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</si>
  <si>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</si>
  <si>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</si>
  <si>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</si>
  <si>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</si>
  <si>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</si>
  <si>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</si>
  <si>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</si>
  <si>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</si>
  <si>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</si>
  <si>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</si>
  <si>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</si>
  <si>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</si>
  <si>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</si>
  <si>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</si>
  <si>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</si>
  <si>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</si>
  <si>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</si>
  <si>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</si>
  <si>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</si>
  <si>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</si>
  <si>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</si>
  <si>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</si>
  <si>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</si>
  <si>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</si>
  <si>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</si>
  <si>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</si>
  <si>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</si>
  <si>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</si>
  <si>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</si>
  <si>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</si>
  <si>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</si>
  <si>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</si>
  <si>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</si>
  <si>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</si>
  <si>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</si>
  <si>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</si>
  <si>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</si>
  <si>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</si>
  <si>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</si>
  <si>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</si>
  <si>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</si>
  <si>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</si>
  <si>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</si>
  <si>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</si>
  <si>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</si>
  <si>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</si>
  <si>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</si>
  <si>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</si>
  <si>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</si>
  <si>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</si>
  <si>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</si>
  <si>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</si>
  <si>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</si>
  <si>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</si>
  <si>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</si>
  <si>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</si>
  <si>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</si>
  <si>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</si>
  <si>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</si>
  <si>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</si>
  <si>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</si>
  <si>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</si>
  <si>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</si>
  <si>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</si>
  <si>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</si>
  <si>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</si>
  <si>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</si>
  <si>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</si>
  <si>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</si>
  <si>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</si>
  <si>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</si>
  <si>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</si>
  <si>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</si>
  <si>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</si>
  <si>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</si>
  <si>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</si>
  <si>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</si>
  <si>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</si>
  <si>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</si>
  <si>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</si>
  <si>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</si>
  <si>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</si>
  <si>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</si>
  <si>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</si>
  <si>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</si>
  <si>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</si>
  <si>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</si>
  <si>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</si>
  <si>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</si>
  <si>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</si>
  <si>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</si>
  <si>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</si>
  <si>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</si>
  <si>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</si>
  <si>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</si>
  <si>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</si>
  <si>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</si>
  <si>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</si>
  <si>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</si>
  <si>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</si>
  <si>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</si>
  <si>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</si>
  <si>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</si>
  <si>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</si>
  <si>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</si>
  <si>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</si>
  <si>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</si>
  <si>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</si>
  <si>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</si>
  <si>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</si>
  <si>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</si>
  <si>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</si>
  <si>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</si>
  <si>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</si>
  <si>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</si>
  <si>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</si>
  <si>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</si>
  <si>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</si>
  <si>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</si>
  <si>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</si>
  <si>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</si>
  <si>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</si>
  <si>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</si>
  <si>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</si>
  <si>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</si>
  <si>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</si>
  <si>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</si>
  <si>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</si>
  <si>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</si>
  <si>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</si>
  <si>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</si>
  <si>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</si>
  <si>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</si>
  <si>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</si>
  <si>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</si>
  <si>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</si>
  <si>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</si>
  <si>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</si>
  <si>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</si>
  <si>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</si>
  <si>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</si>
  <si>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</si>
  <si>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</si>
  <si>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</si>
  <si>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</si>
  <si>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</si>
  <si>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</si>
  <si>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</si>
  <si>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</si>
  <si>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</si>
  <si>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</si>
  <si>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</si>
  <si>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</si>
  <si>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</si>
  <si>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</si>
  <si>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</si>
  <si>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</si>
  <si>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</si>
  <si>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</si>
  <si>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</si>
  <si>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</si>
  <si>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</si>
  <si>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</si>
  <si>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</si>
  <si>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</si>
  <si>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</si>
  <si>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</si>
  <si>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</si>
  <si>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</si>
  <si>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</si>
  <si>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</si>
  <si>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</si>
  <si>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</si>
  <si>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</si>
  <si>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</si>
  <si>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</si>
  <si>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</si>
  <si>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</si>
  <si>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</si>
  <si>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</si>
  <si>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</si>
  <si>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</si>
  <si>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</si>
  <si>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</si>
  <si>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</si>
  <si>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</si>
  <si>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</si>
  <si>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</si>
  <si>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</si>
  <si>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</si>
  <si>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</si>
  <si>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</si>
  <si>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</si>
  <si>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</si>
  <si>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</si>
  <si>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</si>
  <si>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</si>
  <si>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</si>
  <si>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</si>
  <si>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</si>
  <si>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</si>
  <si>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</si>
  <si>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</si>
  <si>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</si>
  <si>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</si>
  <si>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</si>
  <si>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</si>
  <si>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</si>
  <si>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</si>
  <si>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</si>
  <si>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</si>
  <si>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</si>
  <si>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</si>
  <si>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</si>
  <si>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</si>
  <si>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</si>
  <si>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</si>
  <si>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</si>
  <si>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</si>
  <si>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</si>
  <si>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</si>
  <si>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</si>
  <si>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</si>
  <si>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</si>
  <si>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</si>
  <si>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</si>
  <si>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</si>
  <si>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</si>
  <si>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</si>
  <si>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</si>
  <si>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</si>
  <si>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</si>
  <si>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</si>
  <si>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</si>
  <si>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</si>
  <si>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</si>
  <si>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</si>
  <si>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</si>
  <si>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</si>
  <si>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</si>
  <si>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</si>
  <si>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</si>
  <si>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</si>
  <si>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</si>
  <si>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</si>
  <si>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</si>
  <si>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</si>
  <si>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</si>
  <si>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</si>
  <si>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</si>
  <si>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</si>
  <si>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</si>
  <si>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</si>
  <si>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</si>
  <si>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</si>
  <si>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</si>
  <si>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</si>
  <si>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</si>
  <si>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</si>
  <si>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</si>
  <si>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</si>
  <si>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</si>
  <si>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</si>
  <si>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</si>
  <si>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</si>
  <si>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</si>
  <si>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</si>
  <si>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</si>
  <si>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</si>
  <si>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</si>
  <si>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</si>
  <si>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</si>
  <si>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</si>
  <si>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</si>
  <si>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</si>
  <si>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</si>
  <si>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</si>
  <si>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</si>
  <si>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</si>
  <si>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</si>
  <si>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</si>
  <si>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</si>
  <si>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</si>
  <si>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</si>
  <si>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</si>
  <si>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</si>
  <si>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</si>
  <si>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</si>
  <si>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</si>
  <si>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</si>
  <si>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</si>
  <si>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</si>
  <si>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</si>
  <si>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</si>
  <si>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</si>
  <si>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</si>
  <si>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</si>
  <si>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</si>
  <si>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</si>
  <si>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</si>
  <si>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</si>
  <si>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</si>
  <si>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</si>
  <si>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</si>
  <si>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</si>
  <si>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</si>
  <si>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</si>
  <si>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</si>
  <si>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</si>
  <si>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</si>
  <si>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</si>
  <si>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</si>
  <si>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</si>
  <si>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</si>
  <si>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</si>
  <si>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</si>
  <si>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</si>
  <si>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</si>
  <si>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</si>
  <si>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</si>
  <si>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</si>
  <si>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</si>
  <si>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</si>
  <si>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</si>
  <si>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</si>
  <si>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</si>
  <si>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</si>
  <si>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</si>
  <si>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</si>
  <si>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</si>
  <si>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</si>
  <si>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</si>
  <si>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</si>
  <si>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</si>
  <si>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</si>
  <si>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</si>
  <si>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</si>
  <si>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</si>
  <si>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</si>
  <si>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</si>
  <si>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</si>
  <si>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</si>
  <si>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</si>
  <si>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</si>
  <si>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</si>
  <si>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</si>
  <si>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</si>
  <si>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</si>
  <si>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</si>
  <si>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</si>
  <si>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</si>
  <si>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</si>
  <si>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</si>
  <si>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</si>
  <si>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</si>
  <si>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</si>
  <si>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</si>
  <si>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</si>
  <si>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</si>
  <si>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</si>
  <si>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</si>
  <si>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</si>
  <si>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</si>
  <si>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</si>
  <si>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</si>
  <si>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</si>
  <si>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</si>
  <si>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</si>
  <si>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</si>
  <si>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</si>
  <si>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</si>
  <si>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</si>
  <si>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</si>
  <si>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</si>
  <si>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</si>
  <si>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</si>
  <si>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</si>
  <si>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</si>
  <si>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</si>
  <si>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</si>
  <si>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</si>
  <si>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</si>
  <si>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</si>
  <si>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</si>
  <si>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</si>
  <si>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</si>
  <si>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</si>
  <si>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</si>
  <si>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</si>
  <si>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</si>
  <si>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</si>
  <si>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</si>
  <si>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</si>
  <si>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</si>
  <si>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</si>
  <si>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</si>
  <si>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</si>
  <si>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</si>
  <si>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</si>
  <si>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</si>
  <si>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</si>
  <si>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</si>
  <si>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</si>
  <si>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</si>
  <si>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</si>
  <si>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</si>
  <si>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</si>
  <si>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</si>
  <si>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</si>
  <si>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</si>
  <si>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</si>
  <si>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</si>
  <si>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</si>
  <si>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</si>
  <si>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</si>
  <si>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</si>
  <si>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</si>
  <si>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</si>
  <si>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</si>
  <si>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</si>
  <si>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</si>
  <si>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</si>
  <si>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</si>
  <si>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</si>
  <si>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</si>
  <si>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</si>
  <si>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</si>
  <si>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</si>
  <si>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</si>
  <si>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</si>
  <si>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</si>
  <si>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</si>
  <si>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</si>
  <si>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</si>
  <si>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</si>
  <si>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</si>
  <si>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</si>
  <si>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</si>
  <si>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</si>
  <si>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</si>
  <si>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</si>
  <si>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</si>
  <si>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</si>
  <si>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</si>
  <si>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</si>
  <si>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</si>
  <si>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</si>
  <si>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</si>
  <si>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</si>
  <si>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</si>
  <si>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</si>
  <si>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</si>
  <si>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</si>
  <si>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</si>
  <si>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</si>
  <si>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</si>
  <si>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</si>
  <si>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</si>
  <si>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</si>
  <si>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</si>
  <si>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</si>
  <si>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</si>
  <si>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</si>
  <si>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</si>
  <si>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</si>
  <si>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</si>
  <si>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</si>
  <si>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</si>
  <si>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</si>
  <si>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</si>
  <si>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</si>
  <si>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</si>
  <si>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</si>
  <si>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</si>
  <si>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</si>
  <si>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</si>
  <si>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</si>
  <si>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</si>
  <si>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</si>
  <si>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</si>
  <si>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</si>
  <si>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</si>
  <si>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</si>
  <si>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</si>
  <si>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</si>
  <si>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</si>
  <si>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</si>
  <si>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</si>
  <si>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</si>
  <si>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</si>
  <si>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</si>
  <si>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</si>
  <si>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</si>
  <si>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</si>
  <si>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</si>
  <si>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</si>
  <si>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</si>
  <si>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</si>
  <si>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</si>
  <si>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</si>
  <si>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</si>
  <si>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</si>
  <si>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</si>
  <si>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</si>
  <si>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</si>
  <si>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</si>
  <si>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</si>
  <si>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</si>
  <si>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</si>
  <si>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</si>
  <si>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</si>
  <si>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</si>
  <si>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</si>
  <si>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</si>
  <si>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</si>
  <si>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</si>
  <si>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</si>
  <si>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</si>
  <si>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</si>
  <si>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</si>
  <si>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</si>
  <si>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</si>
  <si>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</si>
  <si>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</si>
  <si>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</si>
  <si>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</si>
  <si>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</si>
  <si>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</si>
  <si>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</si>
  <si>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</si>
  <si>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</si>
  <si>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</si>
  <si>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</si>
  <si>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</si>
  <si>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</si>
  <si>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</si>
  <si>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</si>
  <si>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</si>
  <si>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</si>
  <si>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</si>
  <si>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</si>
  <si>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</si>
  <si>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</si>
  <si>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</si>
  <si>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</si>
  <si>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</si>
  <si>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</si>
  <si>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</si>
  <si>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</si>
  <si>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</si>
  <si>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</si>
  <si>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</si>
  <si>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</si>
  <si>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</si>
  <si>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</si>
  <si>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</si>
  <si>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</si>
  <si>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</si>
  <si>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</si>
  <si>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</si>
  <si>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</si>
  <si>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</si>
  <si>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</si>
  <si>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</si>
  <si>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</si>
  <si>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</si>
  <si>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</si>
  <si>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</si>
  <si>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</si>
  <si>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</si>
  <si>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</si>
  <si>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</si>
  <si>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</si>
  <si>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</si>
  <si>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</si>
  <si>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</si>
  <si>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</si>
  <si>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</si>
  <si>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</si>
  <si>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</si>
  <si>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</si>
  <si>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</si>
  <si>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</si>
  <si>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</si>
  <si>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</si>
  <si>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</si>
  <si>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</si>
  <si>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</si>
  <si>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</si>
  <si>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</si>
  <si>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</si>
  <si>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</si>
  <si>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</si>
  <si>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</si>
  <si>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</si>
  <si>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</si>
  <si>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</si>
  <si>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</si>
  <si>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</si>
  <si>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</si>
  <si>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</si>
  <si>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</si>
  <si>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</si>
  <si>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</si>
  <si>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</si>
  <si>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</si>
  <si>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</si>
  <si>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</si>
  <si>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</si>
  <si>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</si>
  <si>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</si>
  <si>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</si>
  <si>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</si>
  <si>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</si>
  <si>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</si>
  <si>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</si>
  <si>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</si>
  <si>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</si>
  <si>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</si>
  <si>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</si>
  <si>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</si>
  <si>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</si>
  <si>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</si>
  <si>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</si>
  <si>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</si>
  <si>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</si>
  <si>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</si>
  <si>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</si>
  <si>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</si>
  <si>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</si>
  <si>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</si>
  <si>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</si>
  <si>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</si>
  <si>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</si>
  <si>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</si>
  <si>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</si>
  <si>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</si>
  <si>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</si>
  <si>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</si>
  <si>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</si>
  <si>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</si>
  <si>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</si>
  <si>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</si>
  <si>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</si>
  <si>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</si>
  <si>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</si>
  <si>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</si>
  <si>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</si>
  <si>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</si>
  <si>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</si>
  <si>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</si>
  <si>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</si>
  <si>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</si>
  <si>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</si>
  <si>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</si>
  <si>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</si>
  <si>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</si>
  <si>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</si>
  <si>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</si>
  <si>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</si>
  <si>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</si>
  <si>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</si>
  <si>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</si>
  <si>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</si>
  <si>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</si>
  <si>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</si>
  <si>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</si>
  <si>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</si>
  <si>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</si>
  <si>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</si>
  <si>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</si>
  <si>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</si>
  <si>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</si>
  <si>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</si>
  <si>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</si>
  <si>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</si>
  <si>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</si>
  <si>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</si>
  <si>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</si>
  <si>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</si>
  <si>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</si>
  <si>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</si>
  <si>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</si>
  <si>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</si>
  <si>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</si>
  <si>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</si>
  <si>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</si>
  <si>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</si>
  <si>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</si>
  <si>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</si>
  <si>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</si>
  <si>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</si>
  <si>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</si>
  <si>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</si>
  <si>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</si>
  <si>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</si>
  <si>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</si>
  <si>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</si>
  <si>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</si>
  <si>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</si>
  <si>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</si>
  <si>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</si>
  <si>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</si>
  <si>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</si>
  <si>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</si>
  <si>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</si>
  <si>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</si>
  <si>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</si>
  <si>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</si>
  <si>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</si>
  <si>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</si>
  <si>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</si>
  <si>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</si>
  <si>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</si>
  <si>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</si>
  <si>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</si>
  <si>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</si>
  <si>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</si>
  <si>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</si>
  <si>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</si>
  <si>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</si>
  <si>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</si>
  <si>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</si>
  <si>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</si>
  <si>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</si>
  <si>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</si>
  <si>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</si>
  <si>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</si>
  <si>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</si>
  <si>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</si>
  <si>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</si>
  <si>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</si>
  <si>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</si>
  <si>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</si>
  <si>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</si>
  <si>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</si>
  <si>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</si>
  <si>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</si>
  <si>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</si>
  <si>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</si>
  <si>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</si>
  <si>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</si>
  <si>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</si>
  <si>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</si>
  <si>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</si>
  <si>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</si>
  <si>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</si>
  <si>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</si>
  <si>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</si>
  <si>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</si>
  <si>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</si>
  <si>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</si>
  <si>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</si>
  <si>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</si>
  <si>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</si>
  <si>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</si>
  <si>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</si>
  <si>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</si>
  <si>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</si>
  <si>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</si>
  <si>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</si>
  <si>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</si>
  <si>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</si>
  <si>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</si>
  <si>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</si>
  <si>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</si>
  <si>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</si>
  <si>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</si>
  <si>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</si>
  <si>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</si>
  <si>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</si>
  <si>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</si>
  <si>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</si>
  <si>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</si>
  <si>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</si>
  <si>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</si>
  <si>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</si>
  <si>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</si>
  <si>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</si>
  <si>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</si>
  <si>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</si>
  <si>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</si>
  <si>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</si>
  <si>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</si>
  <si>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</si>
  <si>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</si>
  <si>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</si>
  <si>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</si>
  <si>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</si>
  <si>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</si>
  <si>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</si>
  <si>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</si>
  <si>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</si>
  <si>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</si>
  <si>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</si>
  <si>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</si>
  <si>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</si>
  <si>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</si>
  <si>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</si>
  <si>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</si>
  <si>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</si>
  <si>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</si>
  <si>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</si>
  <si>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</si>
  <si>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</si>
  <si>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</si>
  <si>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</si>
  <si>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</si>
  <si>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</si>
  <si>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</si>
  <si>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</si>
  <si>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</si>
  <si>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</si>
  <si>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</si>
  <si>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</si>
  <si>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</si>
  <si>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</si>
  <si>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</si>
  <si>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</si>
  <si>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</si>
  <si>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</si>
  <si>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</si>
  <si>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</si>
  <si>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</si>
  <si>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</si>
  <si>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</si>
  <si>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</si>
  <si>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</si>
  <si>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</si>
  <si>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</si>
  <si>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</si>
  <si>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</si>
  <si>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</si>
  <si>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</si>
  <si>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</si>
  <si>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</si>
  <si>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</si>
  <si>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</si>
  <si>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</si>
  <si>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</si>
  <si>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</si>
  <si>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</si>
  <si>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</si>
  <si>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</si>
  <si>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</si>
  <si>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</si>
  <si>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</si>
  <si>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</si>
  <si>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</si>
  <si>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</si>
  <si>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</si>
  <si>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</si>
  <si>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</si>
  <si>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</si>
  <si>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</si>
  <si>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</si>
  <si>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</si>
  <si>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</si>
  <si>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</si>
  <si>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</si>
  <si>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</si>
  <si>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</si>
  <si>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</si>
  <si>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</si>
  <si>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</si>
  <si>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</si>
  <si>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</si>
  <si>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</si>
  <si>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</si>
  <si>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</si>
  <si>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</si>
  <si>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</si>
  <si>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</si>
  <si>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</si>
  <si>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</si>
  <si>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</si>
  <si>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</si>
  <si>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</si>
  <si>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</si>
  <si>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</si>
  <si>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</si>
  <si>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</si>
  <si>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</si>
  <si>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</si>
  <si>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</si>
  <si>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</si>
  <si>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</si>
  <si>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</si>
  <si>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</si>
  <si>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</si>
  <si>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</si>
  <si>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</si>
  <si>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</si>
  <si>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</si>
  <si>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</si>
  <si>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</si>
  <si>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</si>
  <si>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</si>
  <si>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</si>
  <si>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</si>
  <si>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</si>
  <si>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</si>
  <si>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</si>
  <si>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</si>
  <si>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</si>
  <si>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</si>
  <si>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</si>
  <si>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</si>
  <si>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</si>
  <si>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</si>
  <si>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</si>
  <si>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</si>
  <si>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</si>
  <si>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</si>
  <si>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</si>
  <si>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</si>
  <si>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</si>
  <si>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</si>
  <si>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</si>
  <si>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</si>
  <si>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</si>
  <si>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</si>
  <si>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</si>
  <si>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</si>
  <si>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</si>
  <si>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</si>
  <si>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</si>
  <si>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</si>
  <si>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</si>
  <si>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</si>
  <si>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</si>
  <si>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</si>
  <si>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</si>
  <si>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</si>
  <si>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</si>
  <si>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</si>
  <si>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</si>
  <si>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</si>
  <si>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</si>
  <si>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</si>
  <si>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</si>
  <si>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</si>
  <si>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</si>
  <si>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</si>
  <si>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</si>
  <si>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</si>
  <si>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</si>
  <si>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</si>
  <si>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</si>
  <si>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</si>
  <si>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</si>
  <si>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</si>
  <si>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</si>
  <si>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</si>
  <si>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</si>
  <si>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</si>
  <si>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</si>
  <si>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</si>
  <si>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</si>
  <si>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</si>
  <si>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</si>
  <si>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</si>
  <si>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</si>
  <si>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</si>
  <si>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</si>
  <si>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</si>
  <si>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</si>
  <si>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</si>
  <si>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</si>
  <si>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</si>
  <si>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</si>
  <si>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</si>
  <si>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</si>
  <si>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</si>
  <si>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</si>
  <si>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</si>
  <si>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</si>
  <si>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</si>
  <si>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</si>
  <si>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</si>
  <si>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</si>
  <si>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</si>
  <si>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</si>
  <si>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</si>
  <si>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</si>
  <si>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</si>
  <si>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</si>
  <si>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</si>
  <si>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</si>
  <si>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</si>
  <si>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</si>
  <si>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</si>
  <si>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</si>
  <si>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</si>
  <si>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</si>
  <si>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</si>
  <si>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</si>
  <si>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</si>
  <si>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</si>
  <si>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</si>
  <si>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</si>
  <si>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</si>
  <si>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</si>
  <si>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</si>
  <si>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</si>
  <si>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</si>
  <si>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</si>
  <si>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</si>
  <si>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</si>
  <si>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</si>
  <si>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</si>
  <si>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</si>
  <si>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</si>
  <si>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</si>
  <si>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</si>
  <si>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</si>
  <si>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</si>
  <si>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</si>
  <si>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</si>
  <si>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</si>
  <si>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</si>
  <si>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</si>
  <si>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</si>
  <si>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</si>
  <si>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</si>
  <si>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</si>
  <si>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</si>
  <si>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</si>
  <si>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</si>
  <si>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</si>
  <si>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</si>
  <si>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</si>
  <si>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</si>
  <si>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</si>
  <si>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</si>
  <si>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</si>
  <si>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</si>
  <si>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</si>
  <si>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</si>
  <si>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</si>
  <si>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</si>
  <si>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</si>
  <si>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</si>
  <si>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</si>
  <si>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</si>
  <si>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</si>
  <si>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</si>
  <si>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</si>
  <si>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</si>
  <si>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</si>
  <si>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</si>
  <si>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</si>
  <si>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</si>
  <si>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</si>
  <si>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</si>
  <si>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</si>
  <si>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</si>
  <si>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</si>
  <si>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</si>
  <si>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</si>
  <si>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</si>
  <si>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</si>
  <si>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</si>
  <si>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</si>
  <si>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</si>
  <si>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</si>
  <si>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</si>
  <si>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</si>
  <si>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</si>
  <si>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</si>
  <si>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</si>
  <si>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</si>
  <si>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</si>
  <si>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</si>
  <si>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</si>
  <si>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</si>
  <si>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</si>
  <si>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</si>
  <si>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</si>
  <si>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</si>
  <si>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</si>
  <si>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</si>
  <si>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</si>
  <si>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</si>
  <si>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</si>
  <si>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</si>
  <si>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</si>
  <si>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</si>
  <si>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</si>
  <si>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</si>
  <si>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</si>
  <si>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</si>
  <si>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</si>
  <si>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</si>
  <si>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</si>
  <si>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</si>
  <si>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</si>
  <si>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</si>
  <si>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</si>
  <si>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</si>
  <si>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</si>
  <si>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</si>
  <si>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</si>
  <si>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</si>
  <si>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</si>
  <si>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</si>
  <si>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</si>
  <si>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</si>
  <si>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</si>
  <si>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</si>
  <si>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</si>
  <si>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</si>
  <si>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</si>
  <si>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</si>
  <si>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</si>
  <si>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</si>
  <si>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</si>
  <si>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</si>
  <si>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</si>
  <si>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</si>
  <si>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</si>
  <si>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</si>
  <si>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</si>
  <si>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</si>
  <si>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</si>
  <si>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</si>
  <si>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</si>
  <si>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</si>
  <si>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</si>
  <si>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</si>
  <si>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</si>
  <si>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</si>
  <si>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</si>
  <si>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</si>
  <si>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</si>
  <si>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</si>
  <si>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</si>
  <si>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</si>
  <si>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</si>
  <si>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</si>
  <si>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</si>
  <si>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</si>
  <si>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</si>
  <si>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</si>
  <si>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</si>
  <si>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</si>
  <si>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</si>
  <si>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</si>
  <si>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</si>
  <si>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</si>
  <si>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</si>
  <si>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</si>
  <si>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</si>
  <si>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</si>
  <si>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</si>
  <si>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</si>
  <si>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</si>
  <si>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</si>
  <si>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</si>
  <si>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</si>
  <si>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</si>
  <si>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</si>
  <si>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</si>
  <si>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</si>
  <si>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</si>
  <si>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</si>
  <si>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</si>
  <si>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</si>
  <si>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</si>
  <si>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</si>
  <si>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</si>
  <si>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</si>
  <si>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</si>
  <si>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</si>
  <si>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</si>
  <si>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</si>
  <si>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</si>
  <si>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</si>
  <si>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</si>
  <si>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</si>
  <si>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</si>
  <si>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</si>
  <si>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</si>
  <si>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</si>
  <si>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</si>
  <si>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</si>
  <si>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</si>
  <si>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</si>
  <si>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</si>
  <si>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</si>
  <si>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</si>
  <si>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</si>
  <si>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</si>
  <si>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</si>
  <si>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</si>
  <si>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</si>
  <si>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</si>
  <si>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</si>
  <si>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</si>
  <si>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</si>
  <si>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</si>
  <si>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</si>
  <si>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</si>
  <si>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</si>
  <si>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</si>
  <si>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</si>
  <si>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</si>
  <si>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</si>
  <si>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</si>
  <si>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</si>
  <si>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</si>
  <si>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</si>
  <si>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</si>
  <si>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</si>
  <si>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</si>
  <si>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</si>
  <si>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</si>
  <si>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</si>
  <si>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</si>
  <si>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</si>
  <si>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</si>
  <si>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</si>
  <si>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</si>
  <si>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</si>
  <si>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</si>
  <si>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</si>
  <si>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</si>
  <si>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</si>
  <si>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</si>
  <si>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</si>
  <si>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</si>
  <si>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</si>
  <si>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</si>
  <si>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</si>
  <si>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</si>
  <si>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</si>
  <si>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</si>
  <si>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</si>
  <si>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</si>
  <si>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</si>
  <si>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</si>
  <si>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</si>
  <si>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</si>
  <si>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</si>
  <si>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</si>
  <si>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</si>
  <si>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</si>
  <si>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</si>
  <si>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</si>
  <si>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</si>
  <si>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</si>
  <si>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</si>
  <si>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</si>
  <si>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</si>
  <si>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</si>
  <si>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</si>
  <si>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</si>
  <si>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</si>
  <si>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</si>
  <si>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</si>
  <si>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</si>
  <si>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</si>
  <si>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</si>
  <si>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</si>
  <si>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</si>
  <si>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</si>
  <si>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</si>
  <si>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</si>
  <si>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</si>
  <si>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</si>
  <si>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</si>
  <si>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</si>
  <si>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</si>
  <si>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</si>
  <si>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</si>
  <si>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</si>
  <si>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</si>
  <si>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</si>
  <si>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</si>
  <si>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</si>
  <si>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</si>
  <si>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</si>
  <si>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</si>
  <si>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</si>
  <si>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</si>
  <si>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</si>
  <si>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</si>
  <si>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</si>
  <si>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</si>
  <si>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</si>
  <si>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</si>
  <si>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</si>
  <si>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</si>
  <si>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</si>
  <si>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</si>
  <si>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</si>
  <si>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</si>
  <si>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</si>
  <si>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</si>
  <si>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</si>
  <si>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</si>
  <si>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</si>
  <si>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</si>
  <si>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</si>
  <si>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</si>
  <si>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</si>
  <si>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</si>
  <si>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</si>
  <si>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</si>
  <si>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</si>
  <si>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</si>
  <si>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</si>
  <si>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</si>
  <si>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</si>
  <si>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</si>
  <si>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</si>
  <si>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</si>
  <si>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</si>
  <si>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</si>
  <si>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</si>
  <si>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</si>
  <si>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</si>
  <si>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</si>
  <si>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</si>
  <si>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</si>
  <si>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</si>
  <si>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</si>
  <si>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</si>
  <si>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</si>
  <si>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</si>
  <si>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</si>
  <si>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</si>
  <si>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</si>
  <si>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</si>
  <si>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</si>
  <si>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</si>
  <si>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</si>
  <si>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</si>
  <si>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</si>
  <si>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</si>
  <si>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</si>
  <si>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</si>
  <si>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</si>
  <si>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</si>
  <si>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</si>
  <si>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</si>
  <si>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</si>
  <si>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</si>
  <si>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</si>
  <si>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</si>
  <si>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</si>
  <si>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</si>
  <si>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</si>
  <si>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</si>
  <si>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</si>
  <si>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</si>
  <si>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</si>
  <si>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</si>
  <si>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</si>
  <si>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</si>
  <si>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</si>
  <si>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</si>
  <si>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</si>
  <si>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</si>
  <si>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</si>
  <si>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</si>
  <si>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</si>
  <si>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</si>
  <si>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</si>
  <si>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</si>
  <si>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</si>
  <si>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</si>
  <si>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</si>
  <si>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</si>
  <si>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</si>
  <si>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</si>
  <si>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</si>
  <si>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</si>
  <si>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</si>
  <si>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</si>
  <si>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</si>
  <si>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</si>
  <si>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</si>
  <si>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</si>
  <si>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</si>
  <si>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</si>
  <si>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</si>
  <si>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</si>
  <si>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</si>
  <si>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</si>
  <si>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</si>
  <si>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</si>
  <si>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</si>
  <si>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</si>
  <si>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</si>
  <si>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</si>
  <si>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</si>
  <si>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</si>
  <si>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</si>
  <si>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</si>
  <si>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</si>
  <si>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</si>
  <si>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</si>
  <si>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</si>
  <si>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</si>
  <si>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</si>
  <si>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</si>
  <si>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</si>
  <si>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</si>
  <si>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</si>
  <si>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</si>
  <si>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</si>
  <si>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</si>
  <si>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</si>
  <si>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</si>
  <si>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</si>
  <si>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</si>
  <si>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</si>
  <si>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</si>
  <si>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</si>
  <si>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</si>
  <si>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</si>
  <si>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</si>
  <si>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</si>
  <si>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</si>
  <si>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</si>
  <si>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</si>
  <si>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</si>
  <si>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</si>
  <si>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</si>
  <si>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</si>
  <si>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</si>
  <si>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</si>
  <si>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</si>
  <si>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</si>
  <si>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</si>
  <si>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</si>
  <si>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</si>
  <si>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</si>
  <si>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</si>
  <si>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</si>
  <si>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</si>
  <si>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</si>
  <si>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</si>
  <si>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</si>
  <si>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</si>
  <si>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</si>
  <si>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</si>
  <si>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</si>
  <si>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</si>
  <si>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</si>
  <si>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</si>
  <si>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</si>
  <si>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</si>
  <si>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</si>
  <si>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</si>
  <si>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</si>
  <si>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</si>
  <si>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</si>
  <si>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</si>
  <si>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</si>
  <si>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</si>
  <si>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</si>
  <si>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</si>
  <si>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</si>
  <si>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</si>
  <si>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</si>
  <si>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</si>
  <si>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</si>
  <si>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</si>
  <si>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</si>
  <si>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</si>
  <si>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</si>
  <si>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</si>
  <si>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</si>
  <si>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</si>
  <si>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</si>
  <si>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</si>
  <si>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</si>
  <si>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</si>
  <si>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</si>
  <si>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</si>
  <si>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</si>
  <si>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</si>
  <si>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</si>
  <si>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</si>
  <si>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</si>
  <si>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</si>
  <si>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</si>
  <si>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</si>
  <si>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</si>
  <si>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</si>
  <si>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</si>
  <si>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</si>
  <si>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</si>
  <si>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</si>
  <si>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</si>
  <si>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</si>
  <si>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</si>
  <si>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</si>
  <si>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</si>
  <si>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</si>
  <si>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</si>
  <si>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</si>
  <si>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</si>
  <si>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</si>
  <si>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</si>
  <si>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</si>
  <si>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</si>
  <si>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</si>
  <si>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</si>
  <si>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</si>
  <si>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</si>
  <si>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</si>
  <si>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</si>
  <si>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</si>
  <si>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</si>
  <si>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</si>
  <si>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</si>
  <si>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</si>
  <si>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</si>
  <si>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</si>
  <si>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</si>
  <si>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</si>
  <si>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</si>
  <si>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</si>
  <si>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</si>
  <si>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</si>
  <si>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</si>
  <si>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</si>
  <si>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</si>
  <si>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</si>
  <si>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</si>
  <si>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</si>
  <si>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</si>
  <si>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</si>
  <si>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</si>
  <si>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</si>
  <si>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</si>
  <si>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</si>
  <si>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</si>
  <si>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</si>
  <si>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</si>
  <si>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</si>
  <si>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</si>
  <si>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</si>
  <si>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</si>
  <si>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</si>
  <si>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</si>
  <si>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</si>
  <si>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</si>
  <si>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</si>
  <si>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</si>
  <si>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</si>
  <si>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</si>
  <si>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</si>
  <si>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</si>
  <si>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</si>
  <si>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</si>
  <si>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</si>
  <si>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</si>
  <si>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</si>
  <si>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</si>
  <si>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</si>
  <si>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</si>
  <si>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</si>
  <si>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</si>
  <si>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</si>
  <si>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</si>
  <si>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</si>
  <si>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</si>
  <si>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</si>
  <si>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</si>
  <si>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</si>
  <si>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</si>
  <si>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</si>
  <si>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</si>
  <si>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</si>
  <si>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</si>
  <si>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</si>
  <si>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</si>
  <si>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</si>
  <si>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</si>
  <si>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</si>
  <si>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</si>
  <si>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</si>
  <si>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</si>
  <si>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</si>
  <si>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</si>
  <si>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</si>
  <si>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</si>
  <si>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</si>
  <si>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</si>
  <si>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</si>
  <si>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</si>
  <si>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</si>
  <si>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</si>
  <si>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</si>
  <si>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</si>
  <si>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</si>
  <si>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</si>
  <si>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</si>
  <si>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</si>
  <si>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</si>
  <si>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</si>
  <si>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</si>
  <si>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</si>
  <si>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</si>
  <si>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</si>
  <si>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</si>
  <si>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</si>
  <si>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</si>
  <si>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</si>
  <si>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</si>
  <si>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</si>
  <si>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</si>
  <si>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</si>
  <si>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</si>
  <si>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</si>
  <si>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</si>
  <si>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</si>
  <si>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</si>
  <si>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</si>
  <si>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</si>
  <si>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</si>
  <si>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</si>
  <si>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</si>
  <si>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</si>
  <si>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</si>
  <si>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</si>
  <si>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</si>
  <si>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</si>
  <si>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</si>
  <si>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</si>
  <si>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</si>
  <si>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</si>
  <si>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</si>
  <si>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</si>
  <si>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</si>
  <si>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</si>
  <si>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</si>
  <si>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</si>
  <si>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</si>
  <si>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</si>
  <si>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</si>
  <si>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</si>
  <si>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</si>
  <si>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</si>
  <si>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</si>
  <si>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</si>
  <si>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</si>
  <si>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</si>
  <si>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</si>
  <si>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</si>
  <si>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</si>
  <si>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</si>
  <si>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</si>
  <si>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</si>
  <si>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</si>
  <si>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</si>
  <si>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</si>
  <si>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</si>
  <si>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</si>
  <si>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</si>
  <si>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</si>
  <si>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</si>
  <si>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</si>
  <si>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</si>
  <si>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</si>
  <si>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</si>
  <si>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</si>
  <si>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</si>
  <si>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</si>
  <si>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</si>
  <si>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</si>
  <si>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</si>
  <si>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</si>
  <si>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</si>
  <si>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</si>
  <si>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</si>
  <si>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</si>
  <si>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</si>
  <si>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</si>
  <si>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</si>
  <si>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</si>
  <si>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</si>
  <si>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</si>
  <si>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</si>
  <si>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</si>
  <si>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</si>
  <si>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</si>
  <si>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</si>
  <si>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</si>
  <si>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</si>
  <si>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</si>
  <si>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</si>
  <si>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</si>
  <si>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</si>
  <si>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</si>
  <si>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</si>
  <si>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</si>
  <si>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</si>
  <si>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</si>
  <si>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</si>
  <si>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</si>
  <si>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</si>
  <si>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</si>
  <si>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</si>
  <si>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</si>
  <si>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</si>
  <si>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</si>
  <si>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</si>
  <si>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</si>
  <si>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</si>
  <si>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</si>
  <si>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</si>
  <si>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</si>
  <si>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</si>
  <si>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</si>
  <si>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</si>
  <si>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</si>
  <si>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</si>
  <si>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</si>
  <si>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</si>
  <si>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</si>
  <si>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</si>
  <si>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</si>
  <si>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</si>
  <si>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</si>
  <si>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</si>
  <si>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</si>
  <si>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</si>
  <si>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</si>
  <si>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</si>
  <si>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</si>
  <si>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</si>
  <si>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</si>
  <si>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</si>
  <si>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</si>
  <si>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</si>
  <si>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</si>
  <si>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</si>
  <si>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</si>
  <si>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</si>
  <si>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</si>
  <si>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</si>
  <si>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</si>
  <si>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</si>
  <si>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</si>
  <si>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</si>
  <si>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</si>
  <si>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</si>
  <si>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</si>
  <si>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</si>
  <si>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</si>
  <si>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</si>
  <si>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</si>
  <si>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</si>
  <si>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</si>
  <si>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</si>
  <si>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</si>
  <si>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</si>
  <si>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</si>
  <si>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</si>
  <si>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</si>
  <si>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</si>
  <si>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</si>
  <si>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</si>
  <si>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</si>
  <si>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</si>
  <si>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</si>
  <si>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</si>
  <si>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</si>
  <si>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</si>
  <si>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</si>
  <si>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</si>
  <si>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</si>
  <si>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</si>
  <si>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</si>
  <si>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</si>
  <si>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</si>
  <si>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</si>
  <si>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</si>
  <si>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</si>
  <si>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</si>
  <si>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</si>
  <si>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</si>
  <si>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</si>
  <si>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</si>
  <si>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</si>
  <si>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</si>
  <si>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</si>
  <si>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</si>
  <si>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</si>
  <si>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</si>
  <si>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</si>
  <si>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</si>
  <si>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</si>
  <si>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</si>
  <si>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</si>
  <si>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</si>
  <si>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</si>
  <si>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</si>
  <si>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</si>
  <si>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</si>
  <si>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</si>
  <si>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</si>
  <si>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</si>
  <si>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</si>
  <si>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</si>
  <si>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</si>
  <si>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</si>
  <si>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</si>
  <si>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</si>
  <si>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</si>
  <si>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</si>
  <si>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</si>
  <si>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</si>
  <si>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</si>
  <si>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</si>
  <si>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</si>
  <si>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</si>
  <si>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</si>
  <si>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</si>
  <si>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</si>
  <si>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</si>
  <si>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</si>
  <si>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</si>
  <si>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</si>
  <si>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</si>
  <si>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</si>
  <si>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</si>
  <si>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</si>
  <si>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</si>
  <si>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</si>
  <si>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</si>
  <si>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</si>
  <si>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</si>
  <si>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</si>
  <si>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</si>
  <si>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</si>
  <si>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</si>
  <si>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</si>
  <si>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</si>
  <si>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</si>
  <si>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</si>
  <si>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</si>
  <si>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</si>
  <si>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</si>
  <si>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</si>
  <si>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</si>
  <si>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</si>
  <si>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</si>
  <si>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</si>
  <si>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</si>
  <si>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</si>
  <si>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</si>
  <si>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</si>
  <si>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</si>
  <si>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Clay</t>
  </si>
  <si>
    <t>706 South Walnut</t>
  </si>
  <si>
    <t xml:space="preserve">Clay City  </t>
  </si>
  <si>
    <t>Greg M. McCalley &amp; Ass. P.C.</t>
  </si>
  <si>
    <t xml:space="preserve">Greg M. McCalley  </t>
  </si>
  <si>
    <t>855 East Ferguson Ave.</t>
  </si>
  <si>
    <t>Wood River</t>
  </si>
  <si>
    <t>IL</t>
  </si>
  <si>
    <t>(618)254-8188</t>
  </si>
  <si>
    <t>(618)254-8680</t>
  </si>
  <si>
    <t>060-009547</t>
  </si>
  <si>
    <t>Greg@dmacpa.com</t>
  </si>
  <si>
    <t>Greg M. McCalley &amp; Ass. , P.C.</t>
  </si>
  <si>
    <t>Series 2012</t>
  </si>
  <si>
    <t>Series 2014</t>
  </si>
  <si>
    <t>1 &amp; 3</t>
  </si>
  <si>
    <t>South Eastern Special Education</t>
  </si>
  <si>
    <t>Education-Insturction</t>
  </si>
  <si>
    <t>Miller Office Equipment</t>
  </si>
  <si>
    <t>Tri State Business</t>
  </si>
  <si>
    <t>10-1110-311-2</t>
  </si>
  <si>
    <t>Tyler Technologies</t>
  </si>
  <si>
    <t>10-1120-311-4</t>
  </si>
  <si>
    <t>10-1130-311-3</t>
  </si>
  <si>
    <t>QNS, Inc.</t>
  </si>
  <si>
    <t>10-1250-311-2</t>
  </si>
  <si>
    <t>NWEA</t>
  </si>
  <si>
    <t>Education-Remedial</t>
  </si>
  <si>
    <t>Lexia Learning System</t>
  </si>
  <si>
    <t>IXL Learning</t>
  </si>
  <si>
    <t>10-1250-311-1</t>
  </si>
  <si>
    <t>Education-Support Service</t>
  </si>
  <si>
    <t>10-2310-311-1</t>
  </si>
  <si>
    <t>Donohoo, McCalley &amp; Associates</t>
  </si>
  <si>
    <t>Bushue Human Resources, Inc.</t>
  </si>
  <si>
    <t>Sodexo Inc &amp; Affiliates</t>
  </si>
  <si>
    <t>O &amp; M-Support Service</t>
  </si>
  <si>
    <t>20-2540-311-1</t>
  </si>
  <si>
    <t>H &amp; H Mowing</t>
  </si>
  <si>
    <t>20-2540-321-1</t>
  </si>
  <si>
    <t>Repubic Services</t>
  </si>
  <si>
    <t>Tort-Support Service</t>
  </si>
  <si>
    <t>80-2369-318-1</t>
  </si>
  <si>
    <t>Robbins, Schwartz, Nicholas</t>
  </si>
  <si>
    <t>Karl E. Meurolt</t>
  </si>
  <si>
    <t>PAGE 10, LINE 107, COLUMN ( C ), OTHER LOCAL REVENUE</t>
  </si>
  <si>
    <t>ROE REIMBURSEMENTS</t>
  </si>
  <si>
    <t>CITATION REVENUE</t>
  </si>
  <si>
    <t>CCEA REIMBURSEMENT</t>
  </si>
  <si>
    <t>CREDIT REVENUE CLASSES</t>
  </si>
  <si>
    <t>MISCELLANEOUS</t>
  </si>
  <si>
    <t>PAGE 12, LINE 107, COLUMN ( D ), OTHER LOCAL REVENUE</t>
  </si>
  <si>
    <t>CITATION INCOME</t>
  </si>
  <si>
    <t>REFUND</t>
  </si>
  <si>
    <t>PAGE 12, LINE 107, COLUMN ( F ), OTHER LOCAL REVENUE</t>
  </si>
  <si>
    <t>SESE REIMBURSEMENT</t>
  </si>
  <si>
    <t>TRIR</t>
  </si>
  <si>
    <t>PRE-K</t>
  </si>
  <si>
    <t>PAGE 13, LINE 171, COLUMN ( C ), OTHER RESTRICTED REVENUE FROM STATE SOURCES</t>
  </si>
  <si>
    <t>LIBRARY GRANT</t>
  </si>
  <si>
    <t>PAGE 13,  LINE 171, COLUMN ( C ), OTHER UNRESTRICTED GRANT-IN-AID RECEIVED FROM FED GOV'T</t>
  </si>
  <si>
    <t>R.E.A.P.</t>
  </si>
  <si>
    <t>PAGE 16, LINE 41, COLUMN ( C ), &amp; ( D )</t>
  </si>
  <si>
    <t>DETENTION</t>
  </si>
  <si>
    <t>PAGE 17, LINE 73, COLUMN ( E )</t>
  </si>
  <si>
    <t>OFFICE COMMUNICATION</t>
  </si>
  <si>
    <t>PAGE 19, LINE 171, COLUMN ( H ), DEBT SERVICE-OTHER</t>
  </si>
  <si>
    <t>BOND SERVICE FEE</t>
  </si>
  <si>
    <t>PREMIUNS FOR INS.</t>
  </si>
  <si>
    <t>Clay City CUSD 10</t>
  </si>
  <si>
    <t>x</t>
  </si>
  <si>
    <t>10-1000-300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</si>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</sst>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55" fillId="0" borderId="0" xfId="1" applyNumberFormat="1" applyFont="1"/>
    <xf numFmtId="182" fontId="55" fillId="0" borderId="0" xfId="19" applyNumberFormat="1" applyFont="1"/>
    <xf numFmtId="181" fontId="55" fillId="0" borderId="78" xfId="1" applyNumberFormat="1" applyFont="1" applyBorder="1"/>
    <xf numFmtId="182" fontId="55" fillId="0" borderId="166" xfId="19" applyNumberFormat="1" applyFont="1" applyBorder="1"/>
    <xf numFmtId="182" fontId="55" fillId="0" borderId="167" xfId="19" applyNumberFormat="1" applyFont="1" applyBorder="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6</xdr:row>
          <xdr:rowOff>9525</xdr:rowOff>
        </xdr:from>
        <xdr:to>
          <xdr:col>1</xdr:col>
          <xdr:colOff>1085850</xdr:colOff>
          <xdr:row>10</xdr:row>
          <xdr:rowOff>47625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6</xdr:row>
          <xdr:rowOff>57150</xdr:rowOff>
        </xdr:from>
        <xdr:to>
          <xdr:col>1</xdr:col>
          <xdr:colOff>2390775</xdr:colOff>
          <xdr:row>10</xdr:row>
          <xdr:rowOff>95250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6</xdr:row>
          <xdr:rowOff>0</xdr:rowOff>
        </xdr:from>
        <xdr:to>
          <xdr:col>1</xdr:col>
          <xdr:colOff>3886200</xdr:colOff>
          <xdr:row>10</xdr:row>
          <xdr:rowOff>38100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5" zoomScale="110" zoomScaleNormal="110" workbookViewId="0">
      <selection activeCell="L31" sqref="L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12013010026</v>
      </c>
      <c r="B13" s="2036"/>
      <c r="C13" s="2036"/>
      <c r="D13" s="2036"/>
      <c r="E13" s="2036"/>
      <c r="F13" s="2036"/>
      <c r="G13" s="2036"/>
      <c r="H13" s="2037"/>
      <c r="I13" s="31"/>
      <c r="J13" s="30"/>
      <c r="K13" s="28"/>
      <c r="L13" s="30"/>
      <c r="M13" s="30"/>
      <c r="N13" s="30"/>
      <c r="O13" s="30"/>
      <c r="P13" s="30"/>
      <c r="Q13" s="30"/>
      <c r="R13" s="30"/>
      <c r="S13" s="30"/>
      <c r="T13" s="2040" t="s">
        <v>2081</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2082</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2147</v>
      </c>
      <c r="B17" s="1995"/>
      <c r="C17" s="1995"/>
      <c r="D17" s="1995"/>
      <c r="E17" s="1995"/>
      <c r="F17" s="1995"/>
      <c r="G17" s="1995"/>
      <c r="H17" s="2020"/>
      <c r="T17" s="2051" t="s">
        <v>2083</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2084</v>
      </c>
      <c r="U19" s="1959"/>
      <c r="V19" s="1959"/>
      <c r="W19" s="1960"/>
      <c r="X19" s="2049" t="s">
        <v>2085</v>
      </c>
      <c r="Y19" s="2050"/>
      <c r="Z19" s="2047">
        <v>62095</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2086</v>
      </c>
      <c r="U21" s="2059"/>
      <c r="V21" s="2059"/>
      <c r="W21" s="2059"/>
      <c r="X21" s="2064" t="s">
        <v>2087</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1994" t="s">
        <v>2088</v>
      </c>
      <c r="U23" s="2057"/>
      <c r="V23" s="2057"/>
      <c r="W23" s="2057"/>
      <c r="X23" s="2061">
        <v>44469</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62824</v>
      </c>
      <c r="B25" s="1959"/>
      <c r="C25" s="1959"/>
      <c r="D25" s="1959"/>
      <c r="E25" s="1959"/>
      <c r="F25" s="1959"/>
      <c r="G25" s="1959"/>
      <c r="H25" s="1960"/>
      <c r="I25" s="113"/>
      <c r="J25" s="1983"/>
      <c r="K25" s="1983"/>
      <c r="L25" s="1983"/>
      <c r="M25" s="1983"/>
      <c r="N25" s="1983"/>
      <c r="O25" s="1983"/>
      <c r="P25" s="1983"/>
      <c r="Q25" s="1983"/>
      <c r="R25" s="1983"/>
      <c r="S25" s="1984"/>
      <c r="T25" s="2054" t="s">
        <v>2089</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2148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68">
        <f>'Revenues 9-14'!C5</f>
        <v>531960</v>
      </c>
      <c r="C4" s="1546"/>
      <c r="D4" s="1771">
        <f>B4-C4</f>
        <v>531960</v>
      </c>
      <c r="E4" s="1546">
        <v>637778</v>
      </c>
      <c r="F4" s="1771">
        <f>E4-C4</f>
        <v>637778</v>
      </c>
    </row>
    <row r="5" spans="1:6" ht="13.7" customHeight="1" x14ac:dyDescent="0.2">
      <c r="A5" s="716" t="s">
        <v>925</v>
      </c>
      <c r="B5" s="1769">
        <f>'Revenues 9-14'!D5</f>
        <v>128115</v>
      </c>
      <c r="C5" s="585"/>
      <c r="D5" s="1772">
        <f t="shared" ref="D5:D18" si="0">B5-C5</f>
        <v>128115</v>
      </c>
      <c r="E5" s="585">
        <v>152117</v>
      </c>
      <c r="F5" s="1772">
        <f>E5-C5</f>
        <v>152117</v>
      </c>
    </row>
    <row r="6" spans="1:6" ht="13.7" customHeight="1" x14ac:dyDescent="0.2">
      <c r="A6" s="716" t="s">
        <v>431</v>
      </c>
      <c r="B6" s="1769">
        <f>'Revenues 9-14'!E5</f>
        <v>287392</v>
      </c>
      <c r="C6" s="585"/>
      <c r="D6" s="1772">
        <f t="shared" si="0"/>
        <v>287392</v>
      </c>
      <c r="E6" s="585">
        <v>323092</v>
      </c>
      <c r="F6" s="1772">
        <f t="shared" ref="F6:F18" si="1">E6-C6</f>
        <v>323092</v>
      </c>
    </row>
    <row r="7" spans="1:6" ht="13.7" customHeight="1" x14ac:dyDescent="0.2">
      <c r="A7" s="716" t="s">
        <v>157</v>
      </c>
      <c r="B7" s="1769">
        <f>'Revenues 9-14'!F5</f>
        <v>51247</v>
      </c>
      <c r="C7" s="585"/>
      <c r="D7" s="1772">
        <f t="shared" si="0"/>
        <v>51247</v>
      </c>
      <c r="E7" s="585">
        <v>60850</v>
      </c>
      <c r="F7" s="1772">
        <f t="shared" si="1"/>
        <v>60850</v>
      </c>
    </row>
    <row r="8" spans="1:6" ht="13.7" customHeight="1" x14ac:dyDescent="0.2">
      <c r="A8" s="716" t="s">
        <v>1241</v>
      </c>
      <c r="B8" s="1769">
        <f>'Revenues 9-14'!G5</f>
        <v>19929</v>
      </c>
      <c r="C8" s="585"/>
      <c r="D8" s="1772">
        <f t="shared" si="0"/>
        <v>19929</v>
      </c>
      <c r="E8" s="585">
        <v>22341</v>
      </c>
      <c r="F8" s="1772">
        <f t="shared" si="1"/>
        <v>22341</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12811</v>
      </c>
      <c r="C10" s="585"/>
      <c r="D10" s="1772">
        <f t="shared" si="0"/>
        <v>12811</v>
      </c>
      <c r="E10" s="585">
        <v>15212</v>
      </c>
      <c r="F10" s="1772">
        <f t="shared" si="1"/>
        <v>15212</v>
      </c>
    </row>
    <row r="11" spans="1:6" x14ac:dyDescent="0.2">
      <c r="A11" s="716" t="s">
        <v>429</v>
      </c>
      <c r="B11" s="1769">
        <f>'Revenues 9-14'!J5</f>
        <v>226092</v>
      </c>
      <c r="C11" s="585"/>
      <c r="D11" s="1772">
        <f t="shared" si="0"/>
        <v>226092</v>
      </c>
      <c r="E11" s="585">
        <v>206666</v>
      </c>
      <c r="F11" s="1772">
        <f t="shared" si="1"/>
        <v>206666</v>
      </c>
    </row>
    <row r="12" spans="1:6" ht="13.7" customHeight="1" x14ac:dyDescent="0.2">
      <c r="A12" s="716" t="s">
        <v>159</v>
      </c>
      <c r="B12" s="1769">
        <f>'Revenues 9-14'!K5</f>
        <v>12811</v>
      </c>
      <c r="C12" s="585"/>
      <c r="D12" s="1772">
        <f t="shared" si="0"/>
        <v>12811</v>
      </c>
      <c r="E12" s="585">
        <v>15212</v>
      </c>
      <c r="F12" s="1772">
        <f t="shared" si="1"/>
        <v>15212</v>
      </c>
    </row>
    <row r="13" spans="1:6" ht="13.7" customHeight="1" x14ac:dyDescent="0.2">
      <c r="A13" s="716" t="s">
        <v>993</v>
      </c>
      <c r="B13" s="1769">
        <f>SUM('Revenues 9-14'!C6:D6)</f>
        <v>12819</v>
      </c>
      <c r="C13" s="585"/>
      <c r="D13" s="1772">
        <f t="shared" si="0"/>
        <v>12819</v>
      </c>
      <c r="E13" s="585">
        <v>15212</v>
      </c>
      <c r="F13" s="1772">
        <f t="shared" si="1"/>
        <v>15212</v>
      </c>
    </row>
    <row r="14" spans="1:6" ht="13.7" customHeight="1" x14ac:dyDescent="0.2">
      <c r="A14" s="716" t="s">
        <v>430</v>
      </c>
      <c r="B14" s="1769">
        <f>SUM('Revenues 9-14'!C7:D7,'Revenues 9-14'!F7:H7)</f>
        <v>10249</v>
      </c>
      <c r="C14" s="585"/>
      <c r="D14" s="1772">
        <f t="shared" si="0"/>
        <v>10249</v>
      </c>
      <c r="E14" s="585">
        <v>12169</v>
      </c>
      <c r="F14" s="1772">
        <f t="shared" si="1"/>
        <v>12169</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24899</v>
      </c>
      <c r="C16" s="585"/>
      <c r="D16" s="1772">
        <f t="shared" si="0"/>
        <v>24899</v>
      </c>
      <c r="E16" s="585">
        <v>27934</v>
      </c>
      <c r="F16" s="1772">
        <f t="shared" si="1"/>
        <v>27934</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1318324</v>
      </c>
      <c r="C19" s="1770">
        <f>SUM(C4:C18)</f>
        <v>0</v>
      </c>
      <c r="D19" s="1770">
        <f>SUM(D4:D18)</f>
        <v>1318324</v>
      </c>
      <c r="E19" s="1770">
        <f>SUM(E4:E18)</f>
        <v>1488583</v>
      </c>
      <c r="F19" s="1770">
        <f>SUM(F4:F18)</f>
        <v>1488583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61"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3" t="s">
        <v>2036</v>
      </c>
      <c r="D2" s="724" t="s">
        <v>2043</v>
      </c>
      <c r="E2" s="724" t="s">
        <v>2044</v>
      </c>
      <c r="F2" s="1903" t="s">
        <v>2037</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4">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3" t="s">
        <v>652</v>
      </c>
      <c r="B15" s="2214"/>
      <c r="C15" s="1774">
        <f>SUM(C6:C14)</f>
        <v>0</v>
      </c>
      <c r="D15" s="1774">
        <f>SUM(D6:D14)</f>
        <v>0</v>
      </c>
      <c r="E15" s="1774">
        <f>SUM(E6:E14)</f>
        <v>0</v>
      </c>
      <c r="F15" s="1774">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4">
        <f>SUM(C17+D17)-E17</f>
        <v>0</v>
      </c>
    </row>
    <row r="18" spans="1:11" ht="12.75" customHeight="1" thickTop="1" thickBot="1" x14ac:dyDescent="0.25">
      <c r="A18" s="2208" t="s">
        <v>6</v>
      </c>
      <c r="B18" s="2209"/>
      <c r="C18" s="727"/>
      <c r="D18" s="585"/>
      <c r="E18" s="727"/>
      <c r="F18" s="1774">
        <f>SUM(C18+D18)-E18</f>
        <v>0</v>
      </c>
    </row>
    <row r="19" spans="1:11" ht="12.75" customHeight="1" thickTop="1" thickBot="1" x14ac:dyDescent="0.25">
      <c r="A19" s="2208" t="s">
        <v>406</v>
      </c>
      <c r="B19" s="2209"/>
      <c r="C19" s="727"/>
      <c r="D19" s="585"/>
      <c r="E19" s="727"/>
      <c r="F19" s="1774">
        <f>SUM(C19+D19)-E19</f>
        <v>0</v>
      </c>
    </row>
    <row r="20" spans="1:11" ht="12.75" customHeight="1" thickTop="1" thickBot="1" x14ac:dyDescent="0.25">
      <c r="A20" s="2208" t="s">
        <v>468</v>
      </c>
      <c r="B20" s="2209"/>
      <c r="C20" s="727"/>
      <c r="D20" s="585"/>
      <c r="E20" s="727"/>
      <c r="F20" s="1774">
        <f>SUM(C20+D20)-E20</f>
        <v>0</v>
      </c>
    </row>
    <row r="21" spans="1:11" ht="14.25" thickTop="1" thickBot="1" x14ac:dyDescent="0.25">
      <c r="A21" s="2213" t="s">
        <v>653</v>
      </c>
      <c r="B21" s="2214"/>
      <c r="C21" s="1774">
        <f>SUM(C17:C20)</f>
        <v>0</v>
      </c>
      <c r="D21" s="1774">
        <f>SUM(D17:D20)</f>
        <v>0</v>
      </c>
      <c r="E21" s="1774">
        <f>SUM(E17:E20)</f>
        <v>0</v>
      </c>
      <c r="F21" s="1774">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4">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4">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4">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4" t="s">
        <v>604</v>
      </c>
      <c r="D30" s="1904" t="s">
        <v>1772</v>
      </c>
      <c r="E30" s="1904" t="s">
        <v>2038</v>
      </c>
      <c r="F30" s="1904" t="s">
        <v>2039</v>
      </c>
      <c r="G30" s="1904" t="s">
        <v>2042</v>
      </c>
      <c r="H30" s="1904" t="s">
        <v>2040</v>
      </c>
      <c r="I30" s="1904" t="s">
        <v>2041</v>
      </c>
      <c r="J30" s="1905" t="s">
        <v>2</v>
      </c>
      <c r="K30" s="732"/>
    </row>
    <row r="31" spans="1:11" ht="12" customHeight="1" x14ac:dyDescent="0.2">
      <c r="A31" s="733" t="s">
        <v>2091</v>
      </c>
      <c r="B31" s="734">
        <v>41214</v>
      </c>
      <c r="C31" s="735">
        <v>500000</v>
      </c>
      <c r="D31" s="736">
        <v>4</v>
      </c>
      <c r="E31" s="735">
        <v>491600</v>
      </c>
      <c r="F31" s="735"/>
      <c r="G31" s="735"/>
      <c r="H31" s="735">
        <v>4700</v>
      </c>
      <c r="I31" s="1775">
        <f>((E31+F31)-H31)+G31</f>
        <v>486900</v>
      </c>
      <c r="J31" s="735">
        <v>447394</v>
      </c>
      <c r="K31" s="737"/>
    </row>
    <row r="32" spans="1:11" ht="12" customHeight="1" x14ac:dyDescent="0.2">
      <c r="A32" s="733" t="s">
        <v>2092</v>
      </c>
      <c r="B32" s="734">
        <v>41919</v>
      </c>
      <c r="C32" s="735">
        <v>1444100</v>
      </c>
      <c r="D32" s="736" t="s">
        <v>2093</v>
      </c>
      <c r="E32" s="735">
        <v>953700</v>
      </c>
      <c r="F32" s="735"/>
      <c r="G32" s="735"/>
      <c r="H32" s="735">
        <v>249800</v>
      </c>
      <c r="I32" s="1775">
        <f>((E32+F32)-H32)+G32</f>
        <v>703900</v>
      </c>
      <c r="J32" s="735">
        <v>646787</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1944100</v>
      </c>
      <c r="D49" s="746"/>
      <c r="E49" s="1775">
        <f t="shared" ref="E49:J49" si="2">SUM(E31:E48)</f>
        <v>1445300</v>
      </c>
      <c r="F49" s="1775">
        <f t="shared" si="2"/>
        <v>0</v>
      </c>
      <c r="G49" s="1775">
        <f t="shared" si="2"/>
        <v>0</v>
      </c>
      <c r="H49" s="1775">
        <f t="shared" si="2"/>
        <v>254500</v>
      </c>
      <c r="I49" s="1775">
        <f t="shared" si="2"/>
        <v>1190800</v>
      </c>
      <c r="J49" s="1775">
        <f t="shared" si="2"/>
        <v>1094181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2"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10249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3450</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6"/>
      <c r="G12" s="1777">
        <f>SUM(G5:G11)</f>
        <v>0</v>
      </c>
      <c r="H12" s="1777">
        <f>SUM(H5:H11)</f>
        <v>10249</v>
      </c>
      <c r="I12" s="1777">
        <f>SUM(I5:I11)</f>
        <v>0</v>
      </c>
      <c r="J12" s="1777">
        <f>SUM(J5:J11)</f>
        <v>0</v>
      </c>
      <c r="K12" s="1777">
        <f>SUM(K5:K11)</f>
        <v>3450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10249</v>
      </c>
      <c r="I14" s="772"/>
      <c r="J14" s="774"/>
      <c r="K14" s="766">
        <v>3450</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78"/>
      <c r="G21" s="793"/>
      <c r="H21" s="797"/>
      <c r="I21" s="797"/>
      <c r="J21" s="1779">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0"/>
      <c r="G23" s="1777">
        <f>SUM(G14:G16,G21,G22)</f>
        <v>0</v>
      </c>
      <c r="H23" s="1777">
        <f>SUM(H14:H16,H21,H22)</f>
        <v>10249</v>
      </c>
      <c r="I23" s="1777">
        <f>SUM(I14:I16,I21,I22)</f>
        <v>0</v>
      </c>
      <c r="J23" s="1777">
        <f>SUM(J14:J16,J21,J22)</f>
        <v>0</v>
      </c>
      <c r="K23" s="1777">
        <f>SUM(K14:K16,K21,K22)</f>
        <v>3450</v>
      </c>
    </row>
    <row r="24" spans="1:11" ht="14.25" thickTop="1" thickBot="1" x14ac:dyDescent="0.25">
      <c r="A24" s="2265" t="s">
        <v>2024</v>
      </c>
      <c r="B24" s="2264"/>
      <c r="C24" s="2264"/>
      <c r="D24" s="2264"/>
      <c r="E24" s="2264"/>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2034</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63"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7" sqref="K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33070</v>
      </c>
      <c r="D5" s="842"/>
      <c r="E5" s="842"/>
      <c r="F5" s="1779">
        <f>(C5+D5)-E5</f>
        <v>33070</v>
      </c>
      <c r="G5" s="838"/>
      <c r="H5" s="843"/>
      <c r="I5" s="843"/>
      <c r="J5" s="843"/>
      <c r="K5" s="794"/>
      <c r="L5" s="1788">
        <f>F5-K5</f>
        <v>33070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8870517</v>
      </c>
      <c r="D8" s="845"/>
      <c r="E8" s="845"/>
      <c r="F8" s="1779">
        <f>(C8+D8)-E8</f>
        <v>8870517</v>
      </c>
      <c r="G8" s="844">
        <v>50</v>
      </c>
      <c r="H8" s="766">
        <v>3597575</v>
      </c>
      <c r="I8" s="766">
        <v>177991</v>
      </c>
      <c r="J8" s="766"/>
      <c r="K8" s="1788">
        <f>(H8+I8)-J8</f>
        <v>3775566</v>
      </c>
      <c r="L8" s="1788">
        <f>F8-K8</f>
        <v>5094951</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101679</v>
      </c>
      <c r="D10" s="847"/>
      <c r="E10" s="847"/>
      <c r="F10" s="1783">
        <f>(C10+D10)-E10</f>
        <v>101679</v>
      </c>
      <c r="G10" s="844">
        <v>20</v>
      </c>
      <c r="H10" s="848">
        <v>101679</v>
      </c>
      <c r="I10" s="848"/>
      <c r="J10" s="848"/>
      <c r="K10" s="1788">
        <f>(H10+I10)-J10</f>
        <v>101679</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1181448</v>
      </c>
      <c r="D12" s="845">
        <v>21277</v>
      </c>
      <c r="E12" s="845"/>
      <c r="F12" s="1779">
        <f>(C12+D12)-E12</f>
        <v>1202725</v>
      </c>
      <c r="G12" s="844">
        <v>10</v>
      </c>
      <c r="H12" s="766">
        <v>1086605</v>
      </c>
      <c r="I12" s="766">
        <v>34340</v>
      </c>
      <c r="J12" s="766"/>
      <c r="K12" s="1788">
        <f>(H12+I12)-J12</f>
        <v>1120945</v>
      </c>
      <c r="L12" s="1788">
        <f>F12-K12</f>
        <v>81780</v>
      </c>
    </row>
    <row r="13" spans="1:14" ht="14.25" thickTop="1" thickBot="1" x14ac:dyDescent="0.25">
      <c r="A13" s="849" t="s">
        <v>1184</v>
      </c>
      <c r="B13" s="841">
        <v>252</v>
      </c>
      <c r="C13" s="845">
        <v>483722</v>
      </c>
      <c r="D13" s="845">
        <v>3629</v>
      </c>
      <c r="E13" s="845"/>
      <c r="F13" s="1779">
        <f>(C13+D13)-E13</f>
        <v>487351</v>
      </c>
      <c r="G13" s="844">
        <v>5</v>
      </c>
      <c r="H13" s="766">
        <v>472633</v>
      </c>
      <c r="I13" s="766">
        <v>3594</v>
      </c>
      <c r="J13" s="766"/>
      <c r="K13" s="1788">
        <f>(H13+I13)-J13</f>
        <v>476227</v>
      </c>
      <c r="L13" s="1788">
        <f>F13-K13</f>
        <v>11124</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10670436</v>
      </c>
      <c r="D16" s="1779">
        <f>SUM(D3,D5:D6,D8:D10,D12:D15)</f>
        <v>24906</v>
      </c>
      <c r="E16" s="1779">
        <f>SUM(E3,E5:E6,E8:E10,E12:E15)</f>
        <v>0</v>
      </c>
      <c r="F16" s="1779">
        <f>SUM(F3,F5:F6,F8:F10,F12:F15)</f>
        <v>10695342</v>
      </c>
      <c r="G16" s="844"/>
      <c r="H16" s="1779">
        <f>SUM(H3,H6,H8:H10,H12:H14,)</f>
        <v>5258492</v>
      </c>
      <c r="I16" s="1779">
        <f>SUM(I3,I6,I8:I10,I12:I14,)</f>
        <v>215925</v>
      </c>
      <c r="J16" s="1779">
        <f>SUM(J3,J6,J8:J10,J12:J14,)</f>
        <v>0</v>
      </c>
      <c r="K16" s="1779">
        <f>(H16+I16)-J16</f>
        <v>5474417</v>
      </c>
      <c r="L16" s="1779">
        <f>F16-K16</f>
        <v>5220925</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215925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64"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2046597</v>
      </c>
      <c r="G8" s="866"/>
    </row>
    <row r="9" spans="1:7" x14ac:dyDescent="0.2">
      <c r="A9" s="870" t="s">
        <v>480</v>
      </c>
      <c r="B9" s="871" t="s">
        <v>1988</v>
      </c>
      <c r="C9" s="872"/>
      <c r="D9" s="870" t="s">
        <v>522</v>
      </c>
      <c r="E9" s="869"/>
      <c r="F9" s="1929">
        <f>'Expenditures 15-22'!K151</f>
        <v>225635</v>
      </c>
      <c r="G9" s="873"/>
    </row>
    <row r="10" spans="1:7" x14ac:dyDescent="0.2">
      <c r="A10" s="870" t="s">
        <v>520</v>
      </c>
      <c r="B10" s="871" t="s">
        <v>1989</v>
      </c>
      <c r="C10" s="872"/>
      <c r="D10" s="870" t="s">
        <v>522</v>
      </c>
      <c r="E10" s="869"/>
      <c r="F10" s="1929">
        <f>'Expenditures 15-22'!K174</f>
        <v>289260</v>
      </c>
      <c r="G10" s="873"/>
    </row>
    <row r="11" spans="1:7" x14ac:dyDescent="0.2">
      <c r="A11" s="870" t="s">
        <v>481</v>
      </c>
      <c r="B11" s="871" t="s">
        <v>1990</v>
      </c>
      <c r="C11" s="872"/>
      <c r="D11" s="870" t="s">
        <v>522</v>
      </c>
      <c r="E11" s="869"/>
      <c r="F11" s="1929">
        <f>'Expenditures 15-22'!K210</f>
        <v>91240</v>
      </c>
      <c r="G11" s="873"/>
    </row>
    <row r="12" spans="1:7" x14ac:dyDescent="0.2">
      <c r="A12" s="870" t="s">
        <v>482</v>
      </c>
      <c r="B12" s="871" t="s">
        <v>1991</v>
      </c>
      <c r="C12" s="872"/>
      <c r="D12" s="870" t="s">
        <v>522</v>
      </c>
      <c r="E12" s="869"/>
      <c r="F12" s="1929">
        <f>'Expenditures 15-22'!K295</f>
        <v>75364</v>
      </c>
      <c r="G12" s="873"/>
    </row>
    <row r="13" spans="1:7" x14ac:dyDescent="0.2">
      <c r="A13" s="870" t="s">
        <v>108</v>
      </c>
      <c r="B13" s="871" t="s">
        <v>1992</v>
      </c>
      <c r="C13" s="872"/>
      <c r="D13" s="870" t="s">
        <v>522</v>
      </c>
      <c r="E13" s="869"/>
      <c r="F13" s="1929">
        <f>'Expenditures 15-22'!K342</f>
        <v>273265</v>
      </c>
      <c r="G13" s="874"/>
    </row>
    <row r="14" spans="1:7" ht="12" customHeight="1" thickBot="1" x14ac:dyDescent="0.25">
      <c r="A14" s="1789"/>
      <c r="B14" s="1790"/>
      <c r="C14" s="1791"/>
      <c r="D14" s="1792" t="s">
        <v>522</v>
      </c>
      <c r="E14" s="1793" t="s">
        <v>1015</v>
      </c>
      <c r="F14" s="1794">
        <f>SUM(F8:F13)</f>
        <v>3001361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73742</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14612</v>
      </c>
      <c r="G52" s="866"/>
    </row>
    <row r="53" spans="1:7" x14ac:dyDescent="0.2">
      <c r="A53" s="870" t="s">
        <v>479</v>
      </c>
      <c r="B53" s="870" t="s">
        <v>1551</v>
      </c>
      <c r="C53" s="890">
        <f>'Expenditures 15-22'!B102</f>
        <v>4000</v>
      </c>
      <c r="D53" s="889" t="str">
        <f>'Expenditures 15-22'!A102</f>
        <v>Total Payments to Other Govt Units</v>
      </c>
      <c r="E53" s="869"/>
      <c r="F53" s="1933">
        <f>'Expenditures 15-22'!K102</f>
        <v>75801</v>
      </c>
      <c r="G53" s="866"/>
    </row>
    <row r="54" spans="1:7" x14ac:dyDescent="0.2">
      <c r="A54" s="870" t="s">
        <v>479</v>
      </c>
      <c r="B54" s="870" t="s">
        <v>1552</v>
      </c>
      <c r="C54" s="890" t="s">
        <v>1039</v>
      </c>
      <c r="D54" s="886" t="s">
        <v>1157</v>
      </c>
      <c r="E54" s="869"/>
      <c r="F54" s="1933">
        <f>'Expenditures 15-22'!G114</f>
        <v>13227</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8050</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254500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3629</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2618</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746</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446925</v>
      </c>
      <c r="G76" s="866"/>
    </row>
    <row r="77" spans="1:8" s="894" customFormat="1" ht="12" customHeight="1" thickTop="1" thickBot="1" x14ac:dyDescent="0.25">
      <c r="A77" s="1798"/>
      <c r="B77" s="1795"/>
      <c r="C77" s="1791"/>
      <c r="D77" s="1796" t="s">
        <v>2011</v>
      </c>
      <c r="E77" s="1793"/>
      <c r="F77" s="1799">
        <f>(F14-F76)</f>
        <v>2554436</v>
      </c>
      <c r="G77" s="870"/>
    </row>
    <row r="78" spans="1:8" s="894" customFormat="1" ht="12" customHeight="1" thickTop="1" x14ac:dyDescent="0.2">
      <c r="A78" s="1800"/>
      <c r="B78" s="1795"/>
      <c r="C78" s="1791"/>
      <c r="D78" s="1796" t="s">
        <v>2057</v>
      </c>
      <c r="E78" s="1793"/>
      <c r="F78" s="899">
        <v>266.85000000000002</v>
      </c>
      <c r="G78" s="900"/>
      <c r="H78" s="870"/>
    </row>
    <row r="79" spans="1:8" s="894" customFormat="1" ht="12" customHeight="1" thickBot="1" x14ac:dyDescent="0.25">
      <c r="A79" s="1801"/>
      <c r="B79" s="1795"/>
      <c r="C79" s="1791"/>
      <c r="D79" s="1796" t="s">
        <v>2012</v>
      </c>
      <c r="E79" s="1793" t="s">
        <v>1015</v>
      </c>
      <c r="F79" s="1802">
        <f>IF(F78&gt;0,F77/F78," Complete Line 78")</f>
        <v>9572.5538692149148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33990</v>
      </c>
      <c r="G94" s="913"/>
    </row>
    <row r="95" spans="1:7" x14ac:dyDescent="0.2">
      <c r="A95" s="909" t="s">
        <v>142</v>
      </c>
      <c r="B95" s="909" t="s">
        <v>177</v>
      </c>
      <c r="C95" s="911">
        <v>1700</v>
      </c>
      <c r="D95" s="919" t="str">
        <f>'Revenues 9-14'!A82</f>
        <v>Total District/School Activity Income</v>
      </c>
      <c r="E95" s="907"/>
      <c r="F95" s="1808">
        <f>SUM('Revenues 9-14'!C82,'Revenues 9-14'!D82)</f>
        <v>8103</v>
      </c>
      <c r="G95" s="913"/>
    </row>
    <row r="96" spans="1:7" x14ac:dyDescent="0.2">
      <c r="A96" s="909" t="s">
        <v>479</v>
      </c>
      <c r="B96" s="909" t="s">
        <v>178</v>
      </c>
      <c r="C96" s="911">
        <f>'Revenues 9-14'!B84</f>
        <v>1811</v>
      </c>
      <c r="D96" s="912" t="str">
        <f>'Revenues 9-14'!A84</f>
        <v>Rentals - Regular Textbooks</v>
      </c>
      <c r="E96" s="907"/>
      <c r="F96" s="1808">
        <f>'Revenues 9-14'!C84</f>
        <v>7185</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50000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36431</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26243</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1804</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3450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62142</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120692</v>
      </c>
      <c r="G129" s="931"/>
    </row>
    <row r="130" spans="1:7" x14ac:dyDescent="0.2">
      <c r="A130" s="928" t="s">
        <v>689</v>
      </c>
      <c r="B130" s="928" t="s">
        <v>804</v>
      </c>
      <c r="C130" s="933">
        <v>4300</v>
      </c>
      <c r="D130" s="934" t="str">
        <f>'Revenues 9-14'!A211</f>
        <v>Total Title I</v>
      </c>
      <c r="E130" s="907"/>
      <c r="F130" s="1808">
        <f>SUM('Revenues 9-14'!C211,'Revenues 9-14'!D211,'Revenues 9-14'!F211,'Revenues 9-14'!G211)</f>
        <v>57435</v>
      </c>
      <c r="G130" s="931"/>
    </row>
    <row r="131" spans="1:7" x14ac:dyDescent="0.2">
      <c r="A131" s="928" t="s">
        <v>689</v>
      </c>
      <c r="B131" s="928" t="s">
        <v>805</v>
      </c>
      <c r="C131" s="933">
        <v>4400</v>
      </c>
      <c r="D131" s="934" t="str">
        <f>'Revenues 9-14'!A216</f>
        <v>Total Title IV</v>
      </c>
      <c r="E131" s="907"/>
      <c r="F131" s="1808">
        <f>SUM('Revenues 9-14'!C216,'Revenues 9-14'!D216,'Revenues 9-14'!F216,'Revenues 9-14'!G216)</f>
        <v>2821</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33</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2061</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6504</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5379</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2056</v>
      </c>
      <c r="C175" s="1940">
        <v>3100</v>
      </c>
      <c r="D175" s="1941" t="s">
        <v>2059</v>
      </c>
      <c r="E175" s="907"/>
      <c r="F175" s="1925"/>
      <c r="G175" s="928"/>
    </row>
    <row r="176" spans="1:7" x14ac:dyDescent="0.2">
      <c r="A176" s="1938" t="s">
        <v>685</v>
      </c>
      <c r="B176" s="1939" t="s">
        <v>2056</v>
      </c>
      <c r="C176" s="1940">
        <v>3300</v>
      </c>
      <c r="D176" s="1941" t="s">
        <v>2060</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425773</v>
      </c>
    </row>
    <row r="179" spans="1:7" ht="12" customHeight="1" x14ac:dyDescent="0.2">
      <c r="A179" s="1789"/>
      <c r="B179" s="1803"/>
      <c r="C179" s="1804"/>
      <c r="D179" s="1805" t="s">
        <v>2014</v>
      </c>
      <c r="E179" s="1806"/>
      <c r="F179" s="1808">
        <f>'PCTC-OEPP 27-28'!F77-F178</f>
        <v>2128663</v>
      </c>
    </row>
    <row r="180" spans="1:7" ht="12" customHeight="1" x14ac:dyDescent="0.2">
      <c r="A180" s="1789"/>
      <c r="B180" s="1803"/>
      <c r="C180" s="1804"/>
      <c r="D180" s="1805" t="s">
        <v>1924</v>
      </c>
      <c r="E180" s="1806"/>
      <c r="F180" s="1808">
        <f>'Cap Outlay Deprec 26'!I18</f>
        <v>215925</v>
      </c>
    </row>
    <row r="181" spans="1:7" ht="12" customHeight="1" x14ac:dyDescent="0.2">
      <c r="A181" s="1789"/>
      <c r="B181" s="1803"/>
      <c r="C181" s="1804"/>
      <c r="D181" s="1805" t="s">
        <v>2015</v>
      </c>
      <c r="E181" s="1806"/>
      <c r="F181" s="1808">
        <f>F179+F180</f>
        <v>2344588</v>
      </c>
    </row>
    <row r="182" spans="1:7" ht="12" customHeight="1" x14ac:dyDescent="0.2">
      <c r="A182" s="1789"/>
      <c r="B182" s="1809"/>
      <c r="C182" s="1804"/>
      <c r="D182" s="1805" t="str">
        <f>D78</f>
        <v>9 Month ADA from District Average Daily Attendance/Prior General State Aid Inquiry 2017-2018</v>
      </c>
      <c r="E182" s="1806"/>
      <c r="F182" s="1810">
        <f>'PCTC-OEPP 27-28'!F78</f>
        <v>266.85000000000002</v>
      </c>
      <c r="G182" s="931"/>
    </row>
    <row r="183" spans="1:7" ht="12" customHeight="1" thickBot="1" x14ac:dyDescent="0.25">
      <c r="A183" s="1789"/>
      <c r="B183" s="1809"/>
      <c r="C183" s="1804"/>
      <c r="D183" s="1805" t="s">
        <v>2016</v>
      </c>
      <c r="E183" s="1806" t="s">
        <v>1626</v>
      </c>
      <c r="F183" s="1811">
        <f>F181/F182</f>
        <v>8786.1645118980687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2" customFormat="1" ht="12.2" customHeight="1" x14ac:dyDescent="0.2">
      <c r="A186" s="1942" t="s">
        <v>2063</v>
      </c>
      <c r="B186" s="1943"/>
      <c r="C186" s="1944"/>
      <c r="D186" s="1943"/>
      <c r="E186" s="1944"/>
      <c r="F186" s="1943"/>
      <c r="G186" s="1943"/>
    </row>
    <row r="187" spans="1:7" s="1942" customFormat="1" ht="12.2" customHeight="1" x14ac:dyDescent="0.2">
      <c r="A187" s="1945" t="s">
        <v>2064</v>
      </c>
      <c r="C187" s="1944"/>
      <c r="D187" s="1943"/>
      <c r="E187" s="1944"/>
      <c r="F187" s="1943"/>
      <c r="G187" s="1943"/>
    </row>
    <row r="188" spans="1:7" ht="12" customHeight="1" x14ac:dyDescent="0.2">
      <c r="C188" s="950"/>
      <c r="D188" s="931"/>
      <c r="E188" s="950"/>
      <c r="F188" s="931"/>
      <c r="G188" s="931"/>
    </row>
    <row r="189" spans="1:7" x14ac:dyDescent="0.2">
      <c r="A189" s="1946" t="s">
        <v>2062</v>
      </c>
      <c r="B189" s="1947"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65"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workbookViewId="0">
      <pane ySplit="16" topLeftCell="A17" activePane="bottomLeft" state="frozen"/>
      <selection pane="bottomLeft" activeCell="B30" sqref="B3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1" t="s">
        <v>1941</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0" t="s">
        <v>2095</v>
      </c>
      <c r="B17" s="1951" t="s">
        <v>2098</v>
      </c>
      <c r="C17" s="1952" t="s">
        <v>2096</v>
      </c>
      <c r="D17" s="1863">
        <v>3431</v>
      </c>
      <c r="E17" s="1562">
        <f t="shared" ref="E17:E35" si="1">IF(D17&lt;=25000,D17,IF(D17&gt;25000,25000,0))</f>
        <v>3431</v>
      </c>
      <c r="F17" s="1812">
        <f t="shared" si="0"/>
        <v>0</v>
      </c>
      <c r="G17" s="1813">
        <f>IF(F17=0,0,D17-F17)</f>
        <v>0</v>
      </c>
      <c r="H17" s="1669"/>
    </row>
    <row r="18" spans="1:8" x14ac:dyDescent="0.25">
      <c r="A18" s="1950" t="s">
        <v>2095</v>
      </c>
      <c r="B18" s="1951" t="s">
        <v>2098</v>
      </c>
      <c r="C18" s="1952" t="s">
        <v>2097</v>
      </c>
      <c r="D18" s="1863">
        <v>899</v>
      </c>
      <c r="E18" s="1562">
        <f t="shared" ref="E18:E34" si="2">IF(D18&lt;=25000,D18,IF(D18&gt;25000,25000,0))</f>
        <v>899</v>
      </c>
      <c r="F18" s="1812">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4" si="4">IF(F18=0,0,D18-F18)</f>
        <v>0</v>
      </c>
    </row>
    <row r="19" spans="1:8" x14ac:dyDescent="0.25">
      <c r="A19" s="1950" t="s">
        <v>2095</v>
      </c>
      <c r="B19" s="1951" t="s">
        <v>2098</v>
      </c>
      <c r="C19" s="1952" t="s">
        <v>2099</v>
      </c>
      <c r="D19" s="1863">
        <v>1753</v>
      </c>
      <c r="E19" s="1562">
        <f t="shared" si="2"/>
        <v>1753</v>
      </c>
      <c r="F19" s="1812">
        <f t="shared" si="3"/>
        <v>0</v>
      </c>
      <c r="G19" s="1813">
        <f t="shared" si="4"/>
        <v>0</v>
      </c>
    </row>
    <row r="20" spans="1:8" x14ac:dyDescent="0.25">
      <c r="A20" s="1950" t="s">
        <v>2095</v>
      </c>
      <c r="B20" s="1951" t="s">
        <v>2100</v>
      </c>
      <c r="C20" s="1952" t="s">
        <v>2099</v>
      </c>
      <c r="D20" s="1863">
        <v>1753</v>
      </c>
      <c r="E20" s="1562">
        <f t="shared" si="2"/>
        <v>1753</v>
      </c>
      <c r="F20" s="1812">
        <f t="shared" si="3"/>
        <v>0</v>
      </c>
      <c r="G20" s="1813">
        <f t="shared" si="4"/>
        <v>0</v>
      </c>
    </row>
    <row r="21" spans="1:8" x14ac:dyDescent="0.25">
      <c r="A21" s="1950" t="s">
        <v>2095</v>
      </c>
      <c r="B21" s="1951" t="s">
        <v>2101</v>
      </c>
      <c r="C21" s="1952" t="s">
        <v>2096</v>
      </c>
      <c r="D21" s="1863">
        <v>2337</v>
      </c>
      <c r="E21" s="1562">
        <f t="shared" si="2"/>
        <v>2337</v>
      </c>
      <c r="F21" s="1812">
        <f t="shared" si="3"/>
        <v>0</v>
      </c>
      <c r="G21" s="1813">
        <f t="shared" si="4"/>
        <v>0</v>
      </c>
    </row>
    <row r="22" spans="1:8" x14ac:dyDescent="0.25">
      <c r="A22" s="1950" t="s">
        <v>2095</v>
      </c>
      <c r="B22" s="1951" t="s">
        <v>2101</v>
      </c>
      <c r="C22" s="1952" t="s">
        <v>2099</v>
      </c>
      <c r="D22" s="1863">
        <v>1753</v>
      </c>
      <c r="E22" s="1562">
        <f t="shared" si="2"/>
        <v>1753</v>
      </c>
      <c r="F22" s="1812">
        <f t="shared" si="3"/>
        <v>0</v>
      </c>
      <c r="G22" s="1813">
        <f t="shared" si="4"/>
        <v>0</v>
      </c>
    </row>
    <row r="23" spans="1:8" x14ac:dyDescent="0.25">
      <c r="A23" s="1950" t="s">
        <v>2095</v>
      </c>
      <c r="B23" s="1951" t="s">
        <v>2149</v>
      </c>
      <c r="C23" s="1952" t="s">
        <v>2102</v>
      </c>
      <c r="D23" s="1863">
        <v>38818</v>
      </c>
      <c r="E23" s="1562">
        <f t="shared" si="2"/>
        <v>25000</v>
      </c>
      <c r="F23" s="1812">
        <f t="shared" si="3"/>
        <v>25000</v>
      </c>
      <c r="G23" s="1813">
        <f t="shared" si="4"/>
        <v>13818</v>
      </c>
    </row>
    <row r="24" spans="1:8" x14ac:dyDescent="0.25">
      <c r="A24" s="1950" t="s">
        <v>2105</v>
      </c>
      <c r="B24" s="1951" t="s">
        <v>2103</v>
      </c>
      <c r="C24" s="1952" t="s">
        <v>2104</v>
      </c>
      <c r="D24" s="1863">
        <v>3125</v>
      </c>
      <c r="E24" s="1562">
        <f t="shared" si="2"/>
        <v>3125</v>
      </c>
      <c r="F24" s="1812">
        <f t="shared" si="3"/>
        <v>0</v>
      </c>
      <c r="G24" s="1813">
        <f t="shared" si="4"/>
        <v>0</v>
      </c>
    </row>
    <row r="25" spans="1:8" x14ac:dyDescent="0.25">
      <c r="A25" s="1950" t="s">
        <v>2105</v>
      </c>
      <c r="B25" s="1951" t="s">
        <v>2103</v>
      </c>
      <c r="C25" s="1952" t="s">
        <v>2106</v>
      </c>
      <c r="D25" s="1863">
        <v>2000</v>
      </c>
      <c r="E25" s="1562">
        <f t="shared" si="2"/>
        <v>2000</v>
      </c>
      <c r="F25" s="1812">
        <f t="shared" si="3"/>
        <v>0</v>
      </c>
      <c r="G25" s="1813">
        <f t="shared" si="4"/>
        <v>0</v>
      </c>
    </row>
    <row r="26" spans="1:8" x14ac:dyDescent="0.25">
      <c r="A26" s="1950" t="s">
        <v>2105</v>
      </c>
      <c r="B26" s="1951" t="s">
        <v>2108</v>
      </c>
      <c r="C26" s="1952" t="s">
        <v>2107</v>
      </c>
      <c r="D26" s="1863">
        <v>2008</v>
      </c>
      <c r="E26" s="1562">
        <f t="shared" si="2"/>
        <v>2008</v>
      </c>
      <c r="F26" s="1812">
        <f t="shared" si="3"/>
        <v>0</v>
      </c>
      <c r="G26" s="1813">
        <f t="shared" si="4"/>
        <v>0</v>
      </c>
    </row>
    <row r="27" spans="1:8" x14ac:dyDescent="0.25">
      <c r="A27" s="1950" t="s">
        <v>2109</v>
      </c>
      <c r="B27" s="1951" t="s">
        <v>2110</v>
      </c>
      <c r="C27" s="1952" t="s">
        <v>2111</v>
      </c>
      <c r="D27" s="1863">
        <v>4950</v>
      </c>
      <c r="E27" s="1562">
        <f t="shared" si="2"/>
        <v>4950</v>
      </c>
      <c r="F27" s="1812">
        <f t="shared" si="3"/>
        <v>0</v>
      </c>
      <c r="G27" s="1813">
        <f t="shared" si="4"/>
        <v>0</v>
      </c>
    </row>
    <row r="28" spans="1:8" x14ac:dyDescent="0.25">
      <c r="A28" s="1950" t="s">
        <v>2109</v>
      </c>
      <c r="B28" s="1951" t="s">
        <v>2110</v>
      </c>
      <c r="C28" s="1952" t="s">
        <v>2112</v>
      </c>
      <c r="D28" s="1863">
        <v>2140</v>
      </c>
      <c r="E28" s="1562">
        <f t="shared" si="2"/>
        <v>2140</v>
      </c>
      <c r="F28" s="1812">
        <f t="shared" si="3"/>
        <v>0</v>
      </c>
      <c r="G28" s="1813">
        <f t="shared" si="4"/>
        <v>0</v>
      </c>
    </row>
    <row r="29" spans="1:8" x14ac:dyDescent="0.25">
      <c r="A29" s="1950" t="s">
        <v>2109</v>
      </c>
      <c r="B29" s="1951" t="s">
        <v>2150</v>
      </c>
      <c r="C29" s="1952" t="s">
        <v>2113</v>
      </c>
      <c r="D29" s="1863">
        <v>129849</v>
      </c>
      <c r="E29" s="1562">
        <f t="shared" si="2"/>
        <v>25000</v>
      </c>
      <c r="F29" s="1812">
        <f t="shared" si="3"/>
        <v>25000</v>
      </c>
      <c r="G29" s="1813">
        <f t="shared" si="4"/>
        <v>104849</v>
      </c>
    </row>
    <row r="30" spans="1:8" x14ac:dyDescent="0.25">
      <c r="A30" s="1950" t="s">
        <v>2114</v>
      </c>
      <c r="B30" s="1951" t="s">
        <v>2115</v>
      </c>
      <c r="C30" s="1952" t="s">
        <v>2116</v>
      </c>
      <c r="D30" s="1863">
        <v>4455</v>
      </c>
      <c r="E30" s="1562">
        <f t="shared" si="2"/>
        <v>4455</v>
      </c>
      <c r="F30" s="1812">
        <f t="shared" si="3"/>
        <v>0</v>
      </c>
      <c r="G30" s="1813">
        <f t="shared" si="4"/>
        <v>0</v>
      </c>
    </row>
    <row r="31" spans="1:8" x14ac:dyDescent="0.25">
      <c r="A31" s="1950" t="s">
        <v>2114</v>
      </c>
      <c r="B31" s="1951" t="s">
        <v>2117</v>
      </c>
      <c r="C31" s="1952" t="s">
        <v>2118</v>
      </c>
      <c r="D31" s="1863">
        <v>16753</v>
      </c>
      <c r="E31" s="1562">
        <f t="shared" si="2"/>
        <v>16753</v>
      </c>
      <c r="F31" s="1812">
        <f t="shared" si="3"/>
        <v>0</v>
      </c>
      <c r="G31" s="1813">
        <f t="shared" si="4"/>
        <v>0</v>
      </c>
    </row>
    <row r="32" spans="1:8" x14ac:dyDescent="0.25">
      <c r="A32" s="1950" t="s">
        <v>2119</v>
      </c>
      <c r="B32" s="1951" t="s">
        <v>2120</v>
      </c>
      <c r="C32" s="1952" t="s">
        <v>2121</v>
      </c>
      <c r="D32" s="1863">
        <v>5140</v>
      </c>
      <c r="E32" s="1562">
        <f t="shared" si="2"/>
        <v>5140</v>
      </c>
      <c r="F32" s="1812">
        <f t="shared" si="3"/>
        <v>0</v>
      </c>
      <c r="G32" s="1813">
        <f t="shared" si="4"/>
        <v>0</v>
      </c>
    </row>
    <row r="33" spans="1:7" x14ac:dyDescent="0.25">
      <c r="A33" s="1950" t="s">
        <v>2119</v>
      </c>
      <c r="B33" s="1951" t="s">
        <v>2120</v>
      </c>
      <c r="C33" s="1952" t="s">
        <v>2122</v>
      </c>
      <c r="D33" s="1863">
        <v>13813</v>
      </c>
      <c r="E33" s="1562">
        <f t="shared" si="2"/>
        <v>13813</v>
      </c>
      <c r="F33" s="1812">
        <f t="shared" si="3"/>
        <v>0</v>
      </c>
      <c r="G33" s="1813">
        <f t="shared" si="4"/>
        <v>0</v>
      </c>
    </row>
    <row r="34" spans="1:7" x14ac:dyDescent="0.25">
      <c r="A34" s="1675"/>
      <c r="B34" s="1686"/>
      <c r="C34" s="1676"/>
      <c r="D34" s="1863"/>
      <c r="E34" s="1562">
        <f t="shared" si="2"/>
        <v>0</v>
      </c>
      <c r="F34" s="1812">
        <f t="shared" si="3"/>
        <v>0</v>
      </c>
      <c r="G34" s="1813">
        <f t="shared" si="4"/>
        <v>0</v>
      </c>
    </row>
    <row r="35" spans="1:7" x14ac:dyDescent="0.25">
      <c r="A35" s="1816" t="s">
        <v>158</v>
      </c>
      <c r="B35" s="1817"/>
      <c r="C35" s="1818"/>
      <c r="D35" s="1814">
        <f>SUM(D17:D34)</f>
        <v>234977</v>
      </c>
      <c r="E35" s="1563">
        <f t="shared" si="1"/>
        <v>25000</v>
      </c>
      <c r="F35" s="1814">
        <f>SUM(F17:F34)</f>
        <v>50000</v>
      </c>
      <c r="G35" s="1815">
        <f>SUM(G17:G34)</f>
        <v>118667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&amp;C70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15268</v>
      </c>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1321822</v>
      </c>
      <c r="F19" s="1819"/>
      <c r="G19" s="1821">
        <f>'Expenditures 15-22'!K33-SUM('Expenditures 15-22'!G33,'Expenditures 15-22'!I33)+'Expenditures 15-22'!D229</f>
        <v>1321822</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51334</v>
      </c>
      <c r="F21" s="1822"/>
      <c r="G21" s="1825">
        <f>'Expenditures 15-22'!K42-SUM('Expenditures 15-22'!G42,'Expenditures 15-22'!I42)+'Expenditures 15-22'!K120-SUM('Expenditures 15-22'!G120,'Expenditures 15-22'!I120)+'Expenditures 15-22'!K180-SUM('Expenditures 15-22'!G180,'Expenditures 15-22'!I180)+'Expenditures 15-22'!D238</f>
        <v>51334</v>
      </c>
      <c r="H21" s="988"/>
      <c r="I21" s="162"/>
    </row>
    <row r="22" spans="1:9" s="669" customFormat="1" ht="12" customHeight="1" x14ac:dyDescent="0.2">
      <c r="A22" s="995" t="s">
        <v>585</v>
      </c>
      <c r="B22" s="996"/>
      <c r="C22" s="994">
        <v>2200</v>
      </c>
      <c r="D22" s="1822"/>
      <c r="E22" s="1824">
        <f>'Expenditures 15-22'!K47-SUM('Expenditures 15-22'!G47,'Expenditures 15-22'!I47)+'Expenditures 15-22'!D243</f>
        <v>75986</v>
      </c>
      <c r="F22" s="1822"/>
      <c r="G22" s="1825">
        <f>'Expenditures 15-22'!K47-SUM('Expenditures 15-22'!G47,'Expenditures 15-22'!I47)+'Expenditures 15-22'!D243</f>
        <v>75986</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446788</v>
      </c>
      <c r="F23" s="1822"/>
      <c r="G23" s="1824">
        <f>'Expenditures 15-22'!K53-SUM('Expenditures 15-22'!G53,'Expenditures 15-22'!I53)+'Expenditures 15-22'!D257+'Expenditures 15-22'!K330-SUM('Expenditures 15-22'!G330,'Expenditures 15-22'!I330)</f>
        <v>446788</v>
      </c>
      <c r="H23" s="988"/>
      <c r="I23" s="162"/>
    </row>
    <row r="24" spans="1:9" s="669" customFormat="1" ht="12" customHeight="1" x14ac:dyDescent="0.2">
      <c r="A24" s="995" t="s">
        <v>587</v>
      </c>
      <c r="B24" s="996"/>
      <c r="C24" s="994">
        <v>2400</v>
      </c>
      <c r="D24" s="1822"/>
      <c r="E24" s="1824">
        <f>'Expenditures 15-22'!K57-SUM('Expenditures 15-22'!G57,'Expenditures 15-22'!I57)+'Expenditures 15-22'!D261</f>
        <v>145103</v>
      </c>
      <c r="F24" s="1822"/>
      <c r="G24" s="1825">
        <f>'Expenditures 15-22'!K57-SUM('Expenditures 15-22'!G57,'Expenditures 15-22'!I57)+'Expenditures 15-22'!D261</f>
        <v>145103</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57324</v>
      </c>
      <c r="E27" s="1824">
        <f>E8</f>
        <v>0</v>
      </c>
      <c r="F27" s="1824">
        <f>'Expenditures 15-22'!K60-SUM('Expenditures 15-22'!G60,'Expenditures 15-22'!I60)+'Expenditures 15-22'!D264-E8</f>
        <v>57324</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229398</v>
      </c>
      <c r="F28" s="1826">
        <f>'Expenditures 15-22'!K61-SUM('Expenditures 15-22'!G61,'Expenditures 15-22'!I61)+'Expenditures 15-22'!K124-SUM('Expenditures 15-22'!G124,'Expenditures 15-22'!I124)+'Expenditures 15-22'!D266-E9</f>
        <v>229398</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247774</v>
      </c>
      <c r="F29" s="1822"/>
      <c r="G29" s="1825">
        <f>'Expenditures 15-22'!K62-SUM('Expenditures 15-22'!G62,'Expenditures 15-22'!I62)+'Expenditures 15-22'!K125-SUM('Expenditures 15-22'!G125,'Expenditures 15-22'!I125)+'Expenditures 15-22'!K182-SUM('Expenditures 15-22'!G182,'Expenditures 15-22'!I182)+'Expenditures 15-22'!D267</f>
        <v>247774</v>
      </c>
      <c r="H29" s="986"/>
    </row>
    <row r="30" spans="1:9" ht="12" customHeight="1" x14ac:dyDescent="0.2">
      <c r="A30" s="995" t="s">
        <v>102</v>
      </c>
      <c r="B30" s="998"/>
      <c r="C30" s="994">
        <v>2560</v>
      </c>
      <c r="D30" s="1822"/>
      <c r="E30" s="1824">
        <f>'Expenditures 15-22'!K63-SUM('Expenditures 15-22'!G63,'Expenditures 15-22'!I63)+'Expenditures 15-22'!D268-E10</f>
        <v>-15268</v>
      </c>
      <c r="F30" s="1822"/>
      <c r="G30" s="1824">
        <f>'Expenditures 15-22'!K63-SUM('Expenditures 15-22'!G63,'Expenditures 15-22'!I63)+'Expenditures 15-22'!D268-E10</f>
        <v>-15268</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20507</v>
      </c>
      <c r="F38" s="1822"/>
      <c r="G38" s="1824">
        <f>'Expenditures 15-22'!K73-SUM('Expenditures 15-22'!G73,'Expenditures 15-22'!I73)+'Expenditures 15-22'!K128-SUM('Expenditures 15-22'!G128,'Expenditures 15-22'!I128)+'Expenditures 15-22'!K183-SUM('Expenditures 15-22'!G183,'Expenditures 15-22'!I183)+'Expenditures 15-22'!D278</f>
        <v>20507</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15358</v>
      </c>
      <c r="F39" s="1822"/>
      <c r="G39" s="1824">
        <f>'Expenditures 15-22'!K75-SUM('Expenditures 15-22'!G75,'Expenditures 15-22'!I75)+'Expenditures 15-22'!K130-SUM('Expenditures 15-22'!G130,'Expenditures 15-22'!I130)+'Expenditures 15-22'!K185-SUM('Expenditures 15-22'!G185,'Expenditures 15-22'!I185)+'Expenditures 15-22'!D280</f>
        <v>15358</v>
      </c>
    </row>
    <row r="40" spans="1:7" ht="12" customHeight="1" x14ac:dyDescent="0.2">
      <c r="A40" s="991" t="s">
        <v>1930</v>
      </c>
      <c r="B40" s="992"/>
      <c r="C40" s="994"/>
      <c r="D40" s="1822"/>
      <c r="E40" s="1826">
        <f>-'Contracts Paid in CY 29'!G35</f>
        <v>-118667</v>
      </c>
      <c r="F40" s="1822"/>
      <c r="G40" s="1826">
        <f>-'Contracts Paid in CY 29'!G35</f>
        <v>-118667</v>
      </c>
    </row>
    <row r="41" spans="1:7" ht="12" customHeight="1" x14ac:dyDescent="0.2">
      <c r="A41" s="999" t="s">
        <v>158</v>
      </c>
      <c r="B41" s="1000"/>
      <c r="C41" s="1001"/>
      <c r="D41" s="1826">
        <f>SUM(D19:D39)</f>
        <v>57324</v>
      </c>
      <c r="E41" s="1826">
        <f>SUM(E19:E40)</f>
        <v>2420135</v>
      </c>
      <c r="F41" s="1826">
        <f>SUM(F19:F39)</f>
        <v>286722</v>
      </c>
      <c r="G41" s="1826">
        <f>SUM(G19:G40)</f>
        <v>2190737</v>
      </c>
    </row>
    <row r="42" spans="1:7" x14ac:dyDescent="0.2">
      <c r="A42" s="988"/>
      <c r="B42" s="162"/>
      <c r="C42" s="1002"/>
      <c r="D42" s="2302" t="s">
        <v>543</v>
      </c>
      <c r="E42" s="2303"/>
      <c r="F42" s="1003" t="s">
        <v>544</v>
      </c>
      <c r="G42" s="1004"/>
    </row>
    <row r="43" spans="1:7" ht="12" customHeight="1" x14ac:dyDescent="0.2">
      <c r="A43" s="988"/>
      <c r="B43" s="162"/>
      <c r="C43" s="1002"/>
      <c r="D43" s="1827" t="s">
        <v>493</v>
      </c>
      <c r="E43" s="1828">
        <f>D41</f>
        <v>57324</v>
      </c>
      <c r="F43" s="1827" t="s">
        <v>495</v>
      </c>
      <c r="G43" s="1828">
        <f>F41</f>
        <v>286722</v>
      </c>
    </row>
    <row r="44" spans="1:7" ht="12" customHeight="1" x14ac:dyDescent="0.2">
      <c r="A44" s="988"/>
      <c r="B44" s="162"/>
      <c r="C44" s="1002"/>
      <c r="D44" s="1827" t="s">
        <v>494</v>
      </c>
      <c r="E44" s="1828">
        <f>E41</f>
        <v>2420135</v>
      </c>
      <c r="F44" s="1827" t="s">
        <v>494</v>
      </c>
      <c r="G44" s="1828">
        <f>G41</f>
        <v>2190737</v>
      </c>
    </row>
    <row r="45" spans="1:7" ht="12" customHeight="1" x14ac:dyDescent="0.2">
      <c r="A45" s="988"/>
      <c r="B45" s="162"/>
      <c r="C45" s="162"/>
      <c r="D45" s="1829" t="s">
        <v>1063</v>
      </c>
      <c r="E45" s="1830">
        <f>(E43/E44)</f>
        <v>2.3686281963609467E-2</v>
      </c>
      <c r="F45" s="1829" t="s">
        <v>1063</v>
      </c>
      <c r="G45" s="1830">
        <f>(G43/G44)</f>
        <v>0.13087924292144607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2"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21" t="s">
        <v>1446</v>
      </c>
      <c r="B1" s="2321"/>
      <c r="C1" s="2321"/>
      <c r="D1" s="2321"/>
      <c r="E1" s="2321"/>
      <c r="F1" s="2321"/>
    </row>
    <row r="2" spans="1:10" x14ac:dyDescent="0.2">
      <c r="A2" s="1906" t="s">
        <v>2046</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22" t="s">
        <v>1627</v>
      </c>
      <c r="B5" s="2323"/>
      <c r="C5" s="2324"/>
      <c r="D5" s="2324"/>
      <c r="E5" s="2324"/>
      <c r="F5" s="2324"/>
    </row>
    <row r="6" spans="1:10" ht="12" customHeight="1" x14ac:dyDescent="0.25">
      <c r="A6" s="1869"/>
      <c r="B6" s="1870"/>
      <c r="C6" s="2325" t="str">
        <f>COVER!A17</f>
        <v>Clay City CUSD 10</v>
      </c>
      <c r="D6" s="2325"/>
      <c r="E6" s="2325"/>
      <c r="F6" s="1871"/>
    </row>
    <row r="7" spans="1:10" ht="11.25" customHeight="1" thickBot="1" x14ac:dyDescent="0.3">
      <c r="A7" s="1869"/>
      <c r="B7" s="1870"/>
      <c r="C7" s="2326">
        <f>COVER!A13</f>
        <v>12013010026</v>
      </c>
      <c r="D7" s="2326"/>
      <c r="E7" s="2326"/>
      <c r="F7" s="1871"/>
    </row>
    <row r="8" spans="1:10" ht="25.5" customHeight="1" thickBot="1" x14ac:dyDescent="0.25">
      <c r="A8" s="1912" t="s">
        <v>2023</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2077</v>
      </c>
      <c r="D26" s="1884" t="s">
        <v>2077</v>
      </c>
      <c r="E26" s="1887" t="s">
        <v>2077</v>
      </c>
      <c r="F26" s="1886" t="s">
        <v>2094</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5</v>
      </c>
      <c r="K34" s="1897">
        <f>SUM(H34:J34)</f>
        <v>15</v>
      </c>
    </row>
    <row r="35" spans="1:11" ht="12" customHeight="1" x14ac:dyDescent="0.2">
      <c r="A35" s="1890" t="s">
        <v>1459</v>
      </c>
      <c r="B35" s="1891"/>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2"/>
      <c r="B39" s="1892"/>
      <c r="C39" s="1892"/>
      <c r="D39" s="1892"/>
      <c r="E39" s="1892"/>
      <c r="F39" s="1892"/>
    </row>
    <row r="40" spans="1:11" s="1889" customFormat="1" ht="12" customHeight="1" x14ac:dyDescent="0.25">
      <c r="A40" s="1893" t="s">
        <v>1458</v>
      </c>
      <c r="B40" s="1894"/>
      <c r="C40" s="2316"/>
      <c r="D40" s="2316"/>
      <c r="E40" s="2316"/>
      <c r="F40" s="2317"/>
      <c r="H40" s="1898"/>
      <c r="I40" s="1898"/>
      <c r="J40" s="1898"/>
      <c r="K40" s="1898"/>
    </row>
    <row r="41" spans="1:11" s="1889" customFormat="1" ht="12" customHeight="1" x14ac:dyDescent="0.25">
      <c r="A41" s="2318"/>
      <c r="B41" s="2319"/>
      <c r="C41" s="2319"/>
      <c r="D41" s="2319"/>
      <c r="E41" s="2319"/>
      <c r="F41" s="2320"/>
      <c r="H41" s="1898"/>
      <c r="I41" s="1898"/>
      <c r="J41" s="1898"/>
      <c r="K41" s="1898"/>
    </row>
    <row r="42" spans="1:11" s="1889" customFormat="1" ht="12" customHeight="1" x14ac:dyDescent="0.25">
      <c r="A42" s="2318"/>
      <c r="B42" s="2319"/>
      <c r="C42" s="2319"/>
      <c r="D42" s="2319"/>
      <c r="E42" s="2319"/>
      <c r="F42" s="2320"/>
      <c r="H42" s="1898"/>
      <c r="I42" s="1898"/>
      <c r="J42" s="1898"/>
      <c r="K42" s="1898"/>
    </row>
    <row r="43" spans="1:11" s="1889" customFormat="1" ht="15" x14ac:dyDescent="0.25">
      <c r="A43" s="2307"/>
      <c r="B43" s="2308"/>
      <c r="C43" s="2308"/>
      <c r="D43" s="2308"/>
      <c r="E43" s="2308"/>
      <c r="F43" s="2309"/>
      <c r="H43" s="1898"/>
      <c r="I43" s="1898"/>
      <c r="J43" s="1898"/>
      <c r="K43" s="1898"/>
    </row>
    <row r="44" spans="1:11" s="1889" customFormat="1" ht="12" hidden="1" customHeight="1" x14ac:dyDescent="0.25">
      <c r="A44" s="2307"/>
      <c r="B44" s="2308"/>
      <c r="C44" s="2308"/>
      <c r="D44" s="2308"/>
      <c r="E44" s="2308"/>
      <c r="F44" s="2309"/>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4" t="str">
        <f>COVER!A17</f>
        <v>Clay City CUSD 10</v>
      </c>
      <c r="J6" s="2335"/>
      <c r="Q6" s="1684"/>
    </row>
    <row r="7" spans="1:17" x14ac:dyDescent="0.2">
      <c r="A7" s="2336" t="s">
        <v>924</v>
      </c>
      <c r="B7" s="2337"/>
      <c r="C7" s="2337"/>
      <c r="D7" s="2337"/>
      <c r="E7" s="2338"/>
      <c r="F7" s="1018"/>
      <c r="G7" s="1010"/>
      <c r="H7" s="1017" t="s">
        <v>390</v>
      </c>
      <c r="I7" s="2339">
        <f>COVER!A13</f>
        <v>12013010026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72747</v>
      </c>
      <c r="F12" s="1040"/>
      <c r="G12" s="1831">
        <f t="shared" ref="G12:G18" si="0">SUM(E12:F12)</f>
        <v>72747</v>
      </c>
      <c r="H12" s="1041">
        <v>75774</v>
      </c>
      <c r="I12" s="1040"/>
      <c r="J12" s="1831">
        <f t="shared" ref="J12:J18" si="1">SUM(H12:I12)</f>
        <v>75774</v>
      </c>
    </row>
    <row r="13" spans="1:17" ht="15" customHeight="1" x14ac:dyDescent="0.2">
      <c r="A13" s="1036">
        <v>2</v>
      </c>
      <c r="B13" s="1037" t="s">
        <v>44</v>
      </c>
      <c r="C13" s="1038"/>
      <c r="D13" s="1039">
        <v>2330</v>
      </c>
      <c r="E13" s="1831">
        <f>'Expenditures 15-22'!K51</f>
        <v>72451</v>
      </c>
      <c r="F13" s="1040"/>
      <c r="G13" s="1831">
        <f t="shared" si="0"/>
        <v>72451</v>
      </c>
      <c r="H13" s="1041">
        <v>75349</v>
      </c>
      <c r="I13" s="1040"/>
      <c r="J13" s="1831">
        <f t="shared" si="1"/>
        <v>75349</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3" t="s">
        <v>7</v>
      </c>
      <c r="C18" s="2344"/>
      <c r="D18" s="2345"/>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145198</v>
      </c>
      <c r="F19" s="1833">
        <f t="shared" si="2"/>
        <v>0</v>
      </c>
      <c r="G19" s="1833">
        <f t="shared" si="2"/>
        <v>145198</v>
      </c>
      <c r="H19" s="1833">
        <f t="shared" si="2"/>
        <v>151123</v>
      </c>
      <c r="I19" s="1833">
        <f t="shared" si="2"/>
        <v>0</v>
      </c>
      <c r="J19" s="1833">
        <f t="shared" si="2"/>
        <v>151123</v>
      </c>
    </row>
    <row r="20" spans="1:10" ht="13.5" thickTop="1" x14ac:dyDescent="0.2">
      <c r="A20" s="1036">
        <v>9</v>
      </c>
      <c r="B20" s="2346" t="s">
        <v>1703</v>
      </c>
      <c r="C20" s="2346"/>
      <c r="D20" s="2347"/>
      <c r="E20" s="1047"/>
      <c r="F20" s="1047"/>
      <c r="G20" s="1047"/>
      <c r="H20" s="1047"/>
      <c r="I20" s="1047"/>
      <c r="J20" s="1834">
        <f>IF(AND(G19&gt;0,J19&gt;0),(((J19-G19)/G19)),"Enter Budget Data")</f>
        <v>4.0806347194864943E-2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73&amp;C &amp;R&amp;8Page 73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I65"/>
  <sheetViews>
    <sheetView showGridLines="0" zoomScale="110" zoomScaleNormal="110" workbookViewId="0">
      <selection activeCell="F10" sqref="F10"/>
    </sheetView>
  </sheetViews>
  <sheetFormatPr defaultRowHeight="12.75" x14ac:dyDescent="0.2"/>
  <cols>
    <col min="1" max="1" width="4.7109375" style="329" customWidth="1"/>
    <col min="2" max="2" width="9.7109375" style="329" customWidth="1"/>
    <col min="3" max="3" width="3.140625" style="329" customWidth="1"/>
    <col min="4" max="8" width="9.140625" style="329"/>
    <col min="9" max="9" width="11" style="329" bestFit="1" customWidth="1"/>
    <col min="10" max="16384" width="9.140625" style="329"/>
  </cols>
  <sheetData>
    <row r="2" spans="1:9" x14ac:dyDescent="0.2">
      <c r="A2" s="389" t="s">
        <v>276</v>
      </c>
    </row>
    <row r="3" spans="1:9" x14ac:dyDescent="0.2">
      <c r="A3" s="329" t="s">
        <v>277</v>
      </c>
    </row>
    <row r="5" spans="1:9" x14ac:dyDescent="0.2">
      <c r="A5" s="1069">
        <v>1</v>
      </c>
      <c r="B5" s="329" t="s">
        <v>2123</v>
      </c>
    </row>
    <row r="6" spans="1:9" x14ac:dyDescent="0.2">
      <c r="A6" s="1069"/>
      <c r="C6" s="329" t="s">
        <v>2146</v>
      </c>
      <c r="I6" s="1954">
        <v>1240</v>
      </c>
    </row>
    <row r="7" spans="1:9" x14ac:dyDescent="0.2">
      <c r="A7" s="1069"/>
      <c r="C7" s="329" t="s">
        <v>2124</v>
      </c>
      <c r="I7" s="1953">
        <v>258</v>
      </c>
    </row>
    <row r="8" spans="1:9" x14ac:dyDescent="0.2">
      <c r="A8" s="1069"/>
      <c r="C8" s="329" t="s">
        <v>2125</v>
      </c>
      <c r="I8" s="1953">
        <v>118</v>
      </c>
    </row>
    <row r="9" spans="1:9" x14ac:dyDescent="0.2">
      <c r="A9" s="1070"/>
      <c r="C9" s="329" t="s">
        <v>2126</v>
      </c>
      <c r="I9" s="1953">
        <v>184</v>
      </c>
    </row>
    <row r="10" spans="1:9" x14ac:dyDescent="0.2">
      <c r="A10" s="1070"/>
      <c r="C10" s="329" t="s">
        <v>2127</v>
      </c>
      <c r="I10" s="1953">
        <v>375</v>
      </c>
    </row>
    <row r="11" spans="1:9" x14ac:dyDescent="0.2">
      <c r="A11" s="1070"/>
      <c r="C11" s="329" t="s">
        <v>2128</v>
      </c>
      <c r="I11" s="1955">
        <v>206</v>
      </c>
    </row>
    <row r="12" spans="1:9" ht="13.5" thickBot="1" x14ac:dyDescent="0.25">
      <c r="A12" s="1070"/>
      <c r="I12" s="1956">
        <f>SUM(I6:I11)</f>
        <v>2381</v>
      </c>
    </row>
    <row r="13" spans="1:9" ht="13.5" thickTop="1" x14ac:dyDescent="0.2">
      <c r="A13" s="1070">
        <v>2</v>
      </c>
      <c r="B13" s="329" t="s">
        <v>2129</v>
      </c>
    </row>
    <row r="14" spans="1:9" x14ac:dyDescent="0.2">
      <c r="A14" s="1070"/>
      <c r="C14" s="329" t="s">
        <v>2130</v>
      </c>
      <c r="I14" s="1954">
        <v>207</v>
      </c>
    </row>
    <row r="15" spans="1:9" x14ac:dyDescent="0.2">
      <c r="A15" s="1070"/>
      <c r="C15" s="329" t="s">
        <v>2131</v>
      </c>
      <c r="I15" s="1953">
        <v>150</v>
      </c>
    </row>
    <row r="16" spans="1:9" x14ac:dyDescent="0.2">
      <c r="A16" s="1070"/>
      <c r="C16" s="329" t="s">
        <v>2128</v>
      </c>
      <c r="I16" s="1955">
        <v>246</v>
      </c>
    </row>
    <row r="17" spans="1:9" ht="13.5" thickBot="1" x14ac:dyDescent="0.25">
      <c r="A17" s="1070"/>
      <c r="I17" s="1956">
        <f>SUM(I14:I16)</f>
        <v>603</v>
      </c>
    </row>
    <row r="18" spans="1:9" ht="13.5" thickTop="1" x14ac:dyDescent="0.2">
      <c r="A18" s="1070"/>
    </row>
    <row r="19" spans="1:9" x14ac:dyDescent="0.2">
      <c r="A19" s="1070">
        <v>3</v>
      </c>
      <c r="B19" s="329" t="s">
        <v>2132</v>
      </c>
    </row>
    <row r="20" spans="1:9" x14ac:dyDescent="0.2">
      <c r="A20" s="1070"/>
      <c r="C20" s="329" t="s">
        <v>2133</v>
      </c>
      <c r="I20" s="1954">
        <v>612</v>
      </c>
    </row>
    <row r="21" spans="1:9" x14ac:dyDescent="0.2">
      <c r="A21" s="1070"/>
      <c r="C21" s="329" t="s">
        <v>2134</v>
      </c>
      <c r="I21" s="1953">
        <v>475</v>
      </c>
    </row>
    <row r="22" spans="1:9" x14ac:dyDescent="0.2">
      <c r="A22" s="1070"/>
      <c r="C22" s="329" t="s">
        <v>2135</v>
      </c>
      <c r="I22" s="1953">
        <v>346</v>
      </c>
    </row>
    <row r="23" spans="1:9" x14ac:dyDescent="0.2">
      <c r="A23" s="1070"/>
      <c r="C23" s="329" t="s">
        <v>2128</v>
      </c>
      <c r="I23" s="1955">
        <v>404</v>
      </c>
    </row>
    <row r="24" spans="1:9" ht="13.5" thickBot="1" x14ac:dyDescent="0.25">
      <c r="A24" s="1070"/>
      <c r="I24" s="1956">
        <f>SUM(I20:I23)</f>
        <v>1837</v>
      </c>
    </row>
    <row r="25" spans="1:9" ht="13.5" thickTop="1" x14ac:dyDescent="0.2">
      <c r="A25" s="1070"/>
    </row>
    <row r="26" spans="1:9" x14ac:dyDescent="0.2">
      <c r="A26" s="1070">
        <v>4</v>
      </c>
      <c r="B26" s="329" t="s">
        <v>2136</v>
      </c>
    </row>
    <row r="27" spans="1:9" ht="13.5" thickBot="1" x14ac:dyDescent="0.25">
      <c r="A27" s="1070"/>
      <c r="C27" s="329" t="s">
        <v>2137</v>
      </c>
      <c r="I27" s="1957">
        <v>1500</v>
      </c>
    </row>
    <row r="28" spans="1:9" ht="13.5" thickTop="1" x14ac:dyDescent="0.2">
      <c r="A28" s="1070"/>
    </row>
    <row r="29" spans="1:9" x14ac:dyDescent="0.2">
      <c r="A29" s="1070">
        <v>5</v>
      </c>
      <c r="B29" s="329" t="s">
        <v>2138</v>
      </c>
    </row>
    <row r="30" spans="1:9" ht="13.5" thickBot="1" x14ac:dyDescent="0.25">
      <c r="A30" s="1070"/>
      <c r="C30" s="329" t="s">
        <v>2139</v>
      </c>
      <c r="I30" s="1957">
        <v>17295</v>
      </c>
    </row>
    <row r="31" spans="1:9" ht="13.5" thickTop="1" x14ac:dyDescent="0.2">
      <c r="A31" s="1070"/>
    </row>
    <row r="32" spans="1:9" x14ac:dyDescent="0.2">
      <c r="A32" s="1070">
        <v>6</v>
      </c>
      <c r="B32" s="329" t="s">
        <v>2140</v>
      </c>
    </row>
    <row r="33" spans="1:9" ht="13.5" thickBot="1" x14ac:dyDescent="0.25">
      <c r="A33" s="1070"/>
      <c r="C33" s="329" t="s">
        <v>2141</v>
      </c>
      <c r="I33" s="1957">
        <v>705</v>
      </c>
    </row>
    <row r="34" spans="1:9" ht="13.5" thickTop="1" x14ac:dyDescent="0.2">
      <c r="A34" s="1070"/>
    </row>
    <row r="35" spans="1:9" x14ac:dyDescent="0.2">
      <c r="A35" s="1070">
        <v>7</v>
      </c>
      <c r="B35" s="329" t="s">
        <v>2142</v>
      </c>
    </row>
    <row r="36" spans="1:9" ht="13.5" thickBot="1" x14ac:dyDescent="0.25">
      <c r="A36" s="1070"/>
      <c r="C36" s="329" t="s">
        <v>2143</v>
      </c>
      <c r="I36" s="1957">
        <v>20507</v>
      </c>
    </row>
    <row r="37" spans="1:9" ht="13.5" thickTop="1" x14ac:dyDescent="0.2">
      <c r="A37" s="1070"/>
    </row>
    <row r="38" spans="1:9" x14ac:dyDescent="0.2">
      <c r="A38" s="1070">
        <v>8</v>
      </c>
      <c r="B38" s="329" t="s">
        <v>2144</v>
      </c>
    </row>
    <row r="39" spans="1:9" ht="13.5" thickBot="1" x14ac:dyDescent="0.25">
      <c r="A39" s="1070"/>
      <c r="C39" s="329" t="s">
        <v>2145</v>
      </c>
      <c r="I39" s="1957">
        <v>700</v>
      </c>
    </row>
    <row r="40" spans="1:9" ht="13.5" thickTop="1" x14ac:dyDescent="0.2">
      <c r="A40" s="1070"/>
    </row>
    <row r="41" spans="1:9" x14ac:dyDescent="0.2">
      <c r="A41" s="1070"/>
    </row>
    <row r="42" spans="1:9" x14ac:dyDescent="0.2">
      <c r="A42" s="1070"/>
    </row>
    <row r="43" spans="1:9" x14ac:dyDescent="0.2">
      <c r="A43" s="1070"/>
    </row>
    <row r="44" spans="1:9" x14ac:dyDescent="0.2">
      <c r="A44" s="1070"/>
    </row>
    <row r="45" spans="1:9" x14ac:dyDescent="0.2">
      <c r="A45" s="1070"/>
    </row>
    <row r="46" spans="1:9" x14ac:dyDescent="0.2">
      <c r="A46" s="1070"/>
    </row>
    <row r="47" spans="1:9" x14ac:dyDescent="0.2">
      <c r="A47" s="1070"/>
    </row>
    <row r="48" spans="1:9"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Clay City CUSD 10</v>
      </c>
    </row>
    <row r="65" spans="2:2" x14ac:dyDescent="0.2">
      <c r="B65" s="1071">
        <f>COVER!A13</f>
        <v>12013010026</v>
      </c>
    </row>
  </sheetData>
  <phoneticPr fontId="13"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xdr:col>
                <xdr:colOff>171450</xdr:colOff>
                <xdr:row>6</xdr:row>
                <xdr:rowOff>9525</xdr:rowOff>
              </from>
              <to>
                <xdr:col>1</xdr:col>
                <xdr:colOff>1085850</xdr:colOff>
                <xdr:row>10</xdr:row>
                <xdr:rowOff>47625</xdr:rowOff>
              </to>
            </anchor>
          </objectPr>
        </oleObject>
      </mc:Choice>
      <mc:Fallback>
        <oleObject progId="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1476375</xdr:colOff>
                <xdr:row>6</xdr:row>
                <xdr:rowOff>57150</xdr:rowOff>
              </from>
              <to>
                <xdr:col>1</xdr:col>
                <xdr:colOff>2390775</xdr:colOff>
                <xdr:row>10</xdr:row>
                <xdr:rowOff>95250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Acrobat Document" dvAspect="DVASPECT_ICON" shapeId="29699" r:id="rId8">
          <objectPr defaultSize="0" r:id="rId9">
            <anchor moveWithCells="1">
              <from>
                <xdr:col>1</xdr:col>
                <xdr:colOff>2971800</xdr:colOff>
                <xdr:row>6</xdr:row>
                <xdr:rowOff>0</xdr:rowOff>
              </from>
              <to>
                <xdr:col>1</xdr:col>
                <xdr:colOff>3886200</xdr:colOff>
                <xdr:row>10</xdr:row>
                <xdr:rowOff>38100</xdr:rowOff>
              </to>
            </anchor>
          </objectPr>
        </oleObject>
      </mc:Choice>
      <mc:Fallback>
        <oleObject progId="Acrobat 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2281293</v>
      </c>
      <c r="C8" s="1835">
        <f>'Acct Summary 7-8'!D8</f>
        <v>180102</v>
      </c>
      <c r="D8" s="1835">
        <f>'Acct Summary 7-8'!F8</f>
        <v>116749</v>
      </c>
      <c r="E8" s="1835">
        <f>'Acct Summary 7-8'!I8</f>
        <v>12978</v>
      </c>
      <c r="F8" s="1835">
        <f>SUM(B8:E8)</f>
        <v>2591122</v>
      </c>
    </row>
    <row r="9" spans="1:8" s="1080" customFormat="1" ht="14.25" customHeight="1" thickBot="1" x14ac:dyDescent="0.25">
      <c r="A9" s="1079" t="s">
        <v>1436</v>
      </c>
      <c r="B9" s="1836">
        <f>'Acct Summary 7-8'!C17</f>
        <v>2046597</v>
      </c>
      <c r="C9" s="1836">
        <f>'Acct Summary 7-8'!D17</f>
        <v>225635</v>
      </c>
      <c r="D9" s="1836">
        <f>'Acct Summary 7-8'!F17</f>
        <v>91240</v>
      </c>
      <c r="E9" s="1835"/>
      <c r="F9" s="1835">
        <f>SUM(B9:E9)</f>
        <v>2363472</v>
      </c>
    </row>
    <row r="10" spans="1:8" s="1080" customFormat="1" ht="14.25" thickTop="1" thickBot="1" x14ac:dyDescent="0.25">
      <c r="A10" s="1081" t="s">
        <v>1437</v>
      </c>
      <c r="B10" s="1837">
        <f>(B8-B9)</f>
        <v>234696</v>
      </c>
      <c r="C10" s="1837">
        <f>(C8-C9)</f>
        <v>-45533</v>
      </c>
      <c r="D10" s="1837">
        <f>(D8-D9)</f>
        <v>25509</v>
      </c>
      <c r="E10" s="1836">
        <f>(E8-E9)</f>
        <v>12978</v>
      </c>
      <c r="F10" s="1838">
        <f>SUM(F8-F9)</f>
        <v>227650</v>
      </c>
    </row>
    <row r="11" spans="1:8" s="1080" customFormat="1" ht="14.25" thickTop="1" thickBot="1" x14ac:dyDescent="0.25">
      <c r="A11" s="1082" t="s">
        <v>1785</v>
      </c>
      <c r="B11" s="1839">
        <f>'Acct Summary 7-8'!C81</f>
        <v>1666111</v>
      </c>
      <c r="C11" s="1839">
        <f>'Acct Summary 7-8'!D81</f>
        <v>-43866</v>
      </c>
      <c r="D11" s="1839">
        <f>'Acct Summary 7-8'!F81</f>
        <v>240853</v>
      </c>
      <c r="E11" s="1839">
        <f>'Acct Summary 7-8'!I81</f>
        <v>0</v>
      </c>
      <c r="F11" s="1840">
        <f>SUM(B11:E11)</f>
        <v>1863098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71&amp;R&amp;8Page 71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12013010026</v>
      </c>
    </row>
    <row r="3" spans="1:2" x14ac:dyDescent="0.2">
      <c r="A3" t="s">
        <v>1013</v>
      </c>
      <c r="B3" s="138" t="str">
        <f>COVER!A15</f>
        <v>Clay</v>
      </c>
    </row>
    <row r="4" spans="1:2" x14ac:dyDescent="0.2">
      <c r="A4" t="s">
        <v>1064</v>
      </c>
      <c r="B4" s="138" t="str">
        <f>COVER!A17</f>
        <v>Clay City CUSD 10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060-009547</v>
      </c>
    </row>
    <row r="16" spans="1:2" x14ac:dyDescent="0.2">
      <c r="A16" t="s">
        <v>442</v>
      </c>
      <c r="B16" s="138" t="str">
        <f>COVER!T13</f>
        <v>Greg M. McCalley &amp; Ass. P.C.</v>
      </c>
    </row>
    <row r="17" spans="1:2" x14ac:dyDescent="0.2">
      <c r="A17" t="s">
        <v>939</v>
      </c>
      <c r="B17" s="138" t="str">
        <f>COVER!T15</f>
        <v xml:space="preserve">Greg M. McCalley  </v>
      </c>
    </row>
    <row r="18" spans="1:2" x14ac:dyDescent="0.2">
      <c r="A18" t="s">
        <v>1212</v>
      </c>
      <c r="B18" s="138" t="str">
        <f>COVER!T17</f>
        <v>855 East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1667415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1304</v>
      </c>
      <c r="C91" s="2" t="s">
        <v>594</v>
      </c>
      <c r="D91" s="2" t="str">
        <f t="shared" si="0"/>
        <v>Error?</v>
      </c>
    </row>
    <row r="92" spans="1:4" x14ac:dyDescent="0.2">
      <c r="A92" s="5">
        <v>31</v>
      </c>
      <c r="B92" s="138">
        <f>'Assets-Liab 5-6'!C39</f>
        <v>1666111</v>
      </c>
      <c r="D92" s="2" t="str">
        <f t="shared" si="0"/>
        <v>Error?</v>
      </c>
    </row>
    <row r="93" spans="1:4" x14ac:dyDescent="0.2">
      <c r="A93" s="5">
        <v>32</v>
      </c>
      <c r="B93" s="138">
        <f>'Assets-Liab 5-6'!C41</f>
        <v>1667415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45729</v>
      </c>
      <c r="C122" s="2" t="s">
        <v>594</v>
      </c>
      <c r="D122" s="2" t="str">
        <f t="shared" si="0"/>
        <v>Error?</v>
      </c>
    </row>
    <row r="123" spans="1:4" x14ac:dyDescent="0.2">
      <c r="A123" s="5">
        <v>62</v>
      </c>
      <c r="B123" s="138">
        <f>'Assets-Liab 5-6'!D39</f>
        <v>-43866</v>
      </c>
      <c r="D123" s="2" t="str">
        <f t="shared" si="0"/>
        <v>Error?</v>
      </c>
    </row>
    <row r="124" spans="1:4" x14ac:dyDescent="0.2">
      <c r="A124" s="5">
        <v>63</v>
      </c>
      <c r="B124" s="138">
        <f>'Assets-Liab 5-6'!D41</f>
        <v>1863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96619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96619</v>
      </c>
      <c r="D140" s="2" t="str">
        <f t="shared" si="1"/>
        <v>Error?</v>
      </c>
    </row>
    <row r="141" spans="1:4" x14ac:dyDescent="0.2">
      <c r="A141" s="5">
        <v>80</v>
      </c>
      <c r="B141" s="138">
        <f>'Assets-Liab 5-6'!E41</f>
        <v>96619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240889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v>
      </c>
      <c r="C169" s="2" t="s">
        <v>594</v>
      </c>
      <c r="D169" s="2" t="str">
        <f t="shared" si="1"/>
        <v>Error?</v>
      </c>
    </row>
    <row r="170" spans="1:4" x14ac:dyDescent="0.2">
      <c r="A170" s="5">
        <v>109</v>
      </c>
      <c r="B170" s="138">
        <f>'Assets-Liab 5-6'!F39</f>
        <v>240853</v>
      </c>
      <c r="D170" s="2" t="str">
        <f t="shared" si="1"/>
        <v>Error?</v>
      </c>
    </row>
    <row r="171" spans="1:4" x14ac:dyDescent="0.2">
      <c r="A171" s="5">
        <v>110</v>
      </c>
      <c r="B171" s="138">
        <f>'Assets-Liab 5-6'!F41</f>
        <v>240889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257422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257422</v>
      </c>
      <c r="D189" s="2" t="str">
        <f t="shared" si="1"/>
        <v>Error?</v>
      </c>
    </row>
    <row r="190" spans="1:4" x14ac:dyDescent="0.2">
      <c r="A190" s="5">
        <v>129</v>
      </c>
      <c r="B190" s="138">
        <f>'Assets-Liab 5-6'!G41</f>
        <v>257422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33070</v>
      </c>
      <c r="D273" s="2" t="str">
        <f t="shared" si="3"/>
        <v>Error?</v>
      </c>
    </row>
    <row r="274" spans="1:4" x14ac:dyDescent="0.2">
      <c r="A274" s="5">
        <v>213</v>
      </c>
      <c r="B274" s="138">
        <f>'Assets-Liab 5-6'!M17</f>
        <v>8972196</v>
      </c>
      <c r="D274" s="2" t="str">
        <f t="shared" si="3"/>
        <v>Error?</v>
      </c>
    </row>
    <row r="275" spans="1:4" x14ac:dyDescent="0.2">
      <c r="A275" s="5">
        <v>214</v>
      </c>
      <c r="B275" s="138">
        <f>'Assets-Liab 5-6'!M18</f>
        <v>1690076</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10695342</v>
      </c>
      <c r="C279" s="2" t="s">
        <v>594</v>
      </c>
      <c r="D279" s="2" t="str">
        <f t="shared" si="3"/>
        <v>Error?</v>
      </c>
    </row>
    <row r="280" spans="1:4" x14ac:dyDescent="0.2">
      <c r="A280" s="5">
        <v>219</v>
      </c>
      <c r="B280" s="138">
        <f>'Assets-Liab 5-6'!M40</f>
        <v>10695342</v>
      </c>
      <c r="D280" s="2" t="str">
        <f t="shared" si="3"/>
        <v>Error?</v>
      </c>
    </row>
    <row r="281" spans="1:4" x14ac:dyDescent="0.2">
      <c r="A281" s="5">
        <v>220</v>
      </c>
      <c r="B281" s="138">
        <f>'Assets-Liab 5-6'!M41</f>
        <v>10695342</v>
      </c>
      <c r="C281" s="2" t="s">
        <v>594</v>
      </c>
      <c r="D281" s="2" t="str">
        <f t="shared" si="3"/>
        <v>Error?</v>
      </c>
    </row>
    <row r="282" spans="1:4" x14ac:dyDescent="0.2">
      <c r="A282" s="5">
        <v>221</v>
      </c>
      <c r="B282" s="138">
        <f>'Assets-Liab 5-6'!N21</f>
        <v>96619</v>
      </c>
      <c r="D282" s="2" t="str">
        <f t="shared" si="3"/>
        <v>Error?</v>
      </c>
    </row>
    <row r="283" spans="1:4" x14ac:dyDescent="0.2">
      <c r="A283" s="5">
        <v>222</v>
      </c>
      <c r="B283" s="138">
        <f>'Assets-Liab 5-6'!N22</f>
        <v>1094181</v>
      </c>
      <c r="D283" s="2" t="str">
        <f t="shared" si="3"/>
        <v>Error?</v>
      </c>
    </row>
    <row r="284" spans="1:4" x14ac:dyDescent="0.2">
      <c r="A284" s="5">
        <v>223</v>
      </c>
      <c r="B284" s="138">
        <f>'Assets-Liab 5-6'!N23</f>
        <v>1190800</v>
      </c>
      <c r="C284" s="2" t="s">
        <v>594</v>
      </c>
      <c r="D284" s="2" t="str">
        <f t="shared" si="3"/>
        <v>Error?</v>
      </c>
    </row>
    <row r="285" spans="1:4" x14ac:dyDescent="0.2">
      <c r="A285" s="5">
        <v>224</v>
      </c>
      <c r="B285" s="138">
        <f>'Assets-Liab 5-6'!N36</f>
        <v>1190800</v>
      </c>
      <c r="D285" s="2" t="str">
        <f t="shared" si="3"/>
        <v>Error?</v>
      </c>
    </row>
    <row r="286" spans="1:4" x14ac:dyDescent="0.2">
      <c r="A286" s="10">
        <v>225</v>
      </c>
      <c r="D286" s="2" t="str">
        <f t="shared" si="3"/>
        <v>OK</v>
      </c>
    </row>
    <row r="287" spans="1:4" x14ac:dyDescent="0.2">
      <c r="A287" s="5">
        <v>226</v>
      </c>
      <c r="B287" s="138">
        <f>'Assets-Liab 5-6'!N37</f>
        <v>1190800</v>
      </c>
      <c r="C287" s="2" t="s">
        <v>594</v>
      </c>
      <c r="D287" s="2" t="str">
        <f t="shared" si="3"/>
        <v>Error?</v>
      </c>
    </row>
    <row r="288" spans="1:4" x14ac:dyDescent="0.2">
      <c r="A288" s="5">
        <v>227</v>
      </c>
      <c r="B288" s="138">
        <f>'Assets-Liab 5-6'!N41</f>
        <v>1190800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12978</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677692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34793</v>
      </c>
      <c r="D717" s="2" t="str">
        <f t="shared" si="10"/>
        <v>Error?</v>
      </c>
    </row>
    <row r="718" spans="1:4" x14ac:dyDescent="0.2">
      <c r="A718" s="5">
        <v>657</v>
      </c>
      <c r="B718" s="138">
        <f>'Expenditures 15-22'!C14</f>
        <v>74926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1070635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41842</v>
      </c>
      <c r="D722" s="2" t="str">
        <f t="shared" si="10"/>
        <v>Error?</v>
      </c>
    </row>
    <row r="723" spans="1:4" x14ac:dyDescent="0.2">
      <c r="A723" s="5">
        <v>662</v>
      </c>
      <c r="B723" s="138">
        <f>'Expenditures 15-22'!C38</f>
        <v>718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702</v>
      </c>
      <c r="D726" s="2" t="str">
        <f t="shared" si="10"/>
        <v>Error?</v>
      </c>
    </row>
    <row r="727" spans="1:4" x14ac:dyDescent="0.2">
      <c r="A727" s="5">
        <v>666</v>
      </c>
      <c r="B727" s="138">
        <f>'Expenditures 15-22'!C42</f>
        <v>43262</v>
      </c>
      <c r="C727" s="2" t="s">
        <v>594</v>
      </c>
      <c r="D727" s="2" t="str">
        <f t="shared" si="10"/>
        <v>Error?</v>
      </c>
    </row>
    <row r="728" spans="1:4" x14ac:dyDescent="0.2">
      <c r="A728" s="5">
        <v>667</v>
      </c>
      <c r="B728" s="138">
        <f>'Expenditures 15-22'!C44</f>
        <v>150</v>
      </c>
      <c r="D728" s="2" t="str">
        <f t="shared" si="10"/>
        <v>Error?</v>
      </c>
    </row>
    <row r="729" spans="1:4" x14ac:dyDescent="0.2">
      <c r="A729" s="5">
        <v>668</v>
      </c>
      <c r="B729" s="138">
        <f>'Expenditures 15-22'!C45</f>
        <v>45168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45318</v>
      </c>
      <c r="C731" s="2" t="s">
        <v>594</v>
      </c>
      <c r="D731" s="2" t="str">
        <f t="shared" si="10"/>
        <v>Error?</v>
      </c>
    </row>
    <row r="732" spans="1:4" x14ac:dyDescent="0.2">
      <c r="A732" s="5">
        <v>671</v>
      </c>
      <c r="B732" s="138">
        <f>'Expenditures 15-22'!C49</f>
        <v>1228</v>
      </c>
      <c r="D732" s="2" t="str">
        <f t="shared" si="10"/>
        <v>Error?</v>
      </c>
    </row>
    <row r="733" spans="1:4" x14ac:dyDescent="0.2">
      <c r="A733" s="5">
        <v>672</v>
      </c>
      <c r="B733" s="138">
        <f>'Expenditures 15-22'!C50</f>
        <v>67453</v>
      </c>
      <c r="D733" s="2" t="str">
        <f t="shared" si="10"/>
        <v>Error?</v>
      </c>
    </row>
    <row r="734" spans="1:4" x14ac:dyDescent="0.2">
      <c r="A734" s="5">
        <v>673</v>
      </c>
      <c r="B734" s="138">
        <f>'Expenditures 15-22'!C53</f>
        <v>139201</v>
      </c>
      <c r="C734" s="2" t="s">
        <v>594</v>
      </c>
      <c r="D734" s="2" t="str">
        <f t="shared" si="10"/>
        <v>Error?</v>
      </c>
    </row>
    <row r="735" spans="1:4" x14ac:dyDescent="0.2">
      <c r="A735" s="5">
        <v>674</v>
      </c>
      <c r="B735" s="138">
        <f>'Expenditures 15-22'!C55</f>
        <v>131976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131976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43364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43364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403121</v>
      </c>
      <c r="C755" s="2" t="s">
        <v>594</v>
      </c>
      <c r="D755" s="2" t="str">
        <f t="shared" si="10"/>
        <v>Error?</v>
      </c>
    </row>
    <row r="756" spans="1:4" x14ac:dyDescent="0.2">
      <c r="A756" s="5">
        <v>695</v>
      </c>
      <c r="B756" s="138">
        <f>'Expenditures 15-22'!C75</f>
        <v>10675</v>
      </c>
      <c r="D756" s="2" t="str">
        <f t="shared" si="10"/>
        <v>Error?</v>
      </c>
    </row>
    <row r="757" spans="1:4" x14ac:dyDescent="0.2">
      <c r="A757" s="5">
        <v>696</v>
      </c>
      <c r="B757" s="138">
        <f>'Expenditures 15-22'!C114</f>
        <v>1484431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16827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407</v>
      </c>
      <c r="D775" s="2" t="str">
        <f t="shared" si="11"/>
        <v>Error?</v>
      </c>
    </row>
    <row r="776" spans="1:4" x14ac:dyDescent="0.2">
      <c r="A776" s="5">
        <v>715</v>
      </c>
      <c r="B776" s="138">
        <f>'Expenditures 15-22'!D14</f>
        <v>926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26901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1965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v>
      </c>
      <c r="D784" s="2" t="str">
        <f t="shared" si="11"/>
        <v>Error?</v>
      </c>
    </row>
    <row r="785" spans="1:4" x14ac:dyDescent="0.2">
      <c r="A785" s="5">
        <v>724</v>
      </c>
      <c r="B785" s="138">
        <f>'Expenditures 15-22'!D42</f>
        <v>1968</v>
      </c>
      <c r="C785" s="2" t="s">
        <v>594</v>
      </c>
      <c r="D785" s="2" t="str">
        <f t="shared" si="11"/>
        <v>Error?</v>
      </c>
    </row>
    <row r="786" spans="1:4" x14ac:dyDescent="0.2">
      <c r="A786" s="5">
        <v>725</v>
      </c>
      <c r="B786" s="138">
        <f>'Expenditures 15-22'!D44</f>
        <v>45</v>
      </c>
      <c r="D786" s="2" t="str">
        <f t="shared" si="11"/>
        <v>Error?</v>
      </c>
    </row>
    <row r="787" spans="1:4" x14ac:dyDescent="0.2">
      <c r="A787" s="5">
        <v>726</v>
      </c>
      <c r="B787" s="138">
        <f>'Expenditures 15-22'!D45</f>
        <v>2090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2135</v>
      </c>
      <c r="C789" s="2" t="s">
        <v>594</v>
      </c>
      <c r="D789" s="2" t="str">
        <f t="shared" si="11"/>
        <v>Error?</v>
      </c>
    </row>
    <row r="790" spans="1:4" x14ac:dyDescent="0.2">
      <c r="A790" s="5">
        <v>729</v>
      </c>
      <c r="B790" s="138">
        <f>'Expenditures 15-22'!D49</f>
        <v>6</v>
      </c>
      <c r="D790" s="2" t="str">
        <f t="shared" si="11"/>
        <v>Error?</v>
      </c>
    </row>
    <row r="791" spans="1:4" x14ac:dyDescent="0.2">
      <c r="A791" s="5">
        <v>730</v>
      </c>
      <c r="B791" s="138">
        <f>'Expenditures 15-22'!D50</f>
        <v>1775</v>
      </c>
      <c r="D791" s="2" t="str">
        <f t="shared" si="11"/>
        <v>Error?</v>
      </c>
    </row>
    <row r="792" spans="1:4" x14ac:dyDescent="0.2">
      <c r="A792" s="5">
        <v>731</v>
      </c>
      <c r="B792" s="138">
        <f>'Expenditures 15-22'!D53</f>
        <v>3712</v>
      </c>
      <c r="C792" s="2" t="s">
        <v>594</v>
      </c>
      <c r="D792" s="2" t="str">
        <f t="shared" si="11"/>
        <v>Error?</v>
      </c>
    </row>
    <row r="793" spans="1:4" x14ac:dyDescent="0.2">
      <c r="A793" s="5">
        <v>732</v>
      </c>
      <c r="B793" s="138">
        <f>'Expenditures 15-22'!D55</f>
        <v>4679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4679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12779</v>
      </c>
      <c r="C813" s="2" t="s">
        <v>594</v>
      </c>
      <c r="D813" s="2" t="str">
        <f t="shared" si="11"/>
        <v>Error?</v>
      </c>
    </row>
    <row r="814" spans="1:4" x14ac:dyDescent="0.2">
      <c r="A814" s="5">
        <v>753</v>
      </c>
      <c r="B814" s="138">
        <f>'Expenditures 15-22'!D75</f>
        <v>127</v>
      </c>
      <c r="D814" s="2" t="str">
        <f t="shared" si="11"/>
        <v>Error?</v>
      </c>
    </row>
    <row r="815" spans="1:4" x14ac:dyDescent="0.2">
      <c r="A815" s="5">
        <v>754</v>
      </c>
      <c r="B815" s="138">
        <f>'Expenditures 15-22'!D114</f>
        <v>39807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52756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1247</v>
      </c>
      <c r="D833" s="2" t="str">
        <f t="shared" si="12"/>
        <v>Error?</v>
      </c>
    </row>
    <row r="834" spans="1:4" x14ac:dyDescent="0.2">
      <c r="A834" s="5">
        <v>773</v>
      </c>
      <c r="B834" s="138">
        <f>'Expenditures 15-22'!E14</f>
        <v>6961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71232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140</v>
      </c>
      <c r="D838" s="2" t="str">
        <f t="shared" si="12"/>
        <v>Error?</v>
      </c>
    </row>
    <row r="839" spans="1:4" x14ac:dyDescent="0.2">
      <c r="A839" s="5">
        <v>778</v>
      </c>
      <c r="B839" s="138">
        <f>'Expenditures 15-22'!E38</f>
        <v>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215</v>
      </c>
      <c r="C843" s="2" t="s">
        <v>594</v>
      </c>
      <c r="D843" s="2" t="str">
        <f t="shared" si="12"/>
        <v>Error?</v>
      </c>
    </row>
    <row r="844" spans="1:4" x14ac:dyDescent="0.2">
      <c r="A844" s="5">
        <v>783</v>
      </c>
      <c r="B844" s="138">
        <f>'Expenditures 15-22'!E44</f>
        <v>5385</v>
      </c>
      <c r="D844" s="2" t="str">
        <f t="shared" si="12"/>
        <v>Error?</v>
      </c>
    </row>
    <row r="845" spans="1:4" x14ac:dyDescent="0.2">
      <c r="A845" s="5">
        <v>784</v>
      </c>
      <c r="B845" s="138">
        <f>'Expenditures 15-22'!E45</f>
        <v>835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6220</v>
      </c>
      <c r="C847" s="2" t="s">
        <v>594</v>
      </c>
      <c r="D847" s="2" t="str">
        <f t="shared" si="12"/>
        <v>Error?</v>
      </c>
    </row>
    <row r="848" spans="1:4" x14ac:dyDescent="0.2">
      <c r="A848" s="5">
        <v>787</v>
      </c>
      <c r="B848" s="138">
        <f>'Expenditures 15-22'!E49</f>
        <v>11088</v>
      </c>
      <c r="D848" s="2" t="str">
        <f t="shared" si="12"/>
        <v>Error?</v>
      </c>
    </row>
    <row r="849" spans="1:4" x14ac:dyDescent="0.2">
      <c r="A849" s="5">
        <v>788</v>
      </c>
      <c r="B849" s="138">
        <f>'Expenditures 15-22'!E50</f>
        <v>841</v>
      </c>
      <c r="D849" s="2" t="str">
        <f t="shared" si="12"/>
        <v>Error?</v>
      </c>
    </row>
    <row r="850" spans="1:4" x14ac:dyDescent="0.2">
      <c r="A850" s="5">
        <v>789</v>
      </c>
      <c r="B850" s="138">
        <f>'Expenditures 15-22'!E53</f>
        <v>11929</v>
      </c>
      <c r="C850" s="2" t="s">
        <v>594</v>
      </c>
      <c r="D850" s="2" t="str">
        <f t="shared" si="12"/>
        <v>Error?</v>
      </c>
    </row>
    <row r="851" spans="1:4" x14ac:dyDescent="0.2">
      <c r="A851" s="5">
        <v>790</v>
      </c>
      <c r="B851" s="138">
        <f>'Expenditures 15-22'!E55</f>
        <v>556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148798</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149307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20507</v>
      </c>
      <c r="D870" s="2" t="str">
        <f t="shared" si="12"/>
        <v>Error?</v>
      </c>
    </row>
    <row r="871" spans="1:4" x14ac:dyDescent="0.2">
      <c r="A871" s="5">
        <v>810</v>
      </c>
      <c r="B871" s="138">
        <f>'Expenditures 15-22'!E74</f>
        <v>188734</v>
      </c>
      <c r="C871" s="2" t="s">
        <v>594</v>
      </c>
      <c r="D871" s="2" t="str">
        <f t="shared" si="12"/>
        <v>Error?</v>
      </c>
    </row>
    <row r="872" spans="1:4" x14ac:dyDescent="0.2">
      <c r="A872" s="5">
        <v>811</v>
      </c>
      <c r="B872" s="138">
        <f>'Expenditures 15-22'!E75</f>
        <v>1060</v>
      </c>
      <c r="D872" s="2" t="str">
        <f t="shared" si="12"/>
        <v>Error?</v>
      </c>
    </row>
    <row r="873" spans="1:4" x14ac:dyDescent="0.2">
      <c r="A873" s="5">
        <v>812</v>
      </c>
      <c r="B873" s="138">
        <f>'Expenditures 15-22'!E114</f>
        <v>264352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69410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3142</v>
      </c>
      <c r="D891" s="2" t="str">
        <f t="shared" si="12"/>
        <v>Error?</v>
      </c>
    </row>
    <row r="892" spans="1:4" x14ac:dyDescent="0.2">
      <c r="A892" s="5">
        <v>831</v>
      </c>
      <c r="B892" s="138">
        <f>'Expenditures 15-22'!F14</f>
        <v>3700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95493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1188</v>
      </c>
      <c r="D896" s="2" t="str">
        <f t="shared" si="13"/>
        <v>Error?</v>
      </c>
    </row>
    <row r="897" spans="1:4" x14ac:dyDescent="0.2">
      <c r="A897" s="5">
        <v>836</v>
      </c>
      <c r="B897" s="138">
        <f>'Expenditures 15-22'!F38</f>
        <v>1122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2310</v>
      </c>
      <c r="C901" s="2" t="s">
        <v>594</v>
      </c>
      <c r="D901" s="2" t="str">
        <f t="shared" si="13"/>
        <v>Error?</v>
      </c>
    </row>
    <row r="902" spans="1:4" x14ac:dyDescent="0.2">
      <c r="A902" s="5">
        <v>841</v>
      </c>
      <c r="B902" s="138">
        <f>'Expenditures 15-22'!F44</f>
        <v>3927</v>
      </c>
      <c r="D902" s="2" t="str">
        <f t="shared" si="13"/>
        <v>Error?</v>
      </c>
    </row>
    <row r="903" spans="1:4" x14ac:dyDescent="0.2">
      <c r="A903" s="5">
        <v>842</v>
      </c>
      <c r="B903" s="138">
        <f>'Expenditures 15-22'!F45</f>
        <v>2093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6020</v>
      </c>
      <c r="C905" s="2" t="s">
        <v>594</v>
      </c>
      <c r="D905" s="2" t="str">
        <f t="shared" si="13"/>
        <v>Error?</v>
      </c>
    </row>
    <row r="906" spans="1:4" x14ac:dyDescent="0.2">
      <c r="A906" s="5">
        <v>845</v>
      </c>
      <c r="B906" s="138">
        <f>'Expenditures 15-22'!F49</f>
        <v>1627</v>
      </c>
      <c r="D906" s="2" t="str">
        <f t="shared" si="13"/>
        <v>Error?</v>
      </c>
    </row>
    <row r="907" spans="1:4" x14ac:dyDescent="0.2">
      <c r="A907" s="5">
        <v>846</v>
      </c>
      <c r="B907" s="138">
        <f>'Expenditures 15-22'!F50</f>
        <v>1158</v>
      </c>
      <c r="D907" s="2" t="str">
        <f t="shared" si="13"/>
        <v>Error?</v>
      </c>
    </row>
    <row r="908" spans="1:4" x14ac:dyDescent="0.2">
      <c r="A908" s="5">
        <v>847</v>
      </c>
      <c r="B908" s="138">
        <f>'Expenditures 15-22'!F53</f>
        <v>2785</v>
      </c>
      <c r="C908" s="2" t="s">
        <v>594</v>
      </c>
      <c r="D908" s="2" t="str">
        <f t="shared" si="13"/>
        <v>Error?</v>
      </c>
    </row>
    <row r="909" spans="1:4" x14ac:dyDescent="0.2">
      <c r="A909" s="5">
        <v>848</v>
      </c>
      <c r="B909" s="138">
        <f>'Expenditures 15-22'!F55</f>
        <v>100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1470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13090</v>
      </c>
      <c r="C929" s="2" t="s">
        <v>594</v>
      </c>
      <c r="D929" s="2" t="str">
        <f t="shared" si="13"/>
        <v>Error?</v>
      </c>
    </row>
    <row r="930" spans="1:4" x14ac:dyDescent="0.2">
      <c r="A930" s="5">
        <v>869</v>
      </c>
      <c r="B930" s="138">
        <f>'Expenditures 15-22'!F75</f>
        <v>2750</v>
      </c>
      <c r="D930" s="2" t="str">
        <f t="shared" si="13"/>
        <v>Error?</v>
      </c>
    </row>
    <row r="931" spans="1:4" x14ac:dyDescent="0.2">
      <c r="A931" s="5">
        <v>870</v>
      </c>
      <c r="B931" s="138">
        <f>'Expenditures 15-22'!F114</f>
        <v>111333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664</v>
      </c>
      <c r="D965" s="2" t="str">
        <f t="shared" si="14"/>
        <v>Error?</v>
      </c>
    </row>
    <row r="966" spans="1:4" x14ac:dyDescent="0.2">
      <c r="A966" s="5">
        <v>905</v>
      </c>
      <c r="B966" s="138">
        <f>'Expenditures 15-22'!G53</f>
        <v>664</v>
      </c>
      <c r="C966" s="2" t="s">
        <v>594</v>
      </c>
      <c r="D966" s="2" t="str">
        <f t="shared" si="14"/>
        <v>Error?</v>
      </c>
    </row>
    <row r="967" spans="1:4" x14ac:dyDescent="0.2">
      <c r="A967" s="5">
        <v>906</v>
      </c>
      <c r="B967" s="138">
        <f>'Expenditures 15-22'!G55</f>
        <v>221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221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664</v>
      </c>
      <c r="D971" s="2" t="str">
        <f t="shared" si="14"/>
        <v>Error?</v>
      </c>
    </row>
    <row r="972" spans="1:4" x14ac:dyDescent="0.2">
      <c r="A972" s="5">
        <v>911</v>
      </c>
      <c r="B972" s="138">
        <f>'Expenditures 15-22'!G61</f>
        <v>0</v>
      </c>
      <c r="D972" s="2" t="str">
        <f t="shared" si="14"/>
        <v>Error?</v>
      </c>
    </row>
    <row r="973" spans="1:4" x14ac:dyDescent="0.2">
      <c r="A973" s="5">
        <v>912</v>
      </c>
      <c r="B973" s="138">
        <f>'Expenditures 15-22'!G62</f>
        <v>7488</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8152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13227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22859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29498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14850</v>
      </c>
      <c r="D1018" s="2" t="str">
        <f t="shared" si="14"/>
        <v>Error?</v>
      </c>
    </row>
    <row r="1019" spans="1:4" x14ac:dyDescent="0.2">
      <c r="A1019" s="5">
        <v>958</v>
      </c>
      <c r="B1019" s="138">
        <f>'Expenditures 15-22'!H45</f>
        <v>753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15603</v>
      </c>
      <c r="C1021" s="2" t="s">
        <v>594</v>
      </c>
      <c r="D1021" s="2" t="str">
        <f t="shared" si="14"/>
        <v>Error?</v>
      </c>
    </row>
    <row r="1022" spans="1:4" x14ac:dyDescent="0.2">
      <c r="A1022" s="5">
        <v>961</v>
      </c>
      <c r="B1022" s="138">
        <f>'Expenditures 15-22'!H49</f>
        <v>8300</v>
      </c>
      <c r="D1022" s="2" t="str">
        <f t="shared" si="14"/>
        <v>Error?</v>
      </c>
    </row>
    <row r="1023" spans="1:4" x14ac:dyDescent="0.2">
      <c r="A1023" s="5">
        <v>962</v>
      </c>
      <c r="B1023" s="138">
        <f>'Expenditures 15-22'!H50</f>
        <v>856</v>
      </c>
      <c r="D1023" s="2" t="str">
        <f t="shared" ref="D1023:D1086" si="15">IF(ISBLANK(B1023),"OK",IF(A1023-B1023=0,"OK","Error?"))</f>
        <v>Error?</v>
      </c>
    </row>
    <row r="1024" spans="1:4" x14ac:dyDescent="0.2">
      <c r="A1024" s="5">
        <v>963</v>
      </c>
      <c r="B1024" s="138">
        <f>'Expenditures 15-22'!H53</f>
        <v>9156</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6330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6330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31474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72475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133447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843402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39589</v>
      </c>
      <c r="C1105" s="2" t="s">
        <v>594</v>
      </c>
      <c r="D1105" s="2" t="str">
        <f t="shared" si="16"/>
        <v>Error?</v>
      </c>
    </row>
    <row r="1106" spans="1:4" x14ac:dyDescent="0.2">
      <c r="A1106" s="5">
        <v>1045</v>
      </c>
      <c r="B1106" s="138">
        <f>'Expenditures 15-22'!K14</f>
        <v>93152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1297949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45135</v>
      </c>
      <c r="C1110" s="2" t="s">
        <v>594</v>
      </c>
      <c r="D1110" s="2" t="str">
        <f t="shared" si="16"/>
        <v>Error?</v>
      </c>
    </row>
    <row r="1111" spans="1:4" x14ac:dyDescent="0.2">
      <c r="A1111" s="5">
        <v>1050</v>
      </c>
      <c r="B1111" s="138">
        <f>'Expenditures 15-22'!K38</f>
        <v>1915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705</v>
      </c>
      <c r="C1114" s="2" t="s">
        <v>594</v>
      </c>
      <c r="D1114" s="2" t="str">
        <f t="shared" si="16"/>
        <v>Error?</v>
      </c>
    </row>
    <row r="1115" spans="1:4" x14ac:dyDescent="0.2">
      <c r="A1115" s="5">
        <v>1054</v>
      </c>
      <c r="B1115" s="138">
        <f>'Expenditures 15-22'!K42</f>
        <v>47755</v>
      </c>
      <c r="C1115" s="2" t="s">
        <v>594</v>
      </c>
      <c r="D1115" s="2" t="str">
        <f t="shared" si="16"/>
        <v>Error?</v>
      </c>
    </row>
    <row r="1116" spans="1:4" x14ac:dyDescent="0.2">
      <c r="A1116" s="5">
        <v>1055</v>
      </c>
      <c r="B1116" s="138">
        <f>'Expenditures 15-22'!K44</f>
        <v>24357</v>
      </c>
      <c r="C1116" s="2" t="s">
        <v>594</v>
      </c>
      <c r="D1116" s="2" t="str">
        <f t="shared" si="16"/>
        <v>Error?</v>
      </c>
    </row>
    <row r="1117" spans="1:4" x14ac:dyDescent="0.2">
      <c r="A1117" s="5">
        <v>1056</v>
      </c>
      <c r="B1117" s="138">
        <f>'Expenditures 15-22'!K45</f>
        <v>50939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75296</v>
      </c>
      <c r="C1119" s="2" t="s">
        <v>594</v>
      </c>
      <c r="D1119" s="2" t="str">
        <f t="shared" si="16"/>
        <v>Error?</v>
      </c>
    </row>
    <row r="1120" spans="1:4" x14ac:dyDescent="0.2">
      <c r="A1120" s="5">
        <v>1059</v>
      </c>
      <c r="B1120" s="138">
        <f>'Expenditures 15-22'!K49</f>
        <v>22249</v>
      </c>
      <c r="C1120" s="2" t="s">
        <v>594</v>
      </c>
      <c r="D1120" s="2" t="str">
        <f t="shared" si="16"/>
        <v>Error?</v>
      </c>
    </row>
    <row r="1121" spans="1:4" x14ac:dyDescent="0.2">
      <c r="A1121" s="5">
        <v>1060</v>
      </c>
      <c r="B1121" s="138">
        <f>'Expenditures 15-22'!K50</f>
        <v>72747</v>
      </c>
      <c r="C1121" s="2" t="s">
        <v>594</v>
      </c>
      <c r="D1121" s="2" t="str">
        <f t="shared" si="16"/>
        <v>Error?</v>
      </c>
    </row>
    <row r="1122" spans="1:4" x14ac:dyDescent="0.2">
      <c r="A1122" s="5">
        <v>1061</v>
      </c>
      <c r="B1122" s="138">
        <f>'Expenditures 15-22'!K53</f>
        <v>167447</v>
      </c>
      <c r="C1122" s="2" t="s">
        <v>594</v>
      </c>
      <c r="D1122" s="2" t="str">
        <f t="shared" si="16"/>
        <v>Error?</v>
      </c>
    </row>
    <row r="1123" spans="1:4" x14ac:dyDescent="0.2">
      <c r="A1123" s="5">
        <v>1062</v>
      </c>
      <c r="B1123" s="138">
        <f>'Expenditures 15-22'!K55</f>
        <v>137917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137917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51557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157756</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209313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20507</v>
      </c>
      <c r="C1142" s="2" t="s">
        <v>594</v>
      </c>
      <c r="D1142" s="2" t="str">
        <f t="shared" si="16"/>
        <v>Error?</v>
      </c>
    </row>
    <row r="1143" spans="1:4" x14ac:dyDescent="0.2">
      <c r="A1143" s="5">
        <v>1082</v>
      </c>
      <c r="B1143" s="138">
        <f>'Expenditures 15-22'!K74</f>
        <v>658235</v>
      </c>
      <c r="C1143" s="2" t="s">
        <v>594</v>
      </c>
      <c r="D1143" s="2" t="str">
        <f t="shared" si="16"/>
        <v>Error?</v>
      </c>
    </row>
    <row r="1144" spans="1:4" x14ac:dyDescent="0.2">
      <c r="A1144" s="5">
        <v>1083</v>
      </c>
      <c r="B1144" s="138">
        <f>'Expenditures 15-22'!K75</f>
        <v>14612</v>
      </c>
      <c r="C1144" s="2" t="s">
        <v>594</v>
      </c>
      <c r="D1144" s="2" t="str">
        <f t="shared" si="16"/>
        <v>Error?</v>
      </c>
    </row>
    <row r="1145" spans="1:4" x14ac:dyDescent="0.2">
      <c r="A1145" s="5">
        <v>1084</v>
      </c>
      <c r="B1145" s="138">
        <f>'Expenditures 15-22'!K102</f>
        <v>75801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2046597</v>
      </c>
      <c r="C1152" s="2" t="s">
        <v>594</v>
      </c>
      <c r="D1152" s="2" t="str">
        <f t="shared" si="17"/>
        <v>Error?</v>
      </c>
    </row>
    <row r="1153" spans="1:4" x14ac:dyDescent="0.2">
      <c r="A1153" s="5">
        <v>1092</v>
      </c>
      <c r="B1153" s="138">
        <f>'Expenditures 15-22'!K115</f>
        <v>234696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66487</v>
      </c>
      <c r="D1221" s="2" t="str">
        <f t="shared" si="18"/>
        <v>Error?</v>
      </c>
    </row>
    <row r="1222" spans="1:4" x14ac:dyDescent="0.2">
      <c r="A1222" s="10">
        <v>1161</v>
      </c>
      <c r="D1222" s="2" t="str">
        <f t="shared" si="18"/>
        <v>OK</v>
      </c>
    </row>
    <row r="1223" spans="1:4" x14ac:dyDescent="0.2">
      <c r="A1223" s="5">
        <v>1162</v>
      </c>
      <c r="B1223" s="138">
        <f>'Expenditures 15-22'!C127</f>
        <v>66487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66487</v>
      </c>
      <c r="C1225" s="2" t="s">
        <v>594</v>
      </c>
      <c r="D1225" s="2" t="str">
        <f t="shared" si="18"/>
        <v>Error?</v>
      </c>
    </row>
    <row r="1226" spans="1:4" x14ac:dyDescent="0.2">
      <c r="A1226" s="5">
        <v>1165</v>
      </c>
      <c r="B1226" s="138">
        <f>'Expenditures 15-22'!C151</f>
        <v>66487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39952</v>
      </c>
      <c r="D1237" s="2" t="str">
        <f t="shared" si="18"/>
        <v>Error?</v>
      </c>
    </row>
    <row r="1238" spans="1:4" x14ac:dyDescent="0.2">
      <c r="A1238" s="10">
        <v>1177</v>
      </c>
      <c r="D1238" s="2" t="str">
        <f t="shared" si="18"/>
        <v>OK</v>
      </c>
    </row>
    <row r="1239" spans="1:4" x14ac:dyDescent="0.2">
      <c r="A1239" s="5">
        <v>1178</v>
      </c>
      <c r="B1239" s="138">
        <f>'Expenditures 15-22'!E127</f>
        <v>39952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39952</v>
      </c>
      <c r="C1241" s="2" t="s">
        <v>594</v>
      </c>
      <c r="D1241" s="2" t="str">
        <f t="shared" si="18"/>
        <v>Error?</v>
      </c>
    </row>
    <row r="1242" spans="1:4" x14ac:dyDescent="0.2">
      <c r="A1242" s="5">
        <v>1181</v>
      </c>
      <c r="B1242" s="138">
        <f>'Expenditures 15-22'!E151</f>
        <v>39952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111146</v>
      </c>
      <c r="D1245" s="2" t="str">
        <f t="shared" si="18"/>
        <v>Error?</v>
      </c>
    </row>
    <row r="1246" spans="1:4" x14ac:dyDescent="0.2">
      <c r="A1246" s="10">
        <v>1185</v>
      </c>
      <c r="D1246" s="2" t="str">
        <f t="shared" si="18"/>
        <v>OK</v>
      </c>
    </row>
    <row r="1247" spans="1:4" x14ac:dyDescent="0.2">
      <c r="A1247" s="5">
        <v>1186</v>
      </c>
      <c r="B1247" s="138">
        <f>'Expenditures 15-22'!F127</f>
        <v>111146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111146</v>
      </c>
      <c r="C1249" s="2" t="s">
        <v>594</v>
      </c>
      <c r="D1249" s="2" t="str">
        <f t="shared" si="18"/>
        <v>Error?</v>
      </c>
    </row>
    <row r="1250" spans="1:4" x14ac:dyDescent="0.2">
      <c r="A1250" s="5">
        <v>1189</v>
      </c>
      <c r="B1250" s="138">
        <f>'Expenditures 15-22'!F151</f>
        <v>111146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8050</v>
      </c>
      <c r="C1258" s="2" t="s">
        <v>594</v>
      </c>
      <c r="D1258" s="2" t="str">
        <f t="shared" si="18"/>
        <v>Error?</v>
      </c>
    </row>
    <row r="1259" spans="1:4" x14ac:dyDescent="0.2">
      <c r="A1259" s="5">
        <v>1198</v>
      </c>
      <c r="B1259" s="138">
        <f>'Expenditures 15-22'!G151</f>
        <v>8050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225635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225635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225635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225635</v>
      </c>
      <c r="C1288" s="2" t="s">
        <v>594</v>
      </c>
      <c r="D1288" s="2" t="str">
        <f t="shared" si="19"/>
        <v>Error?</v>
      </c>
    </row>
    <row r="1289" spans="1:4" x14ac:dyDescent="0.2">
      <c r="A1289" s="5">
        <v>1228</v>
      </c>
      <c r="B1289" s="138">
        <f>'Expenditures 15-22'!K152</f>
        <v>-45533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34060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254500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289260</v>
      </c>
      <c r="C1317" s="2" t="s">
        <v>594</v>
      </c>
      <c r="D1317" s="2" t="str">
        <f t="shared" si="19"/>
        <v>Error?</v>
      </c>
    </row>
    <row r="1318" spans="1:4" x14ac:dyDescent="0.2">
      <c r="A1318" s="5">
        <v>1257</v>
      </c>
      <c r="B1318" s="138">
        <f>'Expenditures 15-22'!H174</f>
        <v>289260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34060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254500</v>
      </c>
      <c r="C1329" s="2" t="s">
        <v>594</v>
      </c>
      <c r="D1329" s="2" t="str">
        <f t="shared" si="19"/>
        <v>Error?</v>
      </c>
    </row>
    <row r="1330" spans="1:4" x14ac:dyDescent="0.2">
      <c r="A1330" s="5">
        <v>1269</v>
      </c>
      <c r="B1330" s="138">
        <f>'Expenditures 15-22'!K171</f>
        <v>700</v>
      </c>
      <c r="C1330" s="2" t="s">
        <v>594</v>
      </c>
      <c r="D1330" s="2" t="str">
        <f t="shared" si="19"/>
        <v>Error?</v>
      </c>
    </row>
    <row r="1331" spans="1:4" x14ac:dyDescent="0.2">
      <c r="A1331" s="5">
        <v>1270</v>
      </c>
      <c r="B1331" s="138">
        <f>'Expenditures 15-22'!K172</f>
        <v>289260</v>
      </c>
      <c r="C1331" s="2" t="s">
        <v>594</v>
      </c>
      <c r="D1331" s="2" t="str">
        <f t="shared" si="19"/>
        <v>Error?</v>
      </c>
    </row>
    <row r="1332" spans="1:4" x14ac:dyDescent="0.2">
      <c r="A1332" s="5">
        <v>1271</v>
      </c>
      <c r="B1332" s="138">
        <f>'Expenditures 15-22'!K174</f>
        <v>289260</v>
      </c>
      <c r="C1332" s="2" t="s">
        <v>594</v>
      </c>
      <c r="D1332" s="2" t="str">
        <f t="shared" si="19"/>
        <v>Error?</v>
      </c>
    </row>
    <row r="1333" spans="1:4" x14ac:dyDescent="0.2">
      <c r="A1333" s="5">
        <v>1272</v>
      </c>
      <c r="B1333" s="138">
        <f>'Expenditures 15-22'!K175</f>
        <v>1829</v>
      </c>
      <c r="C1333" s="2" t="s">
        <v>594</v>
      </c>
      <c r="D1333" s="2" t="str">
        <f t="shared" si="19"/>
        <v>Error?</v>
      </c>
    </row>
    <row r="1334" spans="1:4" x14ac:dyDescent="0.2">
      <c r="A1334" s="10">
        <v>1273</v>
      </c>
      <c r="D1334" s="2" t="str">
        <f t="shared" si="19"/>
        <v>OK</v>
      </c>
    </row>
    <row r="1335" spans="1:4" x14ac:dyDescent="0.2">
      <c r="A1335" s="5">
        <v>1274</v>
      </c>
      <c r="B1335" s="138">
        <f>'Expenditures 15-22'!C182</f>
        <v>49809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49809</v>
      </c>
      <c r="C1339" s="2" t="s">
        <v>594</v>
      </c>
      <c r="D1339" s="2" t="str">
        <f t="shared" si="19"/>
        <v>Error?</v>
      </c>
    </row>
    <row r="1340" spans="1:4" x14ac:dyDescent="0.2">
      <c r="A1340" s="5">
        <v>1279</v>
      </c>
      <c r="B1340" s="138">
        <f>'Expenditures 15-22'!C210</f>
        <v>49809</v>
      </c>
      <c r="C1340" s="2" t="s">
        <v>594</v>
      </c>
      <c r="D1340" s="2" t="str">
        <f t="shared" si="19"/>
        <v>Error?</v>
      </c>
    </row>
    <row r="1341" spans="1:4" x14ac:dyDescent="0.2">
      <c r="A1341" s="5">
        <v>1280</v>
      </c>
      <c r="B1341" s="138">
        <f>'Expenditures 15-22'!D182</f>
        <v>1757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1757</v>
      </c>
      <c r="C1345" s="2" t="s">
        <v>594</v>
      </c>
      <c r="D1345" s="2" t="str">
        <f t="shared" si="20"/>
        <v>Error?</v>
      </c>
    </row>
    <row r="1346" spans="1:4" x14ac:dyDescent="0.2">
      <c r="A1346" s="5">
        <v>1285</v>
      </c>
      <c r="B1346" s="138">
        <f>'Expenditures 15-22'!D210</f>
        <v>1757</v>
      </c>
      <c r="C1346" s="2" t="s">
        <v>594</v>
      </c>
      <c r="D1346" s="2" t="str">
        <f t="shared" si="20"/>
        <v>Error?</v>
      </c>
    </row>
    <row r="1347" spans="1:4" x14ac:dyDescent="0.2">
      <c r="A1347" s="5">
        <v>1286</v>
      </c>
      <c r="B1347" s="138">
        <f>'Expenditures 15-22'!E182</f>
        <v>14548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14548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14548</v>
      </c>
      <c r="C1353" s="2" t="s">
        <v>594</v>
      </c>
      <c r="D1353" s="2" t="str">
        <f t="shared" si="20"/>
        <v>Error?</v>
      </c>
    </row>
    <row r="1354" spans="1:4" x14ac:dyDescent="0.2">
      <c r="A1354" s="5">
        <v>1293</v>
      </c>
      <c r="B1354" s="138">
        <f>'Expenditures 15-22'!F182</f>
        <v>21497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21497</v>
      </c>
      <c r="C1358" s="2" t="s">
        <v>594</v>
      </c>
      <c r="D1358" s="2" t="str">
        <f t="shared" si="20"/>
        <v>Error?</v>
      </c>
    </row>
    <row r="1359" spans="1:4" x14ac:dyDescent="0.2">
      <c r="A1359" s="5">
        <v>1298</v>
      </c>
      <c r="B1359" s="138">
        <f>'Expenditures 15-22'!F210</f>
        <v>21497</v>
      </c>
      <c r="C1359" s="2" t="s">
        <v>594</v>
      </c>
      <c r="D1359" s="2" t="str">
        <f t="shared" si="20"/>
        <v>Error?</v>
      </c>
    </row>
    <row r="1360" spans="1:4" x14ac:dyDescent="0.2">
      <c r="A1360" s="5">
        <v>1299</v>
      </c>
      <c r="B1360" s="138">
        <f>'Expenditures 15-22'!G182</f>
        <v>3629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3629</v>
      </c>
      <c r="C1364" s="2" t="s">
        <v>594</v>
      </c>
      <c r="D1364" s="2" t="str">
        <f t="shared" si="20"/>
        <v>Error?</v>
      </c>
    </row>
    <row r="1365" spans="1:4" x14ac:dyDescent="0.2">
      <c r="A1365" s="5">
        <v>1304</v>
      </c>
      <c r="B1365" s="138">
        <f>'Expenditures 15-22'!G210</f>
        <v>3629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91240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91240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91240</v>
      </c>
      <c r="C1388" s="2" t="s">
        <v>594</v>
      </c>
      <c r="D1388" s="2" t="str">
        <f t="shared" si="20"/>
        <v>Error?</v>
      </c>
    </row>
    <row r="1389" spans="1:4" x14ac:dyDescent="0.2">
      <c r="A1389" s="5">
        <v>1328</v>
      </c>
      <c r="B1389" s="138">
        <f>'Expenditures 15-22'!K211</f>
        <v>25509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1175</v>
      </c>
      <c r="D1407" s="2" t="str">
        <f t="shared" ref="D1407:D1470" si="21">IF(ISBLANK(B1407),"OK",IF(A1407-B1407=0,"OK","Error?"))</f>
        <v>Error?</v>
      </c>
    </row>
    <row r="1408" spans="1:4" x14ac:dyDescent="0.2">
      <c r="A1408" s="5">
        <v>1347</v>
      </c>
      <c r="B1408" s="138">
        <f>'Expenditures 15-22'!D223</f>
        <v>3025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28063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607</v>
      </c>
      <c r="D1412" s="2" t="str">
        <f t="shared" si="21"/>
        <v>Error?</v>
      </c>
    </row>
    <row r="1413" spans="1:4" x14ac:dyDescent="0.2">
      <c r="A1413" s="5">
        <v>1352</v>
      </c>
      <c r="B1413" s="138">
        <f>'Expenditures 15-22'!D234</f>
        <v>2948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v>
      </c>
      <c r="D1416" s="2" t="str">
        <f t="shared" si="21"/>
        <v>Error?</v>
      </c>
    </row>
    <row r="1417" spans="1:4" x14ac:dyDescent="0.2">
      <c r="A1417" s="5">
        <v>1356</v>
      </c>
      <c r="B1417" s="138">
        <f>'Expenditures 15-22'!D238</f>
        <v>3579</v>
      </c>
      <c r="C1417" s="2" t="s">
        <v>594</v>
      </c>
      <c r="D1417" s="2" t="str">
        <f t="shared" si="21"/>
        <v>Error?</v>
      </c>
    </row>
    <row r="1418" spans="1:4" x14ac:dyDescent="0.2">
      <c r="A1418" s="5">
        <v>1357</v>
      </c>
      <c r="B1418" s="138">
        <f>'Expenditures 15-22'!D240</f>
        <v>35</v>
      </c>
      <c r="D1418" s="2" t="str">
        <f t="shared" si="21"/>
        <v>Error?</v>
      </c>
    </row>
    <row r="1419" spans="1:4" x14ac:dyDescent="0.2">
      <c r="A1419" s="5">
        <v>1358</v>
      </c>
      <c r="B1419" s="138">
        <f>'Expenditures 15-22'!D241</f>
        <v>655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690</v>
      </c>
      <c r="C1421" s="2" t="s">
        <v>594</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3026</v>
      </c>
      <c r="D1423" s="2" t="str">
        <f t="shared" si="21"/>
        <v>Error?</v>
      </c>
    </row>
    <row r="1424" spans="1:4" x14ac:dyDescent="0.2">
      <c r="A1424" s="5">
        <v>1363</v>
      </c>
      <c r="B1424" s="138">
        <f>'Expenditures 15-22'!D257</f>
        <v>6740</v>
      </c>
      <c r="C1424" s="2" t="s">
        <v>594</v>
      </c>
      <c r="D1424" s="2" t="str">
        <f t="shared" si="21"/>
        <v>Error?</v>
      </c>
    </row>
    <row r="1425" spans="1:4" x14ac:dyDescent="0.2">
      <c r="A1425" s="5">
        <v>1364</v>
      </c>
      <c r="B1425" s="138">
        <f>'Expenditures 15-22'!D259</f>
        <v>7407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7407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11813</v>
      </c>
      <c r="D1431" s="2" t="str">
        <f t="shared" si="21"/>
        <v>Error?</v>
      </c>
    </row>
    <row r="1432" spans="1:4" x14ac:dyDescent="0.2">
      <c r="A1432" s="5">
        <v>1371</v>
      </c>
      <c r="B1432" s="138">
        <f>'Expenditures 15-22'!D267</f>
        <v>9895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28139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46555</v>
      </c>
      <c r="C1446" s="2" t="s">
        <v>594</v>
      </c>
      <c r="D1446" s="2" t="str">
        <f t="shared" si="21"/>
        <v>Error?</v>
      </c>
    </row>
    <row r="1447" spans="1:4" x14ac:dyDescent="0.2">
      <c r="A1447" s="5">
        <v>1386</v>
      </c>
      <c r="B1447" s="138">
        <f>'Expenditures 15-22'!D280</f>
        <v>746</v>
      </c>
      <c r="D1447" s="2" t="str">
        <f t="shared" si="21"/>
        <v>Error?</v>
      </c>
    </row>
    <row r="1448" spans="1:4" x14ac:dyDescent="0.2">
      <c r="A1448" s="5">
        <v>1387</v>
      </c>
      <c r="B1448" s="138">
        <f>'Expenditures 15-22'!D295</f>
        <v>75364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1175</v>
      </c>
      <c r="C1471" s="2" t="s">
        <v>594</v>
      </c>
      <c r="D1471" s="2" t="str">
        <f t="shared" ref="D1471:D1534" si="22">IF(ISBLANK(B1471),"OK",IF(A1471-B1471=0,"OK","Error?"))</f>
        <v>Error?</v>
      </c>
    </row>
    <row r="1472" spans="1:4" x14ac:dyDescent="0.2">
      <c r="A1472" s="5">
        <v>1411</v>
      </c>
      <c r="B1472" s="138">
        <f>'Expenditures 15-22'!K223</f>
        <v>3025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28063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607</v>
      </c>
      <c r="C1476" s="2" t="s">
        <v>594</v>
      </c>
      <c r="D1476" s="2" t="str">
        <f t="shared" si="22"/>
        <v>Error?</v>
      </c>
    </row>
    <row r="1477" spans="1:4" x14ac:dyDescent="0.2">
      <c r="A1477" s="5">
        <v>1416</v>
      </c>
      <c r="B1477" s="138">
        <f>'Expenditures 15-22'!K234</f>
        <v>2948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24</v>
      </c>
      <c r="C1480" s="2" t="s">
        <v>594</v>
      </c>
      <c r="D1480" s="2" t="str">
        <f t="shared" si="22"/>
        <v>Error?</v>
      </c>
    </row>
    <row r="1481" spans="1:4" x14ac:dyDescent="0.2">
      <c r="A1481" s="5">
        <v>1420</v>
      </c>
      <c r="B1481" s="138">
        <f>'Expenditures 15-22'!K238</f>
        <v>3579</v>
      </c>
      <c r="C1481" s="2" t="s">
        <v>594</v>
      </c>
      <c r="D1481" s="2" t="str">
        <f t="shared" si="22"/>
        <v>Error?</v>
      </c>
    </row>
    <row r="1482" spans="1:4" x14ac:dyDescent="0.2">
      <c r="A1482" s="5">
        <v>1421</v>
      </c>
      <c r="B1482" s="138">
        <f>'Expenditures 15-22'!K240</f>
        <v>35</v>
      </c>
      <c r="C1482" s="2" t="s">
        <v>594</v>
      </c>
      <c r="D1482" s="2" t="str">
        <f t="shared" si="22"/>
        <v>Error?</v>
      </c>
    </row>
    <row r="1483" spans="1:4" x14ac:dyDescent="0.2">
      <c r="A1483" s="5">
        <v>1422</v>
      </c>
      <c r="B1483" s="138">
        <f>'Expenditures 15-22'!K241</f>
        <v>655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690</v>
      </c>
      <c r="C1485" s="2" t="s">
        <v>594</v>
      </c>
      <c r="D1485" s="2" t="str">
        <f t="shared" si="22"/>
        <v>Error?</v>
      </c>
    </row>
    <row r="1486" spans="1:4" x14ac:dyDescent="0.2">
      <c r="A1486" s="5">
        <v>1425</v>
      </c>
      <c r="B1486" s="138">
        <f>'Expenditures 15-22'!K245</f>
        <v>153</v>
      </c>
      <c r="C1486" s="2" t="s">
        <v>594</v>
      </c>
      <c r="D1486" s="2" t="str">
        <f t="shared" si="22"/>
        <v>Error?</v>
      </c>
    </row>
    <row r="1487" spans="1:4" x14ac:dyDescent="0.2">
      <c r="A1487" s="5">
        <v>1426</v>
      </c>
      <c r="B1487" s="138">
        <f>'Expenditures 15-22'!K246</f>
        <v>3026</v>
      </c>
      <c r="C1487" s="2" t="s">
        <v>594</v>
      </c>
      <c r="D1487" s="2" t="str">
        <f t="shared" si="22"/>
        <v>Error?</v>
      </c>
    </row>
    <row r="1488" spans="1:4" x14ac:dyDescent="0.2">
      <c r="A1488" s="5">
        <v>1427</v>
      </c>
      <c r="B1488" s="138">
        <f>'Expenditures 15-22'!K257</f>
        <v>6740</v>
      </c>
      <c r="C1488" s="2" t="s">
        <v>594</v>
      </c>
      <c r="D1488" s="2" t="str">
        <f t="shared" si="22"/>
        <v>Error?</v>
      </c>
    </row>
    <row r="1489" spans="1:4" x14ac:dyDescent="0.2">
      <c r="A1489" s="5">
        <v>1428</v>
      </c>
      <c r="B1489" s="138">
        <f>'Expenditures 15-22'!K259</f>
        <v>7407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7407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11813</v>
      </c>
      <c r="C1495" s="2" t="s">
        <v>594</v>
      </c>
      <c r="D1495" s="2" t="str">
        <f t="shared" si="22"/>
        <v>Error?</v>
      </c>
    </row>
    <row r="1496" spans="1:4" x14ac:dyDescent="0.2">
      <c r="A1496" s="5">
        <v>1435</v>
      </c>
      <c r="B1496" s="138">
        <f>'Expenditures 15-22'!K267</f>
        <v>9895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28139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46555</v>
      </c>
      <c r="C1510" s="2" t="s">
        <v>594</v>
      </c>
      <c r="D1510" s="2" t="str">
        <f t="shared" si="22"/>
        <v>Error?</v>
      </c>
    </row>
    <row r="1511" spans="1:4" x14ac:dyDescent="0.2">
      <c r="A1511" s="5">
        <v>1450</v>
      </c>
      <c r="B1511" s="138">
        <f>'Expenditures 15-22'!K280</f>
        <v>746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75364</v>
      </c>
      <c r="C1517" s="2" t="s">
        <v>594</v>
      </c>
      <c r="D1517" s="2" t="str">
        <f t="shared" si="22"/>
        <v>Error?</v>
      </c>
    </row>
    <row r="1518" spans="1:4" x14ac:dyDescent="0.2">
      <c r="A1518" s="5">
        <v>1457</v>
      </c>
      <c r="B1518" s="138">
        <f>'Expenditures 15-22'!K296</f>
        <v>-17627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1418437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1666111</v>
      </c>
      <c r="C1630" s="2" t="s">
        <v>594</v>
      </c>
      <c r="D1630" s="2" t="str">
        <f t="shared" si="24"/>
        <v>Error?</v>
      </c>
    </row>
    <row r="1631" spans="1:4" x14ac:dyDescent="0.2">
      <c r="A1631" s="5">
        <v>1570</v>
      </c>
      <c r="B1631" s="138">
        <f>'Acct Summary 7-8'!D79</f>
        <v>1667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-43866</v>
      </c>
      <c r="C1644" s="2" t="s">
        <v>594</v>
      </c>
      <c r="D1644" s="2" t="str">
        <f t="shared" si="24"/>
        <v>Error?</v>
      </c>
    </row>
    <row r="1645" spans="1:4" x14ac:dyDescent="0.2">
      <c r="A1645" s="5">
        <v>1584</v>
      </c>
      <c r="B1645" s="138">
        <f>'Acct Summary 7-8'!E79</f>
        <v>94790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96619</v>
      </c>
      <c r="C1658" s="2" t="s">
        <v>594</v>
      </c>
      <c r="D1658" s="2" t="str">
        <f t="shared" si="24"/>
        <v>Error?</v>
      </c>
    </row>
    <row r="1659" spans="1:4" x14ac:dyDescent="0.2">
      <c r="A1659" s="5">
        <v>1598</v>
      </c>
      <c r="B1659" s="138">
        <f>'Acct Summary 7-8'!F79</f>
        <v>215344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240853</v>
      </c>
      <c r="C1672" s="2" t="s">
        <v>594</v>
      </c>
      <c r="D1672" s="2" t="str">
        <f t="shared" si="25"/>
        <v>Error?</v>
      </c>
    </row>
    <row r="1673" spans="1:4" x14ac:dyDescent="0.2">
      <c r="A1673" s="5">
        <v>1612</v>
      </c>
      <c r="B1673" s="138">
        <f>'Acct Summary 7-8'!G79</f>
        <v>275049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257422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531960</v>
      </c>
      <c r="C1744" s="2" t="s">
        <v>594</v>
      </c>
      <c r="D1744" s="2" t="str">
        <f t="shared" si="26"/>
        <v>Error?</v>
      </c>
    </row>
    <row r="1745" spans="1:5" x14ac:dyDescent="0.2">
      <c r="A1745" s="5">
        <v>1684</v>
      </c>
      <c r="B1745" s="138">
        <f>'Tax Sched 23'!B5</f>
        <v>128115</v>
      </c>
      <c r="C1745" s="2" t="s">
        <v>594</v>
      </c>
      <c r="D1745" s="2" t="str">
        <f t="shared" si="26"/>
        <v>Error?</v>
      </c>
    </row>
    <row r="1746" spans="1:5" x14ac:dyDescent="0.2">
      <c r="A1746" s="5">
        <v>1685</v>
      </c>
      <c r="B1746" s="138">
        <f>'Tax Sched 23'!B6</f>
        <v>287392</v>
      </c>
      <c r="C1746" s="2" t="s">
        <v>594</v>
      </c>
      <c r="D1746" s="2" t="str">
        <f t="shared" si="26"/>
        <v>Error?</v>
      </c>
    </row>
    <row r="1747" spans="1:5" x14ac:dyDescent="0.2">
      <c r="A1747" s="5">
        <v>1686</v>
      </c>
      <c r="B1747" s="138">
        <f>'Tax Sched 23'!B7</f>
        <v>51247</v>
      </c>
      <c r="C1747" s="2" t="s">
        <v>594</v>
      </c>
      <c r="D1747" s="2" t="str">
        <f t="shared" si="26"/>
        <v>Error?</v>
      </c>
    </row>
    <row r="1748" spans="1:5" x14ac:dyDescent="0.2">
      <c r="A1748" s="5">
        <v>1687</v>
      </c>
      <c r="B1748" s="138">
        <f>'Tax Sched 23'!B8</f>
        <v>19929</v>
      </c>
      <c r="C1748" s="2" t="s">
        <v>594</v>
      </c>
      <c r="D1748" s="2" t="str">
        <f t="shared" si="26"/>
        <v>Error?</v>
      </c>
    </row>
    <row r="1749" spans="1:5" x14ac:dyDescent="0.2">
      <c r="A1749" s="5">
        <v>1688</v>
      </c>
      <c r="B1749" s="138">
        <f>'Tax Sched 23'!B10</f>
        <v>12811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226092</v>
      </c>
      <c r="C1752" s="2" t="s">
        <v>594</v>
      </c>
      <c r="D1752" s="2" t="str">
        <f t="shared" si="26"/>
        <v>Error?</v>
      </c>
    </row>
    <row r="1753" spans="1:5" x14ac:dyDescent="0.2">
      <c r="A1753" s="5">
        <v>1692</v>
      </c>
      <c r="B1753" s="138">
        <f>'Tax Sched 23'!B12</f>
        <v>12811</v>
      </c>
      <c r="C1753" s="2" t="s">
        <v>594</v>
      </c>
      <c r="D1753" s="2" t="str">
        <f t="shared" si="26"/>
        <v>Error?</v>
      </c>
    </row>
    <row r="1754" spans="1:5" x14ac:dyDescent="0.2">
      <c r="A1754" s="5">
        <v>1693</v>
      </c>
      <c r="B1754" s="138">
        <f>'Tax Sched 23'!B14</f>
        <v>10249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1318324</v>
      </c>
      <c r="C1759" s="2" t="s">
        <v>594</v>
      </c>
      <c r="D1759" s="2" t="str">
        <f t="shared" si="26"/>
        <v>Error?</v>
      </c>
    </row>
    <row r="1760" spans="1:5" x14ac:dyDescent="0.2">
      <c r="A1760" s="5">
        <v>1699</v>
      </c>
      <c r="B1760" s="138">
        <f>'Tax Sched 23'!D4</f>
        <v>531960</v>
      </c>
      <c r="C1760" s="2" t="s">
        <v>594</v>
      </c>
      <c r="D1760" s="2" t="str">
        <f t="shared" si="26"/>
        <v>Error?</v>
      </c>
    </row>
    <row r="1761" spans="1:5" x14ac:dyDescent="0.2">
      <c r="A1761" s="5">
        <v>1700</v>
      </c>
      <c r="B1761" s="138">
        <f>'Tax Sched 23'!D5</f>
        <v>128115</v>
      </c>
      <c r="C1761" s="2" t="s">
        <v>594</v>
      </c>
      <c r="D1761" s="2" t="str">
        <f t="shared" si="26"/>
        <v>Error?</v>
      </c>
    </row>
    <row r="1762" spans="1:5" s="8" customFormat="1" x14ac:dyDescent="0.2">
      <c r="A1762" s="5">
        <v>1701</v>
      </c>
      <c r="B1762" s="138">
        <f>'Tax Sched 23'!D6</f>
        <v>287392</v>
      </c>
      <c r="C1762" s="2" t="s">
        <v>594</v>
      </c>
      <c r="D1762" s="2" t="str">
        <f t="shared" si="26"/>
        <v>Error?</v>
      </c>
      <c r="E1762" s="9"/>
    </row>
    <row r="1763" spans="1:5" x14ac:dyDescent="0.2">
      <c r="A1763" s="5">
        <v>1702</v>
      </c>
      <c r="B1763" s="138">
        <f>'Tax Sched 23'!D7</f>
        <v>51247</v>
      </c>
      <c r="C1763" s="2" t="s">
        <v>594</v>
      </c>
      <c r="D1763" s="2" t="str">
        <f t="shared" si="26"/>
        <v>Error?</v>
      </c>
    </row>
    <row r="1764" spans="1:5" x14ac:dyDescent="0.2">
      <c r="A1764" s="5">
        <v>1703</v>
      </c>
      <c r="B1764" s="138">
        <f>'Tax Sched 23'!D8</f>
        <v>19929</v>
      </c>
      <c r="C1764" s="2" t="s">
        <v>594</v>
      </c>
      <c r="D1764" s="2" t="str">
        <f t="shared" si="26"/>
        <v>Error?</v>
      </c>
    </row>
    <row r="1765" spans="1:5" x14ac:dyDescent="0.2">
      <c r="A1765" s="5">
        <v>1704</v>
      </c>
      <c r="B1765" s="138">
        <f>'Tax Sched 23'!D10</f>
        <v>12811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226092</v>
      </c>
      <c r="C1768" s="2" t="s">
        <v>594</v>
      </c>
      <c r="D1768" s="2" t="str">
        <f t="shared" si="26"/>
        <v>Error?</v>
      </c>
    </row>
    <row r="1769" spans="1:5" x14ac:dyDescent="0.2">
      <c r="A1769" s="5">
        <v>1708</v>
      </c>
      <c r="B1769" s="138">
        <f>'Tax Sched 23'!D12</f>
        <v>12811</v>
      </c>
      <c r="C1769" s="2" t="s">
        <v>594</v>
      </c>
      <c r="D1769" s="2" t="str">
        <f t="shared" si="26"/>
        <v>Error?</v>
      </c>
    </row>
    <row r="1770" spans="1:5" x14ac:dyDescent="0.2">
      <c r="A1770" s="5">
        <v>1709</v>
      </c>
      <c r="B1770" s="138">
        <f>'Tax Sched 23'!D14</f>
        <v>10249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1318324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637778</v>
      </c>
      <c r="C1792" s="2" t="s">
        <v>594</v>
      </c>
      <c r="D1792" s="2" t="str">
        <f t="shared" si="27"/>
        <v>Error?</v>
      </c>
    </row>
    <row r="1793" spans="1:4" x14ac:dyDescent="0.2">
      <c r="A1793" s="5">
        <v>1732</v>
      </c>
      <c r="B1793" s="138">
        <f>'Tax Sched 23'!F5</f>
        <v>152117</v>
      </c>
      <c r="C1793" s="2" t="s">
        <v>594</v>
      </c>
      <c r="D1793" s="2" t="str">
        <f t="shared" si="27"/>
        <v>Error?</v>
      </c>
    </row>
    <row r="1794" spans="1:4" x14ac:dyDescent="0.2">
      <c r="A1794" s="5">
        <v>1733</v>
      </c>
      <c r="B1794" s="138">
        <f>'Tax Sched 23'!F6</f>
        <v>323092</v>
      </c>
      <c r="C1794" s="2" t="s">
        <v>594</v>
      </c>
      <c r="D1794" s="2" t="str">
        <f t="shared" si="27"/>
        <v>Error?</v>
      </c>
    </row>
    <row r="1795" spans="1:4" x14ac:dyDescent="0.2">
      <c r="A1795" s="5">
        <v>1734</v>
      </c>
      <c r="B1795" s="138">
        <f>'Tax Sched 23'!F7</f>
        <v>60850</v>
      </c>
      <c r="C1795" s="2" t="s">
        <v>594</v>
      </c>
      <c r="D1795" s="2" t="str">
        <f t="shared" si="27"/>
        <v>Error?</v>
      </c>
    </row>
    <row r="1796" spans="1:4" x14ac:dyDescent="0.2">
      <c r="A1796" s="5">
        <v>1735</v>
      </c>
      <c r="B1796" s="138">
        <f>'Tax Sched 23'!F8</f>
        <v>22341</v>
      </c>
      <c r="C1796" s="2" t="s">
        <v>594</v>
      </c>
      <c r="D1796" s="2" t="str">
        <f t="shared" si="27"/>
        <v>Error?</v>
      </c>
    </row>
    <row r="1797" spans="1:4" x14ac:dyDescent="0.2">
      <c r="A1797" s="5">
        <v>1736</v>
      </c>
      <c r="B1797" s="138">
        <f>'Tax Sched 23'!F10</f>
        <v>15212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206666</v>
      </c>
      <c r="C1800" s="2" t="s">
        <v>594</v>
      </c>
      <c r="D1800" s="2" t="str">
        <f t="shared" si="27"/>
        <v>Error?</v>
      </c>
    </row>
    <row r="1801" spans="1:4" x14ac:dyDescent="0.2">
      <c r="A1801" s="5">
        <v>1740</v>
      </c>
      <c r="B1801" s="138">
        <f>'Tax Sched 23'!F12</f>
        <v>15212</v>
      </c>
      <c r="C1801" s="2" t="s">
        <v>594</v>
      </c>
      <c r="D1801" s="2" t="str">
        <f t="shared" si="27"/>
        <v>Error?</v>
      </c>
    </row>
    <row r="1802" spans="1:4" x14ac:dyDescent="0.2">
      <c r="A1802" s="5">
        <v>1741</v>
      </c>
      <c r="B1802" s="138">
        <f>'Tax Sched 23'!F14</f>
        <v>12169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1488583</v>
      </c>
      <c r="C1807" s="2" t="s">
        <v>594</v>
      </c>
      <c r="D1807" s="2" t="str">
        <f t="shared" si="27"/>
        <v>Error?</v>
      </c>
    </row>
    <row r="1808" spans="1:4" x14ac:dyDescent="0.2">
      <c r="A1808" s="5">
        <v>1747</v>
      </c>
      <c r="B1808" s="138">
        <f>'Tax Sched 23'!E4</f>
        <v>637778</v>
      </c>
      <c r="D1808" s="2" t="str">
        <f t="shared" si="27"/>
        <v>Error?</v>
      </c>
    </row>
    <row r="1809" spans="1:4" x14ac:dyDescent="0.2">
      <c r="A1809" s="5">
        <v>1748</v>
      </c>
      <c r="B1809" s="138">
        <f>'Tax Sched 23'!E5</f>
        <v>152117</v>
      </c>
      <c r="D1809" s="2" t="str">
        <f t="shared" si="27"/>
        <v>Error?</v>
      </c>
    </row>
    <row r="1810" spans="1:4" x14ac:dyDescent="0.2">
      <c r="A1810" s="5">
        <v>1749</v>
      </c>
      <c r="B1810" s="138">
        <f>'Tax Sched 23'!E6</f>
        <v>323092</v>
      </c>
      <c r="D1810" s="2" t="str">
        <f t="shared" si="27"/>
        <v>Error?</v>
      </c>
    </row>
    <row r="1811" spans="1:4" x14ac:dyDescent="0.2">
      <c r="A1811" s="5">
        <v>1750</v>
      </c>
      <c r="B1811" s="138">
        <f>'Tax Sched 23'!E7</f>
        <v>60850</v>
      </c>
      <c r="D1811" s="2" t="str">
        <f t="shared" si="27"/>
        <v>Error?</v>
      </c>
    </row>
    <row r="1812" spans="1:4" x14ac:dyDescent="0.2">
      <c r="A1812" s="5">
        <v>1751</v>
      </c>
      <c r="B1812" s="138">
        <f>'Tax Sched 23'!E8</f>
        <v>22341</v>
      </c>
      <c r="D1812" s="2" t="str">
        <f t="shared" si="27"/>
        <v>Error?</v>
      </c>
    </row>
    <row r="1813" spans="1:4" x14ac:dyDescent="0.2">
      <c r="A1813" s="5">
        <v>1752</v>
      </c>
      <c r="B1813" s="138">
        <f>'Tax Sched 23'!E10</f>
        <v>15212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206666</v>
      </c>
      <c r="D1816" s="2" t="str">
        <f t="shared" si="27"/>
        <v>Error?</v>
      </c>
    </row>
    <row r="1817" spans="1:4" x14ac:dyDescent="0.2">
      <c r="A1817" s="5">
        <v>1756</v>
      </c>
      <c r="B1817" s="138">
        <f>'Tax Sched 23'!E12</f>
        <v>15212</v>
      </c>
      <c r="D1817" s="2" t="str">
        <f t="shared" si="27"/>
        <v>Error?</v>
      </c>
    </row>
    <row r="1818" spans="1:4" x14ac:dyDescent="0.2">
      <c r="A1818" s="5">
        <v>1757</v>
      </c>
      <c r="B1818" s="138">
        <f>'Tax Sched 23'!E14</f>
        <v>12169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1488583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1445300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10249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10249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10249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33070</v>
      </c>
      <c r="D2008" s="2" t="str">
        <f t="shared" si="30"/>
        <v>Error?</v>
      </c>
    </row>
    <row r="2009" spans="1:4" x14ac:dyDescent="0.2">
      <c r="A2009" s="5">
        <v>1948</v>
      </c>
      <c r="B2009" s="138">
        <f>'Cap Outlay Deprec 26'!C8</f>
        <v>8870517</v>
      </c>
      <c r="D2009" s="2" t="str">
        <f t="shared" si="30"/>
        <v>Error?</v>
      </c>
    </row>
    <row r="2010" spans="1:4" x14ac:dyDescent="0.2">
      <c r="A2010" s="5">
        <v>1949</v>
      </c>
      <c r="B2010" s="138">
        <f>'Cap Outlay Deprec 26'!C10</f>
        <v>101679</v>
      </c>
      <c r="D2010" s="2" t="str">
        <f t="shared" si="30"/>
        <v>Error?</v>
      </c>
    </row>
    <row r="2011" spans="1:4" x14ac:dyDescent="0.2">
      <c r="A2011" s="5">
        <v>1950</v>
      </c>
      <c r="B2011" s="138">
        <f>'Cap Outlay Deprec 26'!C12</f>
        <v>1181448</v>
      </c>
      <c r="D2011" s="2" t="str">
        <f t="shared" si="30"/>
        <v>Error?</v>
      </c>
    </row>
    <row r="2012" spans="1:4" x14ac:dyDescent="0.2">
      <c r="A2012" s="5">
        <v>1951</v>
      </c>
      <c r="B2012" s="138">
        <f>'Cap Outlay Deprec 26'!C13</f>
        <v>483722</v>
      </c>
      <c r="D2012" s="2" t="str">
        <f t="shared" si="30"/>
        <v>Error?</v>
      </c>
    </row>
    <row r="2013" spans="1:4" x14ac:dyDescent="0.2">
      <c r="A2013" s="5">
        <v>1952</v>
      </c>
      <c r="B2013" s="138">
        <f>'Cap Outlay Deprec 26'!C16</f>
        <v>10670436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21277</v>
      </c>
      <c r="D2017" s="2" t="str">
        <f t="shared" si="30"/>
        <v>Error?</v>
      </c>
    </row>
    <row r="2018" spans="1:4" x14ac:dyDescent="0.2">
      <c r="A2018" s="5">
        <v>1957</v>
      </c>
      <c r="B2018" s="138">
        <f>'Cap Outlay Deprec 26'!D13</f>
        <v>3629</v>
      </c>
      <c r="D2018" s="2" t="str">
        <f t="shared" si="30"/>
        <v>Error?</v>
      </c>
    </row>
    <row r="2019" spans="1:4" x14ac:dyDescent="0.2">
      <c r="A2019" s="5">
        <v>1958</v>
      </c>
      <c r="B2019" s="138">
        <f>'Cap Outlay Deprec 26'!D16</f>
        <v>24906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33070</v>
      </c>
      <c r="C2026" s="2" t="s">
        <v>594</v>
      </c>
      <c r="D2026" s="2" t="str">
        <f t="shared" si="30"/>
        <v>Error?</v>
      </c>
    </row>
    <row r="2027" spans="1:4" x14ac:dyDescent="0.2">
      <c r="A2027" s="5">
        <v>1966</v>
      </c>
      <c r="B2027" s="138">
        <f>'Cap Outlay Deprec 26'!F8</f>
        <v>8870517</v>
      </c>
      <c r="C2027" s="2" t="s">
        <v>594</v>
      </c>
      <c r="D2027" s="2" t="str">
        <f t="shared" si="30"/>
        <v>Error?</v>
      </c>
    </row>
    <row r="2028" spans="1:4" x14ac:dyDescent="0.2">
      <c r="A2028" s="5">
        <v>1967</v>
      </c>
      <c r="B2028" s="138">
        <f>'Cap Outlay Deprec 26'!F10</f>
        <v>101679</v>
      </c>
      <c r="C2028" s="2" t="s">
        <v>594</v>
      </c>
      <c r="D2028" s="2" t="str">
        <f t="shared" si="30"/>
        <v>Error?</v>
      </c>
    </row>
    <row r="2029" spans="1:4" x14ac:dyDescent="0.2">
      <c r="A2029" s="5">
        <v>1968</v>
      </c>
      <c r="B2029" s="138">
        <f>'Cap Outlay Deprec 26'!F12</f>
        <v>1202725</v>
      </c>
      <c r="C2029" s="2" t="s">
        <v>594</v>
      </c>
      <c r="D2029" s="2" t="str">
        <f t="shared" si="30"/>
        <v>Error?</v>
      </c>
    </row>
    <row r="2030" spans="1:4" x14ac:dyDescent="0.2">
      <c r="A2030" s="5">
        <v>1969</v>
      </c>
      <c r="B2030" s="138">
        <f>'Cap Outlay Deprec 26'!F13</f>
        <v>487351</v>
      </c>
      <c r="C2030" s="2" t="s">
        <v>594</v>
      </c>
      <c r="D2030" s="2" t="str">
        <f t="shared" si="30"/>
        <v>Error?</v>
      </c>
    </row>
    <row r="2031" spans="1:4" x14ac:dyDescent="0.2">
      <c r="A2031" s="5">
        <v>1970</v>
      </c>
      <c r="B2031" s="138">
        <f>'Cap Outlay Deprec 26'!F16</f>
        <v>10695342</v>
      </c>
      <c r="C2031" s="2" t="s">
        <v>594</v>
      </c>
      <c r="D2031" s="2" t="str">
        <f t="shared" si="30"/>
        <v>Error?</v>
      </c>
    </row>
    <row r="2032" spans="1:4" x14ac:dyDescent="0.2">
      <c r="A2032" s="10">
        <v>1971</v>
      </c>
      <c r="D2032" s="2" t="str">
        <f t="shared" si="30"/>
        <v>OK</v>
      </c>
    </row>
    <row r="2033" spans="1:4" x14ac:dyDescent="0.2">
      <c r="A2033" s="5">
        <v>1972</v>
      </c>
      <c r="B2033" s="138">
        <f>'Cap Outlay Deprec 26'!H8</f>
        <v>3597575</v>
      </c>
      <c r="D2033" s="2" t="str">
        <f t="shared" si="30"/>
        <v>Error?</v>
      </c>
    </row>
    <row r="2034" spans="1:4" x14ac:dyDescent="0.2">
      <c r="A2034" s="5">
        <v>1973</v>
      </c>
      <c r="B2034" s="138">
        <f>'Cap Outlay Deprec 26'!H10</f>
        <v>101679</v>
      </c>
      <c r="D2034" s="2" t="str">
        <f t="shared" si="30"/>
        <v>Error?</v>
      </c>
    </row>
    <row r="2035" spans="1:4" x14ac:dyDescent="0.2">
      <c r="A2035" s="5">
        <v>1974</v>
      </c>
      <c r="B2035" s="138">
        <f>'Cap Outlay Deprec 26'!H12</f>
        <v>1086605</v>
      </c>
      <c r="D2035" s="2" t="str">
        <f t="shared" si="30"/>
        <v>Error?</v>
      </c>
    </row>
    <row r="2036" spans="1:4" x14ac:dyDescent="0.2">
      <c r="A2036" s="5">
        <v>1975</v>
      </c>
      <c r="B2036" s="138">
        <f>'Cap Outlay Deprec 26'!H13</f>
        <v>472633</v>
      </c>
      <c r="D2036" s="2" t="str">
        <f t="shared" si="30"/>
        <v>Error?</v>
      </c>
    </row>
    <row r="2037" spans="1:4" x14ac:dyDescent="0.2">
      <c r="A2037" s="5">
        <v>1976</v>
      </c>
      <c r="B2037" s="138">
        <f>'Cap Outlay Deprec 26'!H16</f>
        <v>5258492</v>
      </c>
      <c r="C2037" s="2" t="s">
        <v>594</v>
      </c>
      <c r="D2037" s="2" t="str">
        <f t="shared" si="30"/>
        <v>Error?</v>
      </c>
    </row>
    <row r="2038" spans="1:4" x14ac:dyDescent="0.2">
      <c r="A2038" s="10">
        <v>1977</v>
      </c>
      <c r="D2038" s="2" t="str">
        <f t="shared" si="30"/>
        <v>OK</v>
      </c>
    </row>
    <row r="2039" spans="1:4" x14ac:dyDescent="0.2">
      <c r="A2039" s="5">
        <v>1978</v>
      </c>
      <c r="B2039" s="138">
        <f>'Cap Outlay Deprec 26'!I8</f>
        <v>177991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34340</v>
      </c>
      <c r="D2041" s="2" t="str">
        <f t="shared" si="30"/>
        <v>Error?</v>
      </c>
    </row>
    <row r="2042" spans="1:4" x14ac:dyDescent="0.2">
      <c r="A2042" s="5">
        <v>1981</v>
      </c>
      <c r="B2042" s="138">
        <f>'Cap Outlay Deprec 26'!I13</f>
        <v>3594</v>
      </c>
      <c r="D2042" s="2" t="str">
        <f t="shared" si="30"/>
        <v>Error?</v>
      </c>
    </row>
    <row r="2043" spans="1:4" x14ac:dyDescent="0.2">
      <c r="A2043" s="5">
        <v>1982</v>
      </c>
      <c r="B2043" s="138">
        <f>'Cap Outlay Deprec 26'!I16</f>
        <v>215925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3775566</v>
      </c>
      <c r="C2051" s="2" t="s">
        <v>594</v>
      </c>
      <c r="D2051" s="2" t="str">
        <f t="shared" si="31"/>
        <v>Error?</v>
      </c>
    </row>
    <row r="2052" spans="1:4" x14ac:dyDescent="0.2">
      <c r="A2052" s="5">
        <v>1991</v>
      </c>
      <c r="B2052" s="138">
        <f>'Cap Outlay Deprec 26'!K10</f>
        <v>101679</v>
      </c>
      <c r="C2052" s="2" t="s">
        <v>594</v>
      </c>
      <c r="D2052" s="2" t="str">
        <f t="shared" si="31"/>
        <v>Error?</v>
      </c>
    </row>
    <row r="2053" spans="1:4" x14ac:dyDescent="0.2">
      <c r="A2053" s="5">
        <v>1992</v>
      </c>
      <c r="B2053" s="138">
        <f>'Cap Outlay Deprec 26'!K12</f>
        <v>1120945</v>
      </c>
      <c r="C2053" s="2" t="s">
        <v>594</v>
      </c>
      <c r="D2053" s="2" t="str">
        <f t="shared" si="31"/>
        <v>Error?</v>
      </c>
    </row>
    <row r="2054" spans="1:4" x14ac:dyDescent="0.2">
      <c r="A2054" s="5">
        <v>1993</v>
      </c>
      <c r="B2054" s="138">
        <f>'Cap Outlay Deprec 26'!K13</f>
        <v>476227</v>
      </c>
      <c r="C2054" s="2" t="s">
        <v>594</v>
      </c>
      <c r="D2054" s="2" t="str">
        <f t="shared" si="31"/>
        <v>Error?</v>
      </c>
    </row>
    <row r="2055" spans="1:4" x14ac:dyDescent="0.2">
      <c r="A2055" s="5">
        <v>1994</v>
      </c>
      <c r="B2055" s="138">
        <f>'Cap Outlay Deprec 26'!K16</f>
        <v>5474417</v>
      </c>
      <c r="C2055" s="2" t="s">
        <v>594</v>
      </c>
      <c r="D2055" s="2" t="str">
        <f t="shared" si="31"/>
        <v>Error?</v>
      </c>
    </row>
    <row r="2056" spans="1:4" x14ac:dyDescent="0.2">
      <c r="A2056" s="5">
        <v>1995</v>
      </c>
      <c r="B2056" s="138">
        <f>'Cap Outlay Deprec 26'!L5</f>
        <v>33070</v>
      </c>
      <c r="C2056" s="2" t="s">
        <v>594</v>
      </c>
      <c r="D2056" s="2" t="str">
        <f t="shared" si="31"/>
        <v>Error?</v>
      </c>
    </row>
    <row r="2057" spans="1:4" x14ac:dyDescent="0.2">
      <c r="A2057" s="5">
        <v>1996</v>
      </c>
      <c r="B2057" s="138">
        <f>'Cap Outlay Deprec 26'!L8</f>
        <v>5094951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81780</v>
      </c>
      <c r="C2059" s="2" t="s">
        <v>594</v>
      </c>
      <c r="D2059" s="2" t="str">
        <f t="shared" si="31"/>
        <v>Error?</v>
      </c>
    </row>
    <row r="2060" spans="1:4" x14ac:dyDescent="0.2">
      <c r="A2060" s="5">
        <v>1999</v>
      </c>
      <c r="B2060" s="138">
        <f>'Cap Outlay Deprec 26'!L13</f>
        <v>11124</v>
      </c>
      <c r="C2060" s="2" t="s">
        <v>594</v>
      </c>
      <c r="D2060" s="2" t="str">
        <f t="shared" si="31"/>
        <v>Error?</v>
      </c>
    </row>
    <row r="2061" spans="1:4" x14ac:dyDescent="0.2">
      <c r="A2061" s="5">
        <v>2000</v>
      </c>
      <c r="B2061" s="138">
        <f>'Cap Outlay Deprec 26'!L16</f>
        <v>5220925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72475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75801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12978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702153</v>
      </c>
      <c r="C2551" s="2" t="s">
        <v>594</v>
      </c>
      <c r="D2551" s="2" t="str">
        <f t="shared" si="38"/>
        <v>Error?</v>
      </c>
    </row>
    <row r="2552" spans="1:4" x14ac:dyDescent="0.2">
      <c r="A2552" s="10">
        <v>2491</v>
      </c>
      <c r="D2552" s="2" t="str">
        <f t="shared" si="38"/>
        <v>OK</v>
      </c>
    </row>
    <row r="2553" spans="1:4" x14ac:dyDescent="0.2">
      <c r="A2553" s="5">
        <v>2492</v>
      </c>
      <c r="B2553" s="138">
        <f>'Acct Summary 7-8'!C6</f>
        <v>1366920</v>
      </c>
      <c r="C2553" s="2" t="s">
        <v>594</v>
      </c>
      <c r="D2553" s="2" t="str">
        <f t="shared" si="38"/>
        <v>Error?</v>
      </c>
    </row>
    <row r="2554" spans="1:4" x14ac:dyDescent="0.2">
      <c r="A2554" s="5">
        <v>2493</v>
      </c>
      <c r="B2554" s="138">
        <f>'Acct Summary 7-8'!C7</f>
        <v>212220</v>
      </c>
      <c r="C2554" s="2" t="s">
        <v>594</v>
      </c>
      <c r="D2554" s="2" t="str">
        <f t="shared" si="38"/>
        <v>Error?</v>
      </c>
    </row>
    <row r="2555" spans="1:4" x14ac:dyDescent="0.2">
      <c r="A2555" s="5">
        <v>2494</v>
      </c>
      <c r="B2555" s="138">
        <f>'Acct Summary 7-8'!C8</f>
        <v>2281293</v>
      </c>
      <c r="C2555" s="2" t="s">
        <v>594</v>
      </c>
      <c r="D2555" s="2" t="str">
        <f t="shared" si="38"/>
        <v>Error?</v>
      </c>
    </row>
    <row r="2556" spans="1:4" x14ac:dyDescent="0.2">
      <c r="A2556" s="5">
        <v>2495</v>
      </c>
      <c r="B2556" s="138">
        <f>'Acct Summary 7-8'!C12</f>
        <v>1297949</v>
      </c>
      <c r="C2556" s="2" t="s">
        <v>594</v>
      </c>
      <c r="D2556" s="2" t="str">
        <f t="shared" si="38"/>
        <v>Error?</v>
      </c>
    </row>
    <row r="2557" spans="1:4" x14ac:dyDescent="0.2">
      <c r="A2557" s="5">
        <v>2496</v>
      </c>
      <c r="B2557" s="138">
        <f>'Acct Summary 7-8'!C13</f>
        <v>658235</v>
      </c>
      <c r="C2557" s="2" t="s">
        <v>594</v>
      </c>
      <c r="D2557" s="2" t="str">
        <f t="shared" si="38"/>
        <v>Error?</v>
      </c>
    </row>
    <row r="2558" spans="1:4" x14ac:dyDescent="0.2">
      <c r="A2558" s="5">
        <v>2497</v>
      </c>
      <c r="B2558" s="138">
        <f>'Acct Summary 7-8'!C14</f>
        <v>14612</v>
      </c>
      <c r="C2558" s="2" t="s">
        <v>594</v>
      </c>
      <c r="D2558" s="2" t="str">
        <f t="shared" si="38"/>
        <v>Error?</v>
      </c>
    </row>
    <row r="2559" spans="1:4" x14ac:dyDescent="0.2">
      <c r="A2559" s="5">
        <v>2498</v>
      </c>
      <c r="B2559" s="138">
        <f>'Acct Summary 7-8'!C15</f>
        <v>75801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2046597</v>
      </c>
      <c r="C2561" s="2" t="s">
        <v>594</v>
      </c>
      <c r="D2561" s="2" t="str">
        <f t="shared" si="39"/>
        <v>Error?</v>
      </c>
    </row>
    <row r="2562" spans="1:4" x14ac:dyDescent="0.2">
      <c r="A2562" s="5">
        <v>2501</v>
      </c>
      <c r="B2562" s="138">
        <f>'Acct Summary 7-8'!C20</f>
        <v>234696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180102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180102</v>
      </c>
      <c r="C2568" s="2" t="s">
        <v>594</v>
      </c>
      <c r="D2568" s="2" t="str">
        <f t="shared" si="39"/>
        <v>Error?</v>
      </c>
    </row>
    <row r="2569" spans="1:4" x14ac:dyDescent="0.2">
      <c r="A2569" s="5">
        <v>2508</v>
      </c>
      <c r="B2569" s="138">
        <f>'Acct Summary 7-8'!D13</f>
        <v>225635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225635</v>
      </c>
      <c r="C2573" s="2" t="s">
        <v>594</v>
      </c>
      <c r="D2573" s="2" t="str">
        <f t="shared" si="39"/>
        <v>Error?</v>
      </c>
    </row>
    <row r="2574" spans="1:4" x14ac:dyDescent="0.2">
      <c r="A2574" s="5">
        <v>2513</v>
      </c>
      <c r="B2574" s="138">
        <f>'Acct Summary 7-8'!D20</f>
        <v>-45533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54607</v>
      </c>
      <c r="C2591" s="2" t="s">
        <v>594</v>
      </c>
      <c r="D2591" s="2" t="str">
        <f t="shared" si="39"/>
        <v>Error?</v>
      </c>
    </row>
    <row r="2592" spans="1:4" x14ac:dyDescent="0.2">
      <c r="A2592" s="10">
        <v>2531</v>
      </c>
      <c r="D2592" s="2" t="str">
        <f t="shared" si="39"/>
        <v>OK</v>
      </c>
    </row>
    <row r="2593" spans="1:4" x14ac:dyDescent="0.2">
      <c r="A2593" s="5">
        <v>2532</v>
      </c>
      <c r="B2593" s="138">
        <f>'Acct Summary 7-8'!F6</f>
        <v>62142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116749</v>
      </c>
      <c r="C2595" s="2" t="s">
        <v>594</v>
      </c>
      <c r="D2595" s="2" t="str">
        <f t="shared" si="39"/>
        <v>Error?</v>
      </c>
    </row>
    <row r="2596" spans="1:4" x14ac:dyDescent="0.2">
      <c r="A2596" s="5">
        <v>2535</v>
      </c>
      <c r="B2596" s="138">
        <f>'Acct Summary 7-8'!F13</f>
        <v>91240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91240</v>
      </c>
      <c r="C2600" s="2" t="s">
        <v>594</v>
      </c>
      <c r="D2600" s="2" t="str">
        <f t="shared" si="39"/>
        <v>Error?</v>
      </c>
    </row>
    <row r="2601" spans="1:4" x14ac:dyDescent="0.2">
      <c r="A2601" s="5">
        <v>2540</v>
      </c>
      <c r="B2601" s="138">
        <f>'Acct Summary 7-8'!F20</f>
        <v>25509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57737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57737</v>
      </c>
      <c r="C2606" s="2" t="s">
        <v>594</v>
      </c>
      <c r="D2606" s="2" t="str">
        <f t="shared" si="39"/>
        <v>Error?</v>
      </c>
    </row>
    <row r="2607" spans="1:4" x14ac:dyDescent="0.2">
      <c r="A2607" s="5">
        <v>2546</v>
      </c>
      <c r="B2607" s="138">
        <f>'Acct Summary 7-8'!G12</f>
        <v>28063</v>
      </c>
      <c r="C2607" s="2" t="s">
        <v>594</v>
      </c>
      <c r="D2607" s="2" t="str">
        <f t="shared" si="39"/>
        <v>Error?</v>
      </c>
    </row>
    <row r="2608" spans="1:4" x14ac:dyDescent="0.2">
      <c r="A2608" s="5">
        <v>2547</v>
      </c>
      <c r="B2608" s="138">
        <f>'Acct Summary 7-8'!G13</f>
        <v>46555</v>
      </c>
      <c r="C2608" s="2" t="s">
        <v>594</v>
      </c>
      <c r="D2608" s="2" t="str">
        <f t="shared" si="39"/>
        <v>Error?</v>
      </c>
    </row>
    <row r="2609" spans="1:4" x14ac:dyDescent="0.2">
      <c r="A2609" s="5">
        <v>2548</v>
      </c>
      <c r="B2609" s="138">
        <f>'Acct Summary 7-8'!G14</f>
        <v>746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75364</v>
      </c>
      <c r="C2612" s="2" t="s">
        <v>594</v>
      </c>
      <c r="D2612" s="2" t="str">
        <f t="shared" si="39"/>
        <v>Error?</v>
      </c>
    </row>
    <row r="2613" spans="1:4" x14ac:dyDescent="0.2">
      <c r="A2613" s="5">
        <v>2552</v>
      </c>
      <c r="B2613" s="138">
        <f>'Acct Summary 7-8'!G20</f>
        <v>-17627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291089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291089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289260</v>
      </c>
      <c r="C2634" s="2" t="s">
        <v>594</v>
      </c>
      <c r="D2634" s="2" t="str">
        <f t="shared" si="40"/>
        <v>Error?</v>
      </c>
    </row>
    <row r="2635" spans="1:4" x14ac:dyDescent="0.2">
      <c r="A2635" s="5">
        <v>2574</v>
      </c>
      <c r="B2635" s="138">
        <f>'Acct Summary 7-8'!E17</f>
        <v>289260</v>
      </c>
      <c r="C2635" s="2" t="s">
        <v>594</v>
      </c>
      <c r="D2635" s="2" t="str">
        <f t="shared" si="40"/>
        <v>Error?</v>
      </c>
    </row>
    <row r="2636" spans="1:4" x14ac:dyDescent="0.2">
      <c r="A2636" s="5">
        <v>2575</v>
      </c>
      <c r="B2636" s="138">
        <f>'Acct Summary 7-8'!E20</f>
        <v>1829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70520</v>
      </c>
      <c r="D2718" s="2" t="str">
        <f t="shared" si="41"/>
        <v>Error?</v>
      </c>
    </row>
    <row r="2719" spans="1:4" x14ac:dyDescent="0.2">
      <c r="A2719" s="5">
        <v>2658</v>
      </c>
      <c r="B2719" s="138">
        <f>'Expenditures 15-22'!D51</f>
        <v>1931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72451</v>
      </c>
      <c r="C2724" s="2" t="s">
        <v>594</v>
      </c>
      <c r="D2724" s="2" t="str">
        <f t="shared" si="41"/>
        <v>Error?</v>
      </c>
    </row>
    <row r="2725" spans="1:4" x14ac:dyDescent="0.2">
      <c r="A2725" s="5">
        <v>2664</v>
      </c>
      <c r="B2725" s="138">
        <f>'Expenditures 15-22'!D247</f>
        <v>3561</v>
      </c>
      <c r="D2725" s="2" t="str">
        <f t="shared" si="41"/>
        <v>Error?</v>
      </c>
    </row>
    <row r="2726" spans="1:4" x14ac:dyDescent="0.2">
      <c r="A2726" s="5">
        <v>2665</v>
      </c>
      <c r="B2726" s="138">
        <f>'Expenditures 15-22'!K247</f>
        <v>3561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3326</v>
      </c>
      <c r="C2789" s="2" t="s">
        <v>594</v>
      </c>
      <c r="D2789" s="2" t="str">
        <f t="shared" si="42"/>
        <v>Error?</v>
      </c>
    </row>
    <row r="2790" spans="1:4" x14ac:dyDescent="0.2">
      <c r="A2790" s="5">
        <v>2729</v>
      </c>
      <c r="B2790" s="138">
        <f>'Expenditures 15-22'!E102</f>
        <v>3326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96923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96923</v>
      </c>
      <c r="D2914" s="2" t="str">
        <f t="shared" si="44"/>
        <v>Error?</v>
      </c>
    </row>
    <row r="2915" spans="1:4" x14ac:dyDescent="0.2">
      <c r="A2915" s="10">
        <v>2854</v>
      </c>
      <c r="D2915" s="2" t="str">
        <f t="shared" si="44"/>
        <v>OK</v>
      </c>
    </row>
    <row r="2916" spans="1:4" x14ac:dyDescent="0.2">
      <c r="A2916" s="5">
        <v>2855</v>
      </c>
      <c r="B2916" s="138">
        <f>'Assets-Liab 5-6'!L34</f>
        <v>96923</v>
      </c>
      <c r="C2916" s="2" t="s">
        <v>594</v>
      </c>
      <c r="D2916" s="2" t="str">
        <f t="shared" si="44"/>
        <v>Error?</v>
      </c>
    </row>
    <row r="2917" spans="1:4" x14ac:dyDescent="0.2">
      <c r="A2917" s="5">
        <v>2856</v>
      </c>
      <c r="B2917" s="138">
        <f>'Assets-Liab 5-6'!L41</f>
        <v>96923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3326</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72475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3326</v>
      </c>
      <c r="C2973" s="2" t="s">
        <v>594</v>
      </c>
      <c r="D2973" s="2" t="str">
        <f t="shared" si="45"/>
        <v>Error?</v>
      </c>
    </row>
    <row r="2974" spans="1:4" x14ac:dyDescent="0.2">
      <c r="A2974" s="5">
        <v>2913</v>
      </c>
      <c r="B2974" s="138">
        <f>'Expenditures 15-22'!K79</f>
        <v>72475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37175</v>
      </c>
      <c r="D3055" s="2" t="str">
        <f t="shared" si="46"/>
        <v>Error?</v>
      </c>
    </row>
    <row r="3056" spans="1:4" x14ac:dyDescent="0.2">
      <c r="A3056" s="5">
        <v>2995</v>
      </c>
      <c r="B3056" s="138">
        <f>'Expenditures 15-22'!D10</f>
        <v>2</v>
      </c>
      <c r="D3056" s="2" t="str">
        <f t="shared" si="46"/>
        <v>Error?</v>
      </c>
    </row>
    <row r="3057" spans="1:4" x14ac:dyDescent="0.2">
      <c r="A3057" s="5">
        <v>2996</v>
      </c>
      <c r="B3057" s="138">
        <f>'Expenditures 15-22'!E10</f>
        <v>9122</v>
      </c>
      <c r="D3057" s="2" t="str">
        <f t="shared" si="46"/>
        <v>Error?</v>
      </c>
    </row>
    <row r="3058" spans="1:4" x14ac:dyDescent="0.2">
      <c r="A3058" s="5">
        <v>2997</v>
      </c>
      <c r="B3058" s="138">
        <f>'Expenditures 15-22'!F10</f>
        <v>12786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59085</v>
      </c>
      <c r="C3062" s="2" t="s">
        <v>594</v>
      </c>
      <c r="D3062" s="2" t="str">
        <f t="shared" si="46"/>
        <v>Error?</v>
      </c>
    </row>
    <row r="3063" spans="1:4" x14ac:dyDescent="0.2">
      <c r="A3063" s="10">
        <v>3002</v>
      </c>
      <c r="D3063" s="2" t="str">
        <f t="shared" si="46"/>
        <v>OK</v>
      </c>
    </row>
    <row r="3064" spans="1:4" x14ac:dyDescent="0.2">
      <c r="A3064" s="5">
        <v>3003</v>
      </c>
      <c r="B3064" s="138">
        <f>'Expenditures 15-22'!D219</f>
        <v>4040</v>
      </c>
      <c r="D3064" s="2" t="str">
        <f t="shared" si="46"/>
        <v>Error?</v>
      </c>
    </row>
    <row r="3065" spans="1:4" x14ac:dyDescent="0.2">
      <c r="A3065" s="5">
        <v>3004</v>
      </c>
      <c r="B3065" s="138">
        <f>'Expenditures 15-22'!K219</f>
        <v>4040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12978</v>
      </c>
      <c r="C3225" s="2" t="s">
        <v>594</v>
      </c>
      <c r="D3225" s="2" t="str">
        <f t="shared" si="49"/>
        <v>Error?</v>
      </c>
    </row>
    <row r="3226" spans="1:4" x14ac:dyDescent="0.2">
      <c r="A3226" s="5">
        <v>3165</v>
      </c>
      <c r="B3226" s="138">
        <f>'Acct Summary 7-8'!I8</f>
        <v>12978</v>
      </c>
      <c r="C3226" s="2" t="s">
        <v>594</v>
      </c>
      <c r="D3226" s="2" t="str">
        <f t="shared" si="49"/>
        <v>Error?</v>
      </c>
    </row>
    <row r="3227" spans="1:4" x14ac:dyDescent="0.2">
      <c r="A3227" s="5">
        <v>3166</v>
      </c>
      <c r="B3227" s="138">
        <f>'Acct Summary 7-8'!I20</f>
        <v>12978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12978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12978</v>
      </c>
      <c r="C3232" s="2" t="s">
        <v>594</v>
      </c>
      <c r="D3232" s="2" t="str">
        <f t="shared" si="49"/>
        <v>Error?</v>
      </c>
    </row>
    <row r="3233" spans="1:4" x14ac:dyDescent="0.2">
      <c r="A3233" s="5">
        <v>3172</v>
      </c>
      <c r="B3233" s="138">
        <f>'Acct Summary 7-8'!C78</f>
        <v>247674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-45533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25509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-17627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1829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12978</v>
      </c>
      <c r="C3318" s="2" t="s">
        <v>594</v>
      </c>
      <c r="D3318" s="2" t="str">
        <f t="shared" si="50"/>
        <v>Error?</v>
      </c>
    </row>
    <row r="3319" spans="1:4" x14ac:dyDescent="0.2">
      <c r="A3319" s="5">
        <v>3258</v>
      </c>
      <c r="B3319" s="138">
        <f>'Acct Summary 7-8'!I77</f>
        <v>-12978</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176179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6252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184220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10826</v>
      </c>
      <c r="D3387" s="2" t="str">
        <f t="shared" si="51"/>
        <v>Error?</v>
      </c>
    </row>
    <row r="3388" spans="1:4" x14ac:dyDescent="0.2">
      <c r="A3388" s="5">
        <v>3327</v>
      </c>
      <c r="B3388" s="138">
        <f>'Expenditures 15-22'!D217</f>
        <v>6311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10826</v>
      </c>
      <c r="C3390" s="2" t="s">
        <v>594</v>
      </c>
      <c r="D3390" s="2" t="str">
        <f t="shared" si="51"/>
        <v>Error?</v>
      </c>
    </row>
    <row r="3391" spans="1:4" x14ac:dyDescent="0.2">
      <c r="A3391" s="5">
        <v>3330</v>
      </c>
      <c r="B3391" s="138">
        <f>'Expenditures 15-22'!K217</f>
        <v>6311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1621686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96619</v>
      </c>
      <c r="D3417" s="2" t="str">
        <f t="shared" si="52"/>
        <v>Error?</v>
      </c>
    </row>
    <row r="3418" spans="1:4" x14ac:dyDescent="0.2">
      <c r="A3418" s="10">
        <v>3357</v>
      </c>
      <c r="D3418" s="2" t="str">
        <f t="shared" si="52"/>
        <v>OK</v>
      </c>
    </row>
    <row r="3419" spans="1:4" x14ac:dyDescent="0.2">
      <c r="A3419" s="5">
        <v>3358</v>
      </c>
      <c r="B3419" s="138">
        <f>'Assets-Liab 5-6'!F4</f>
        <v>240889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257313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24899</v>
      </c>
      <c r="C3446" s="2" t="s">
        <v>594</v>
      </c>
      <c r="D3446" s="2" t="str">
        <f t="shared" si="52"/>
        <v>Error?</v>
      </c>
    </row>
    <row r="3447" spans="1:4" x14ac:dyDescent="0.2">
      <c r="A3447" s="5">
        <v>3386</v>
      </c>
      <c r="B3447" s="138">
        <f>'Tax Sched 23'!D16</f>
        <v>24899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27934</v>
      </c>
      <c r="C3449" s="2" t="s">
        <v>594</v>
      </c>
      <c r="D3449" s="2" t="str">
        <f t="shared" si="52"/>
        <v>Error?</v>
      </c>
    </row>
    <row r="3450" spans="1:4" x14ac:dyDescent="0.2">
      <c r="A3450" s="5">
        <v>3389</v>
      </c>
      <c r="B3450" s="138">
        <f>'Tax Sched 23'!E16</f>
        <v>27934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37917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37917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37917</v>
      </c>
      <c r="D3567" s="2" t="str">
        <f t="shared" si="54"/>
        <v>Error?</v>
      </c>
    </row>
    <row r="3568" spans="1:4" x14ac:dyDescent="0.2">
      <c r="A3568" s="5">
        <v>3507</v>
      </c>
      <c r="B3568" s="138">
        <f>'Assets-Liab 5-6'!K41</f>
        <v>37917</v>
      </c>
      <c r="C3568" s="2" t="s">
        <v>594</v>
      </c>
      <c r="D3568" s="2" t="str">
        <f t="shared" si="54"/>
        <v>Error?</v>
      </c>
    </row>
    <row r="3569" spans="1:4" x14ac:dyDescent="0.2">
      <c r="A3569" s="5">
        <v>3508</v>
      </c>
      <c r="B3569" s="138">
        <f>'Acct Summary 7-8'!K4</f>
        <v>13101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13101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13101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13101</v>
      </c>
      <c r="C3588" s="2" t="s">
        <v>594</v>
      </c>
      <c r="D3588" s="2" t="str">
        <f t="shared" si="55"/>
        <v>Error?</v>
      </c>
    </row>
    <row r="3589" spans="1:4" x14ac:dyDescent="0.2">
      <c r="A3589" s="5">
        <v>3528</v>
      </c>
      <c r="B3589" s="138">
        <f>'Acct Summary 7-8'!K79</f>
        <v>24816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37917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13101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12819</v>
      </c>
      <c r="C3725" s="2" t="s">
        <v>594</v>
      </c>
      <c r="D3725" s="2" t="str">
        <f t="shared" si="57"/>
        <v>Error?</v>
      </c>
    </row>
    <row r="3726" spans="1:4" x14ac:dyDescent="0.2">
      <c r="A3726" s="5">
        <v>3665</v>
      </c>
      <c r="B3726" s="138">
        <f>'Tax Sched 23'!D13</f>
        <v>12819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15212</v>
      </c>
      <c r="C3728" s="2" t="s">
        <v>594</v>
      </c>
      <c r="D3728" s="2" t="str">
        <f t="shared" si="57"/>
        <v>Error?</v>
      </c>
    </row>
    <row r="3729" spans="1:4" x14ac:dyDescent="0.2">
      <c r="A3729" s="5">
        <v>3668</v>
      </c>
      <c r="B3729" s="138">
        <f>'Tax Sched 23'!E13</f>
        <v>15212</v>
      </c>
      <c r="D3729" s="2" t="str">
        <f t="shared" si="57"/>
        <v>Error?</v>
      </c>
    </row>
    <row r="3730" spans="1:4" x14ac:dyDescent="0.2">
      <c r="A3730" s="5">
        <v>3669</v>
      </c>
      <c r="B3730" s="138">
        <f>'ICR Computation 30'!E10</f>
        <v>15268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889467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3170760</v>
      </c>
      <c r="C4122" s="2" t="s">
        <v>594</v>
      </c>
      <c r="D4122" s="2" t="str">
        <f t="shared" si="63"/>
        <v>Error?</v>
      </c>
    </row>
    <row r="4123" spans="1:4" x14ac:dyDescent="0.2">
      <c r="A4123" s="5">
        <v>4062</v>
      </c>
      <c r="B4123" s="138">
        <f>'Acct Summary 7-8'!D10</f>
        <v>180102</v>
      </c>
      <c r="C4123" s="2" t="s">
        <v>594</v>
      </c>
      <c r="D4123" s="2" t="str">
        <f t="shared" si="63"/>
        <v>Error?</v>
      </c>
    </row>
    <row r="4124" spans="1:4" x14ac:dyDescent="0.2">
      <c r="A4124" s="5">
        <v>4063</v>
      </c>
      <c r="B4124" s="138">
        <f>'Acct Summary 7-8'!E10</f>
        <v>291089</v>
      </c>
      <c r="C4124" s="2" t="s">
        <v>594</v>
      </c>
      <c r="D4124" s="2" t="str">
        <f t="shared" si="63"/>
        <v>Error?</v>
      </c>
    </row>
    <row r="4125" spans="1:4" x14ac:dyDescent="0.2">
      <c r="A4125" s="5">
        <v>4064</v>
      </c>
      <c r="B4125" s="138">
        <f>'Acct Summary 7-8'!F10</f>
        <v>116749</v>
      </c>
      <c r="C4125" s="2" t="s">
        <v>594</v>
      </c>
      <c r="D4125" s="2" t="str">
        <f t="shared" si="63"/>
        <v>Error?</v>
      </c>
    </row>
    <row r="4126" spans="1:4" x14ac:dyDescent="0.2">
      <c r="A4126" s="5">
        <v>4065</v>
      </c>
      <c r="B4126" s="138">
        <f>'Acct Summary 7-8'!G10</f>
        <v>57737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12978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13101</v>
      </c>
      <c r="C4130" s="2" t="s">
        <v>594</v>
      </c>
      <c r="D4130" s="2" t="str">
        <f t="shared" si="63"/>
        <v>Error?</v>
      </c>
    </row>
    <row r="4131" spans="1:4" x14ac:dyDescent="0.2">
      <c r="A4131" s="5">
        <v>4070</v>
      </c>
      <c r="B4131" s="138">
        <f>'Acct Summary 7-8'!C18</f>
        <v>889467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2936064</v>
      </c>
      <c r="C4136" s="2" t="s">
        <v>594</v>
      </c>
      <c r="D4136" s="2" t="str">
        <f t="shared" si="63"/>
        <v>Error?</v>
      </c>
    </row>
    <row r="4137" spans="1:4" x14ac:dyDescent="0.2">
      <c r="A4137" s="5">
        <v>4076</v>
      </c>
      <c r="B4137" s="138">
        <f>'Acct Summary 7-8'!D19</f>
        <v>225635</v>
      </c>
      <c r="C4137" s="2" t="s">
        <v>594</v>
      </c>
      <c r="D4137" s="2" t="str">
        <f t="shared" si="63"/>
        <v>Error?</v>
      </c>
    </row>
    <row r="4138" spans="1:4" x14ac:dyDescent="0.2">
      <c r="A4138" s="5">
        <v>4077</v>
      </c>
      <c r="B4138" s="138">
        <f>'Acct Summary 7-8'!E19</f>
        <v>289260</v>
      </c>
      <c r="C4138" s="2" t="s">
        <v>594</v>
      </c>
      <c r="D4138" s="2" t="str">
        <f t="shared" si="63"/>
        <v>Error?</v>
      </c>
    </row>
    <row r="4139" spans="1:4" x14ac:dyDescent="0.2">
      <c r="A4139" s="5">
        <v>4078</v>
      </c>
      <c r="B4139" s="138">
        <f>'Acct Summary 7-8'!F19</f>
        <v>91240</v>
      </c>
      <c r="C4139" s="2" t="s">
        <v>594</v>
      </c>
      <c r="D4139" s="2" t="str">
        <f t="shared" si="63"/>
        <v>Error?</v>
      </c>
    </row>
    <row r="4140" spans="1:4" x14ac:dyDescent="0.2">
      <c r="A4140" s="5">
        <v>4079</v>
      </c>
      <c r="B4140" s="138">
        <f>'Acct Summary 7-8'!G19</f>
        <v>75364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1190800</v>
      </c>
      <c r="C4171" s="2" t="s">
        <v>594</v>
      </c>
      <c r="D4171" s="2" t="str">
        <f t="shared" si="64"/>
        <v>Error?</v>
      </c>
    </row>
    <row r="4172" spans="1:4" x14ac:dyDescent="0.2">
      <c r="A4172" s="5">
        <v>4111</v>
      </c>
      <c r="B4172" s="138">
        <f>'Short-Term Long-Term Debt 24'!J49</f>
        <v>1094181</v>
      </c>
      <c r="C4172" s="2" t="s">
        <v>594</v>
      </c>
      <c r="D4172" s="2" t="str">
        <f t="shared" si="64"/>
        <v>Error?</v>
      </c>
    </row>
    <row r="4173" spans="1:4" x14ac:dyDescent="0.2">
      <c r="A4173" s="5">
        <v>4112</v>
      </c>
      <c r="B4173" s="138">
        <f>'Short-Term Long-Term Debt 24'!H49</f>
        <v>254500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2800</v>
      </c>
      <c r="C4268" s="2" t="s">
        <v>594</v>
      </c>
      <c r="D4268" s="2" t="str">
        <f t="shared" si="65"/>
        <v>Error?</v>
      </c>
    </row>
    <row r="4269" spans="1:5" x14ac:dyDescent="0.2">
      <c r="A4269" s="12">
        <v>4208</v>
      </c>
      <c r="B4269" s="138">
        <f>'FP Info 3'!J16</f>
        <v>1863098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2061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5379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2821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6504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17295</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27437760</v>
      </c>
      <c r="D4995" s="2" t="str">
        <f t="shared" si="77"/>
        <v>Error?</v>
      </c>
    </row>
    <row r="4996" spans="1:4" x14ac:dyDescent="0.2">
      <c r="A4996" s="12">
        <v>4935</v>
      </c>
      <c r="B4996" s="138">
        <f>'FP Info 3'!H31</f>
        <v>3786410.8800000004</v>
      </c>
      <c r="D4996" s="2" t="str">
        <f t="shared" si="77"/>
        <v>Error?</v>
      </c>
    </row>
    <row r="4997" spans="1:4" x14ac:dyDescent="0.2">
      <c r="A4997" s="12">
        <v>4936</v>
      </c>
      <c r="B4997" s="138">
        <f>'FP Info 3'!H37</f>
        <v>1190800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12819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531960</v>
      </c>
      <c r="D5061" s="2" t="str">
        <f t="shared" si="78"/>
        <v>Error?</v>
      </c>
    </row>
    <row r="5062" spans="1:4" x14ac:dyDescent="0.2">
      <c r="A5062" s="10">
        <v>5001</v>
      </c>
      <c r="D5062" s="2" t="str">
        <f t="shared" si="78"/>
        <v>OK</v>
      </c>
    </row>
    <row r="5063" spans="1:4" x14ac:dyDescent="0.2">
      <c r="A5063" s="5">
        <v>5002</v>
      </c>
      <c r="B5063" s="138">
        <f>'Revenues 9-14'!C7</f>
        <v>10249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555028</v>
      </c>
      <c r="C5066" s="2" t="s">
        <v>594</v>
      </c>
      <c r="D5066" s="2" t="str">
        <f t="shared" si="78"/>
        <v>Error?</v>
      </c>
    </row>
    <row r="5067" spans="1:4" x14ac:dyDescent="0.2">
      <c r="A5067" s="5">
        <v>5006</v>
      </c>
      <c r="B5067" s="138">
        <f>'Revenues 9-14'!C14</f>
        <v>4447</v>
      </c>
      <c r="D5067" s="2" t="str">
        <f t="shared" si="78"/>
        <v>Error?</v>
      </c>
    </row>
    <row r="5068" spans="1:4" x14ac:dyDescent="0.2">
      <c r="A5068" s="5">
        <v>5007</v>
      </c>
      <c r="B5068" s="138">
        <f>'Revenues 9-14'!C15</f>
        <v>943</v>
      </c>
      <c r="D5068" s="2" t="str">
        <f t="shared" si="78"/>
        <v>Error?</v>
      </c>
    </row>
    <row r="5069" spans="1:4" x14ac:dyDescent="0.2">
      <c r="A5069" s="5">
        <v>5008</v>
      </c>
      <c r="B5069" s="138">
        <f>'Revenues 9-14'!C16</f>
        <v>76143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81533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5833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33990</v>
      </c>
      <c r="C5096" s="2" t="s">
        <v>594</v>
      </c>
      <c r="D5096" s="2" t="str">
        <f t="shared" si="78"/>
        <v>Error?</v>
      </c>
    </row>
    <row r="5097" spans="1:4" x14ac:dyDescent="0.2">
      <c r="A5097" s="5">
        <v>5036</v>
      </c>
      <c r="B5097" s="138">
        <f>'Revenues 9-14'!C77</f>
        <v>4953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2275</v>
      </c>
      <c r="D5101" s="2" t="str">
        <f t="shared" si="78"/>
        <v>Error?</v>
      </c>
    </row>
    <row r="5102" spans="1:4" x14ac:dyDescent="0.2">
      <c r="A5102" s="5">
        <v>5041</v>
      </c>
      <c r="B5102" s="138">
        <f>'Revenues 9-14'!C82</f>
        <v>8103</v>
      </c>
      <c r="C5102" s="2" t="s">
        <v>594</v>
      </c>
      <c r="D5102" s="2" t="str">
        <f t="shared" si="78"/>
        <v>Error?</v>
      </c>
    </row>
    <row r="5103" spans="1:4" x14ac:dyDescent="0.2">
      <c r="A5103" s="5">
        <v>5042</v>
      </c>
      <c r="B5103" s="138">
        <f>'Revenues 9-14'!C84</f>
        <v>7185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8100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2381</v>
      </c>
      <c r="D5119" s="2" t="str">
        <f t="shared" ref="D5119:D5182" si="79">IF(ISBLANK(B5119),"OK",IF(A5119-B5119=0,"OK","Error?"))</f>
        <v>Error?</v>
      </c>
    </row>
    <row r="5120" spans="1:4" x14ac:dyDescent="0.2">
      <c r="A5120" s="5">
        <v>5059</v>
      </c>
      <c r="B5120" s="138">
        <f>'Revenues 9-14'!C108</f>
        <v>10481</v>
      </c>
      <c r="C5120" s="2" t="s">
        <v>594</v>
      </c>
      <c r="D5120" s="2" t="str">
        <f t="shared" si="79"/>
        <v>Error?</v>
      </c>
    </row>
    <row r="5121" spans="1:4" x14ac:dyDescent="0.2">
      <c r="A5121" s="5">
        <v>5060</v>
      </c>
      <c r="B5121" s="138">
        <f>'Revenues 9-14'!C109</f>
        <v>702153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1205992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1205992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19462</v>
      </c>
      <c r="D5134" s="2" t="str">
        <f t="shared" si="79"/>
        <v>Error?</v>
      </c>
    </row>
    <row r="5135" spans="1:4" x14ac:dyDescent="0.2">
      <c r="A5135" s="5">
        <v>5074</v>
      </c>
      <c r="B5135" s="138">
        <f>'Revenues 9-14'!C126</f>
        <v>16969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36431</v>
      </c>
      <c r="C5147" s="2" t="s">
        <v>594</v>
      </c>
      <c r="D5147" s="2" t="str">
        <f t="shared" si="79"/>
        <v>Error?</v>
      </c>
    </row>
    <row r="5148" spans="1:4" x14ac:dyDescent="0.2">
      <c r="A5148" s="5">
        <v>5087</v>
      </c>
      <c r="B5148" s="138">
        <f>'Revenues 9-14'!C133</f>
        <v>15842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8584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26243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1804</v>
      </c>
      <c r="D5167" s="2" t="str">
        <f t="shared" si="79"/>
        <v>Error?</v>
      </c>
    </row>
    <row r="5168" spans="1:4" x14ac:dyDescent="0.2">
      <c r="A5168" s="5">
        <v>5107</v>
      </c>
      <c r="B5168" s="138">
        <f>'Revenues 9-14'!C147</f>
        <v>3450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91500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160928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1366920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17295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84046</v>
      </c>
      <c r="D5239" s="2" t="str">
        <f t="shared" si="80"/>
        <v>Error?</v>
      </c>
    </row>
    <row r="5240" spans="1:4" x14ac:dyDescent="0.2">
      <c r="A5240" s="5">
        <v>5179</v>
      </c>
      <c r="B5240" s="138">
        <f>'Revenues 9-14'!C195</f>
        <v>1004</v>
      </c>
      <c r="D5240" s="2" t="str">
        <f t="shared" si="80"/>
        <v>Error?</v>
      </c>
    </row>
    <row r="5241" spans="1:4" x14ac:dyDescent="0.2">
      <c r="A5241" s="5">
        <v>5180</v>
      </c>
      <c r="B5241" s="138">
        <f>'Revenues 9-14'!C196</f>
        <v>35642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120692</v>
      </c>
      <c r="C5246" s="2" t="s">
        <v>594</v>
      </c>
      <c r="D5246" s="2" t="str">
        <f t="shared" si="80"/>
        <v>Error?</v>
      </c>
    </row>
    <row r="5247" spans="1:4" x14ac:dyDescent="0.2">
      <c r="A5247" s="5">
        <v>5186</v>
      </c>
      <c r="B5247" s="138">
        <f>'Revenues 9-14'!C203</f>
        <v>57435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2821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57435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2061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194925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212220</v>
      </c>
      <c r="C5326" s="2" t="s">
        <v>594</v>
      </c>
      <c r="D5326" s="2" t="str">
        <f t="shared" si="82"/>
        <v>Error?</v>
      </c>
    </row>
    <row r="5327" spans="1:4" x14ac:dyDescent="0.2">
      <c r="A5327" s="5">
        <v>5266</v>
      </c>
      <c r="B5327" s="138">
        <f>'Revenues 9-14'!C275</f>
        <v>2281293</v>
      </c>
      <c r="C5327" s="2" t="s">
        <v>594</v>
      </c>
      <c r="D5327" s="2" t="str">
        <f t="shared" si="82"/>
        <v>Error?</v>
      </c>
    </row>
    <row r="5328" spans="1:4" x14ac:dyDescent="0.2">
      <c r="A5328" s="5">
        <v>5267</v>
      </c>
      <c r="B5328" s="138">
        <f>'Revenues 9-14'!D5</f>
        <v>128115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128115</v>
      </c>
      <c r="C5334" s="2" t="s">
        <v>594</v>
      </c>
      <c r="D5334" s="2" t="str">
        <f t="shared" si="82"/>
        <v>Error?</v>
      </c>
    </row>
    <row r="5335" spans="1:4" x14ac:dyDescent="0.2">
      <c r="A5335" s="5">
        <v>5274</v>
      </c>
      <c r="B5335" s="138">
        <f>'Revenues 9-14'!D14</f>
        <v>1027</v>
      </c>
      <c r="D5335" s="2" t="str">
        <f t="shared" si="82"/>
        <v>Error?</v>
      </c>
    </row>
    <row r="5336" spans="1:4" x14ac:dyDescent="0.2">
      <c r="A5336" s="5">
        <v>5275</v>
      </c>
      <c r="B5336" s="138">
        <f>'Revenues 9-14'!D15</f>
        <v>218</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1245</v>
      </c>
      <c r="C5339" s="2" t="s">
        <v>594</v>
      </c>
      <c r="D5339" s="2" t="str">
        <f t="shared" si="82"/>
        <v>Error?</v>
      </c>
    </row>
    <row r="5340" spans="1:4" x14ac:dyDescent="0.2">
      <c r="A5340" s="5">
        <v>5279</v>
      </c>
      <c r="B5340" s="138">
        <f>'Revenues 9-14'!D65</f>
        <v>139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50000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603</v>
      </c>
      <c r="D5354" s="2" t="str">
        <f t="shared" si="82"/>
        <v>Error?</v>
      </c>
    </row>
    <row r="5355" spans="1:4" x14ac:dyDescent="0.2">
      <c r="A5355" s="5">
        <v>5294</v>
      </c>
      <c r="B5355" s="138">
        <f>'Revenues 9-14'!D108</f>
        <v>50603</v>
      </c>
      <c r="C5355" s="2" t="s">
        <v>594</v>
      </c>
      <c r="D5355" s="2" t="str">
        <f t="shared" si="82"/>
        <v>Error?</v>
      </c>
    </row>
    <row r="5356" spans="1:4" x14ac:dyDescent="0.2">
      <c r="A5356" s="5">
        <v>5295</v>
      </c>
      <c r="B5356" s="138">
        <f>'Revenues 9-14'!D109</f>
        <v>180102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180102</v>
      </c>
      <c r="C5508" s="2" t="s">
        <v>594</v>
      </c>
      <c r="D5508" s="2" t="str">
        <f t="shared" si="85"/>
        <v>Error?</v>
      </c>
    </row>
    <row r="5509" spans="1:4" x14ac:dyDescent="0.2">
      <c r="A5509" s="5">
        <v>5448</v>
      </c>
      <c r="B5509" s="138">
        <f>'Revenues 9-14'!E5</f>
        <v>287392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287392</v>
      </c>
      <c r="C5513" s="2" t="s">
        <v>594</v>
      </c>
      <c r="D5513" s="2" t="str">
        <f t="shared" si="85"/>
        <v>Error?</v>
      </c>
    </row>
    <row r="5514" spans="1:4" x14ac:dyDescent="0.2">
      <c r="A5514" s="5">
        <v>5453</v>
      </c>
      <c r="B5514" s="138">
        <f>'Revenues 9-14'!E14</f>
        <v>2305</v>
      </c>
      <c r="D5514" s="2" t="str">
        <f t="shared" si="85"/>
        <v>Error?</v>
      </c>
    </row>
    <row r="5515" spans="1:4" x14ac:dyDescent="0.2">
      <c r="A5515" s="5">
        <v>5454</v>
      </c>
      <c r="B5515" s="138">
        <f>'Revenues 9-14'!E15</f>
        <v>489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2794</v>
      </c>
      <c r="C5518" s="2" t="s">
        <v>594</v>
      </c>
      <c r="D5518" s="2" t="str">
        <f t="shared" si="85"/>
        <v>Error?</v>
      </c>
    </row>
    <row r="5519" spans="1:4" x14ac:dyDescent="0.2">
      <c r="A5519" s="5">
        <v>5458</v>
      </c>
      <c r="B5519" s="138">
        <f>'Revenues 9-14'!E65</f>
        <v>903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903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291089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291089</v>
      </c>
      <c r="C5552" s="2" t="s">
        <v>594</v>
      </c>
      <c r="D5552" s="2" t="str">
        <f t="shared" si="85"/>
        <v>Error?</v>
      </c>
    </row>
    <row r="5553" spans="1:4" x14ac:dyDescent="0.2">
      <c r="A5553" s="5">
        <v>5492</v>
      </c>
      <c r="B5553" s="138">
        <f>'Revenues 9-14'!F5</f>
        <v>51247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51247</v>
      </c>
      <c r="C5557" s="2" t="s">
        <v>594</v>
      </c>
      <c r="D5557" s="2" t="str">
        <f t="shared" si="85"/>
        <v>Error?</v>
      </c>
    </row>
    <row r="5558" spans="1:4" x14ac:dyDescent="0.2">
      <c r="A5558" s="5">
        <v>5497</v>
      </c>
      <c r="B5558" s="138">
        <f>'Revenues 9-14'!F14</f>
        <v>411</v>
      </c>
      <c r="D5558" s="2" t="str">
        <f t="shared" si="85"/>
        <v>Error?</v>
      </c>
    </row>
    <row r="5559" spans="1:4" x14ac:dyDescent="0.2">
      <c r="A5559" s="5">
        <v>5498</v>
      </c>
      <c r="B5559" s="138">
        <f>'Revenues 9-14'!F15</f>
        <v>87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498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1837</v>
      </c>
      <c r="D5586" s="2" t="str">
        <f t="shared" si="86"/>
        <v>Error?</v>
      </c>
    </row>
    <row r="5587" spans="1:4" x14ac:dyDescent="0.2">
      <c r="A5587" s="5">
        <v>5526</v>
      </c>
      <c r="B5587" s="138">
        <f>'Revenues 9-14'!F108</f>
        <v>1837</v>
      </c>
      <c r="C5587" s="2" t="s">
        <v>594</v>
      </c>
      <c r="D5587" s="2" t="str">
        <f t="shared" si="86"/>
        <v>Error?</v>
      </c>
    </row>
    <row r="5588" spans="1:4" x14ac:dyDescent="0.2">
      <c r="A5588" s="5">
        <v>5527</v>
      </c>
      <c r="B5588" s="138">
        <f>'Revenues 9-14'!F109</f>
        <v>54607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40898</v>
      </c>
      <c r="D5615" s="2" t="str">
        <f t="shared" si="86"/>
        <v>Error?</v>
      </c>
    </row>
    <row r="5616" spans="1:4" x14ac:dyDescent="0.2">
      <c r="A5616" s="10">
        <v>5555</v>
      </c>
      <c r="D5616" s="2" t="str">
        <f t="shared" si="86"/>
        <v>OK</v>
      </c>
    </row>
    <row r="5617" spans="1:4" x14ac:dyDescent="0.2">
      <c r="A5617" s="5">
        <v>5556</v>
      </c>
      <c r="B5617" s="138">
        <f>'Revenues 9-14'!F152</f>
        <v>21244</v>
      </c>
      <c r="D5617" s="2" t="str">
        <f t="shared" si="86"/>
        <v>Error?</v>
      </c>
    </row>
    <row r="5618" spans="1:4" x14ac:dyDescent="0.2">
      <c r="A5618" s="5">
        <v>5557</v>
      </c>
      <c r="B5618" s="138">
        <f>'Revenues 9-14'!F154</f>
        <v>62142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62142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62142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116749</v>
      </c>
      <c r="C5720" s="2" t="s">
        <v>594</v>
      </c>
      <c r="D5720" s="2" t="str">
        <f t="shared" si="88"/>
        <v>Error?</v>
      </c>
    </row>
    <row r="5721" spans="1:4" x14ac:dyDescent="0.2">
      <c r="A5721" s="5">
        <v>5660</v>
      </c>
      <c r="B5721" s="138">
        <f>'Revenues 9-14'!G5</f>
        <v>19929</v>
      </c>
      <c r="D5721" s="2" t="str">
        <f t="shared" si="88"/>
        <v>Error?</v>
      </c>
    </row>
    <row r="5722" spans="1:4" x14ac:dyDescent="0.2">
      <c r="A5722" s="5">
        <v>5661</v>
      </c>
      <c r="B5722" s="138">
        <f>'Revenues 9-14'!G7</f>
        <v>0</v>
      </c>
      <c r="D5722" s="2" t="str">
        <f t="shared" si="88"/>
        <v>Error?</v>
      </c>
    </row>
    <row r="5723" spans="1:4" x14ac:dyDescent="0.2">
      <c r="A5723" s="5">
        <v>5662</v>
      </c>
      <c r="B5723" s="138">
        <f>'Revenues 9-14'!G8</f>
        <v>24899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44828</v>
      </c>
      <c r="C5725" s="2" t="s">
        <v>594</v>
      </c>
      <c r="D5725" s="2" t="str">
        <f t="shared" si="88"/>
        <v>Error?</v>
      </c>
    </row>
    <row r="5726" spans="1:4" x14ac:dyDescent="0.2">
      <c r="A5726" s="5">
        <v>5665</v>
      </c>
      <c r="B5726" s="138">
        <f>'Revenues 9-14'!G14</f>
        <v>360</v>
      </c>
      <c r="D5726" s="2" t="str">
        <f t="shared" si="88"/>
        <v>Error?</v>
      </c>
    </row>
    <row r="5727" spans="1:4" x14ac:dyDescent="0.2">
      <c r="A5727" s="5">
        <v>5666</v>
      </c>
      <c r="B5727" s="138">
        <f>'Revenues 9-14'!G15</f>
        <v>76</v>
      </c>
      <c r="D5727" s="2" t="str">
        <f t="shared" si="88"/>
        <v>Error?</v>
      </c>
    </row>
    <row r="5728" spans="1:4" x14ac:dyDescent="0.2">
      <c r="A5728" s="5">
        <v>5667</v>
      </c>
      <c r="B5728" s="138">
        <f>'Revenues 9-14'!G16</f>
        <v>11204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11640</v>
      </c>
      <c r="C5730" s="2" t="s">
        <v>594</v>
      </c>
      <c r="D5730" s="2" t="str">
        <f t="shared" si="88"/>
        <v>Error?</v>
      </c>
    </row>
    <row r="5731" spans="1:4" x14ac:dyDescent="0.2">
      <c r="A5731" s="5">
        <v>5670</v>
      </c>
      <c r="B5731" s="138">
        <f>'Revenues 9-14'!G65</f>
        <v>1269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57737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12811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12811</v>
      </c>
      <c r="C5918" s="2" t="s">
        <v>594</v>
      </c>
      <c r="D5918" s="2" t="str">
        <f t="shared" si="91"/>
        <v>Error?</v>
      </c>
    </row>
    <row r="5919" spans="1:4" x14ac:dyDescent="0.2">
      <c r="A5919" s="5">
        <v>5858</v>
      </c>
      <c r="B5919" s="138">
        <f>'Revenues 9-14'!I14</f>
        <v>103</v>
      </c>
      <c r="D5919" s="2" t="str">
        <f t="shared" si="91"/>
        <v>Error?</v>
      </c>
    </row>
    <row r="5920" spans="1:4" x14ac:dyDescent="0.2">
      <c r="A5920" s="5">
        <v>5859</v>
      </c>
      <c r="B5920" s="138">
        <f>'Revenues 9-14'!I15</f>
        <v>22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125</v>
      </c>
      <c r="C5923" s="2" t="s">
        <v>594</v>
      </c>
      <c r="D5923" s="2" t="str">
        <f t="shared" si="91"/>
        <v>Error?</v>
      </c>
    </row>
    <row r="5924" spans="1:4" x14ac:dyDescent="0.2">
      <c r="A5924" s="5">
        <v>5863</v>
      </c>
      <c r="B5924" s="138">
        <f>'Revenues 9-14'!I65</f>
        <v>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12978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12811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12811</v>
      </c>
      <c r="C5987" s="2" t="s">
        <v>594</v>
      </c>
      <c r="D5987" s="2" t="str">
        <f t="shared" si="92"/>
        <v>Error?</v>
      </c>
    </row>
    <row r="5988" spans="1:4" x14ac:dyDescent="0.2">
      <c r="A5988" s="5">
        <v>5927</v>
      </c>
      <c r="B5988" s="138">
        <f>'Revenues 9-14'!K14</f>
        <v>103</v>
      </c>
      <c r="D5988" s="2" t="str">
        <f t="shared" si="92"/>
        <v>Error?</v>
      </c>
    </row>
    <row r="5989" spans="1:4" x14ac:dyDescent="0.2">
      <c r="A5989" s="5">
        <v>5928</v>
      </c>
      <c r="B5989" s="138">
        <f>'Revenues 9-14'!K15</f>
        <v>22</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125</v>
      </c>
      <c r="C5992" s="2" t="s">
        <v>594</v>
      </c>
      <c r="D5992" s="2" t="str">
        <f t="shared" si="92"/>
        <v>Error?</v>
      </c>
    </row>
    <row r="5993" spans="1:4" x14ac:dyDescent="0.2">
      <c r="A5993" s="5">
        <v>5932</v>
      </c>
      <c r="B5993" s="138">
        <f>'Revenues 9-14'!K65</f>
        <v>165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13101</v>
      </c>
      <c r="C6023" s="2" t="s">
        <v>594</v>
      </c>
      <c r="D6023" s="2" t="str">
        <f t="shared" si="93"/>
        <v>Error?</v>
      </c>
    </row>
    <row r="6024" spans="1:5" x14ac:dyDescent="0.2">
      <c r="A6024" s="5">
        <v>5963</v>
      </c>
      <c r="B6024" s="138">
        <f>'Revenues 9-14'!G109</f>
        <v>57737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12978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13101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33990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266.85000000000002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45729</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164</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109</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36262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45729</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36262</v>
      </c>
      <c r="D6215" s="2" t="str">
        <f t="shared" si="96"/>
        <v>Error?</v>
      </c>
      <c r="E6215" s="2" t="s">
        <v>199</v>
      </c>
    </row>
    <row r="6216" spans="1:5" x14ac:dyDescent="0.2">
      <c r="A6216">
        <v>6155</v>
      </c>
      <c r="B6216" s="138">
        <f>'Assets-Liab 5-6'!J41</f>
        <v>36262</v>
      </c>
      <c r="D6216" s="2" t="str">
        <f t="shared" si="96"/>
        <v>Error?</v>
      </c>
      <c r="E6216" s="2" t="s">
        <v>199</v>
      </c>
    </row>
    <row r="6217" spans="1:5" x14ac:dyDescent="0.2">
      <c r="A6217">
        <v>6156</v>
      </c>
      <c r="B6217" s="138">
        <f>'Assets-Liab 5-6'!J4</f>
        <v>36262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229326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229326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229326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273265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273265</v>
      </c>
      <c r="D6229" s="2" t="str">
        <f t="shared" si="96"/>
        <v>Error?</v>
      </c>
      <c r="E6229" s="2" t="s">
        <v>199</v>
      </c>
    </row>
    <row r="6230" spans="1:5" x14ac:dyDescent="0.2">
      <c r="A6230">
        <v>6169</v>
      </c>
      <c r="B6230" s="138">
        <f>'Acct Summary 7-8'!J20</f>
        <v>-43939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-43939</v>
      </c>
      <c r="D6263" s="2" t="str">
        <f t="shared" si="96"/>
        <v>Error?</v>
      </c>
      <c r="E6263" s="2" t="s">
        <v>199</v>
      </c>
    </row>
    <row r="6264" spans="1:5" x14ac:dyDescent="0.2">
      <c r="A6264">
        <v>6203</v>
      </c>
      <c r="B6264" s="138">
        <f>'Acct Summary 7-8'!J79</f>
        <v>80201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36262</v>
      </c>
      <c r="D6266" s="2" t="str">
        <f t="shared" si="96"/>
        <v>Error?</v>
      </c>
      <c r="E6266" s="2" t="s">
        <v>199</v>
      </c>
    </row>
    <row r="6267" spans="1:5" x14ac:dyDescent="0.2">
      <c r="A6267">
        <v>6206</v>
      </c>
      <c r="B6267" s="138">
        <f>'Acct Summary 7-8'!C82</f>
        <v>247674</v>
      </c>
      <c r="D6267" s="2" t="str">
        <f t="shared" si="96"/>
        <v>Error?</v>
      </c>
      <c r="E6267" s="2" t="s">
        <v>199</v>
      </c>
    </row>
    <row r="6268" spans="1:5" x14ac:dyDescent="0.2">
      <c r="A6268">
        <v>6207</v>
      </c>
      <c r="B6268" s="138">
        <f>'Acct Summary 7-8'!D82</f>
        <v>-45533</v>
      </c>
      <c r="D6268" s="2" t="str">
        <f t="shared" si="96"/>
        <v>Error?</v>
      </c>
      <c r="E6268" s="2" t="s">
        <v>199</v>
      </c>
    </row>
    <row r="6269" spans="1:5" x14ac:dyDescent="0.2">
      <c r="A6269">
        <v>6208</v>
      </c>
      <c r="B6269" s="138">
        <f>'Acct Summary 7-8'!E82</f>
        <v>1829</v>
      </c>
      <c r="D6269" s="2" t="str">
        <f t="shared" si="96"/>
        <v>Error?</v>
      </c>
      <c r="E6269" s="2" t="s">
        <v>199</v>
      </c>
    </row>
    <row r="6270" spans="1:5" x14ac:dyDescent="0.2">
      <c r="A6270">
        <v>6209</v>
      </c>
      <c r="B6270" s="138">
        <f>'Acct Summary 7-8'!F82</f>
        <v>25509</v>
      </c>
      <c r="D6270" s="2" t="str">
        <f t="shared" si="96"/>
        <v>Error?</v>
      </c>
      <c r="E6270" s="2" t="s">
        <v>199</v>
      </c>
    </row>
    <row r="6271" spans="1:5" x14ac:dyDescent="0.2">
      <c r="A6271">
        <v>6210</v>
      </c>
      <c r="B6271" s="138">
        <f>'Acct Summary 7-8'!G82</f>
        <v>-17627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-43939</v>
      </c>
      <c r="D6274" s="2" t="str">
        <f t="shared" si="97"/>
        <v>Error?</v>
      </c>
      <c r="E6274" s="2" t="s">
        <v>199</v>
      </c>
    </row>
    <row r="6275" spans="1:5" x14ac:dyDescent="0.2">
      <c r="A6275">
        <v>6214</v>
      </c>
      <c r="B6275" s="138">
        <f>'Acct Summary 7-8'!K82</f>
        <v>13101</v>
      </c>
      <c r="D6275" s="2" t="str">
        <f t="shared" si="97"/>
        <v>Error?</v>
      </c>
      <c r="E6275" s="2" t="s">
        <v>199</v>
      </c>
    </row>
    <row r="6276" spans="1:5" x14ac:dyDescent="0.2">
      <c r="A6276">
        <v>6215</v>
      </c>
      <c r="B6276" s="138">
        <f>'Acct Summary 7-8'!C83</f>
        <v>0.14865396123067431</v>
      </c>
      <c r="D6276" s="2" t="str">
        <f t="shared" si="97"/>
        <v>Error?</v>
      </c>
      <c r="E6276" s="2" t="s">
        <v>199</v>
      </c>
    </row>
    <row r="6277" spans="1:5" x14ac:dyDescent="0.2">
      <c r="A6277">
        <v>6216</v>
      </c>
      <c r="B6277" s="138">
        <f>'Acct Summary 7-8'!D83</f>
        <v>1.0380020972963115</v>
      </c>
      <c r="D6277" s="2" t="str">
        <f t="shared" si="97"/>
        <v>Error?</v>
      </c>
      <c r="E6277" s="2" t="s">
        <v>199</v>
      </c>
    </row>
    <row r="6278" spans="1:5" x14ac:dyDescent="0.2">
      <c r="A6278">
        <v>6217</v>
      </c>
      <c r="B6278" s="138">
        <f>'Acct Summary 7-8'!E83</f>
        <v>1.8930024115339634E-2</v>
      </c>
      <c r="D6278" s="2" t="str">
        <f t="shared" si="97"/>
        <v>Error?</v>
      </c>
      <c r="E6278" s="2" t="s">
        <v>199</v>
      </c>
    </row>
    <row r="6279" spans="1:5" x14ac:dyDescent="0.2">
      <c r="A6279">
        <v>6218</v>
      </c>
      <c r="B6279" s="138">
        <f>'Acct Summary 7-8'!F83</f>
        <v>0.10591107438977301</v>
      </c>
      <c r="D6279" s="2" t="str">
        <f t="shared" si="97"/>
        <v>Error?</v>
      </c>
      <c r="E6279" s="2" t="s">
        <v>199</v>
      </c>
    </row>
    <row r="6280" spans="1:5" x14ac:dyDescent="0.2">
      <c r="A6280">
        <v>6219</v>
      </c>
      <c r="B6280" s="138">
        <f>'Acct Summary 7-8'!G83</f>
        <v>-6.8475110907381648E-2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-1.2117092272902763</v>
      </c>
      <c r="D6283" s="2" t="str">
        <f t="shared" si="97"/>
        <v>Error?</v>
      </c>
      <c r="E6283" s="2" t="s">
        <v>199</v>
      </c>
    </row>
    <row r="6284" spans="1:5" x14ac:dyDescent="0.2">
      <c r="A6284">
        <v>6223</v>
      </c>
      <c r="B6284" s="138">
        <f>'Acct Summary 7-8'!K83</f>
        <v>0.34551784160139254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226092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226092</v>
      </c>
      <c r="D6301" s="2" t="str">
        <f t="shared" si="97"/>
        <v>Error?</v>
      </c>
      <c r="E6301" s="2" t="s">
        <v>199</v>
      </c>
    </row>
    <row r="6302" spans="1:5" x14ac:dyDescent="0.2">
      <c r="A6302">
        <v>6241</v>
      </c>
      <c r="B6302" s="138">
        <f>'Revenues 9-14'!J14</f>
        <v>1813</v>
      </c>
      <c r="D6302" s="2" t="str">
        <f t="shared" si="97"/>
        <v>Error?</v>
      </c>
      <c r="E6302" s="2" t="s">
        <v>199</v>
      </c>
    </row>
    <row r="6303" spans="1:5" x14ac:dyDescent="0.2">
      <c r="A6303">
        <v>6242</v>
      </c>
      <c r="B6303" s="138">
        <f>'Revenues 9-14'!J15</f>
        <v>385</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2198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1036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1036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229326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1817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65155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73742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273265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229326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2618</v>
      </c>
      <c r="D7073" s="2" t="str">
        <f t="shared" si="109"/>
        <v>Error?</v>
      </c>
    </row>
    <row r="7074" spans="1:4" x14ac:dyDescent="0.2">
      <c r="A7074">
        <v>7013</v>
      </c>
      <c r="B7074" s="138">
        <f>'Expenditures 15-22'!K216</f>
        <v>2618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68</v>
      </c>
      <c r="D7079" s="2" t="str">
        <f t="shared" si="109"/>
        <v>Error?</v>
      </c>
    </row>
    <row r="7080" spans="1:4" x14ac:dyDescent="0.2">
      <c r="A7080">
        <v>7019</v>
      </c>
      <c r="B7080" s="138">
        <f>'Expenditures 15-22'!K226</f>
        <v>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10553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10553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50524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50524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111308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79480</v>
      </c>
      <c r="D7174" s="2" t="str">
        <f t="shared" si="111"/>
        <v>Error?</v>
      </c>
    </row>
    <row r="7175" spans="1:4" x14ac:dyDescent="0.2">
      <c r="A7175">
        <v>7114</v>
      </c>
      <c r="B7175" s="138">
        <f>'Expenditures 15-22'!F325</f>
        <v>328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191116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21072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21072</v>
      </c>
      <c r="D7198" s="2" t="str">
        <f t="shared" si="111"/>
        <v>Error?</v>
      </c>
    </row>
    <row r="7199" spans="1:4" x14ac:dyDescent="0.2">
      <c r="A7199">
        <v>7138</v>
      </c>
      <c r="B7199" s="138">
        <f>'Expenditures 15-22'!C330</f>
        <v>111308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161629</v>
      </c>
      <c r="D7201" s="2" t="str">
        <f t="shared" si="111"/>
        <v>Error?</v>
      </c>
    </row>
    <row r="7202" spans="1:4" x14ac:dyDescent="0.2">
      <c r="A7202">
        <v>7141</v>
      </c>
      <c r="B7202" s="138">
        <f>'Expenditures 15-22'!F330</f>
        <v>328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273265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111308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161629</v>
      </c>
      <c r="D7218" s="2" t="str">
        <f t="shared" si="111"/>
        <v>Error?</v>
      </c>
    </row>
    <row r="7219" spans="1:4" x14ac:dyDescent="0.2">
      <c r="A7219">
        <v>7158</v>
      </c>
      <c r="B7219" s="138">
        <f>'Expenditures 15-22'!F342</f>
        <v>328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273265</v>
      </c>
      <c r="D7224" s="2" t="str">
        <f t="shared" si="111"/>
        <v>Error?</v>
      </c>
    </row>
    <row r="7225" spans="1:4" x14ac:dyDescent="0.2">
      <c r="A7225">
        <v>7164</v>
      </c>
      <c r="B7225" s="138">
        <f>'Expenditures 15-22'!K343</f>
        <v>-43939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2443</v>
      </c>
      <c r="D7246" s="2" t="str">
        <f t="shared" si="112"/>
        <v>Error?</v>
      </c>
    </row>
    <row r="7247" spans="1:4" x14ac:dyDescent="0.2">
      <c r="A7247">
        <f t="shared" si="113"/>
        <v>7186</v>
      </c>
      <c r="B7247" s="138">
        <f>'Expenditures 15-22'!E7</f>
        <v>902</v>
      </c>
      <c r="D7247" s="2" t="str">
        <f t="shared" si="112"/>
        <v>Error?</v>
      </c>
    </row>
    <row r="7248" spans="1:4" x14ac:dyDescent="0.2">
      <c r="A7248">
        <f t="shared" si="113"/>
        <v>7187</v>
      </c>
      <c r="B7248" s="138">
        <f>'Expenditures 15-22'!F7</f>
        <v>5242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4715</v>
      </c>
      <c r="D7263" s="2" t="str">
        <f t="shared" si="112"/>
        <v>Error?</v>
      </c>
    </row>
    <row r="7264" spans="1:4" x14ac:dyDescent="0.2">
      <c r="A7264">
        <f t="shared" si="113"/>
        <v>7203</v>
      </c>
      <c r="B7264" s="138">
        <f>'Expenditures 15-22'!D17</f>
        <v>44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215925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3450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3450</v>
      </c>
      <c r="D7719" s="2" t="str">
        <f t="shared" si="126"/>
        <v>Error?</v>
      </c>
      <c r="E7719" s="2" t="s">
        <v>881</v>
      </c>
    </row>
    <row r="7720" spans="1:6" x14ac:dyDescent="0.2">
      <c r="A7720">
        <v>7659</v>
      </c>
      <c r="B7720" s="138">
        <f>'Rest Tax Levies-Tort Im 25'!H14</f>
        <v>10249</v>
      </c>
      <c r="D7720" s="2" t="str">
        <f t="shared" si="126"/>
        <v>Error?</v>
      </c>
      <c r="E7720" s="2" t="s">
        <v>881</v>
      </c>
    </row>
    <row r="7721" spans="1:6" x14ac:dyDescent="0.2">
      <c r="A7721">
        <v>7660</v>
      </c>
      <c r="B7721" s="138">
        <f>'Rest Tax Levies-Tort Im 25'!K14</f>
        <v>3450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29'!D35</f>
        <v>234977</v>
      </c>
      <c r="D7797" s="2" t="str">
        <f t="shared" si="127"/>
        <v>Error?</v>
      </c>
      <c r="E7797" s="4" t="s">
        <v>2019</v>
      </c>
    </row>
    <row r="7798" spans="1:5" x14ac:dyDescent="0.2">
      <c r="A7798">
        <v>7737</v>
      </c>
      <c r="B7798" s="138">
        <f>'Contracts Paid in CY 29'!F35</f>
        <v>50000</v>
      </c>
      <c r="D7798" s="2" t="str">
        <f t="shared" si="127"/>
        <v>Error?</v>
      </c>
      <c r="E7798" s="4" t="s">
        <v>2019</v>
      </c>
    </row>
    <row r="7799" spans="1:5" x14ac:dyDescent="0.2">
      <c r="A7799">
        <v>7738</v>
      </c>
      <c r="B7799" s="138">
        <f>'Contracts Paid in CY 29'!G35</f>
        <v>118667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Clay City CUSD 10</v>
      </c>
      <c r="B7" s="2402"/>
      <c r="C7" s="2402"/>
      <c r="D7" s="2439"/>
      <c r="E7" s="2440">
        <f>COVER!A13</f>
        <v>12013010026</v>
      </c>
      <c r="F7" s="2441"/>
      <c r="G7" s="2408" t="str">
        <f>COVER!T23</f>
        <v>060-009547</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Greg M. McCalley &amp; Ass. P.C.</v>
      </c>
      <c r="H9" s="2415"/>
      <c r="I9" s="2415"/>
      <c r="J9" s="2415"/>
      <c r="K9" s="2415"/>
      <c r="L9" s="2416"/>
    </row>
    <row r="10" spans="1:29" ht="13.5" customHeight="1" x14ac:dyDescent="0.2">
      <c r="A10" s="2398">
        <f>COVER!A38</f>
        <v>0</v>
      </c>
      <c r="B10" s="2399"/>
      <c r="C10" s="2399"/>
      <c r="D10" s="2399"/>
      <c r="E10" s="2399"/>
      <c r="F10" s="2400"/>
      <c r="G10" s="2414" t="str">
        <f>COVER!T17</f>
        <v>855 East Ferguson Ave.</v>
      </c>
      <c r="H10" s="2427"/>
      <c r="I10" s="2427"/>
      <c r="J10" s="2427"/>
      <c r="K10" s="2427"/>
      <c r="L10" s="2428"/>
    </row>
    <row r="11" spans="1:29" ht="13.5" customHeight="1" x14ac:dyDescent="0.2">
      <c r="A11" s="1185" t="s">
        <v>1599</v>
      </c>
      <c r="B11" s="1186"/>
      <c r="C11" s="1187"/>
      <c r="D11" s="1192"/>
      <c r="E11" s="1187"/>
      <c r="F11" s="1191"/>
      <c r="G11" s="2414" t="str">
        <f>COVER!T19</f>
        <v>Wood River</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Greg@dmacpa.com</v>
      </c>
      <c r="J13" s="2436"/>
      <c r="K13" s="2436"/>
      <c r="L13" s="2437"/>
    </row>
    <row r="14" spans="1:29" ht="13.5" customHeight="1" x14ac:dyDescent="0.2">
      <c r="A14" s="2414" t="str">
        <f>COVER!A19</f>
        <v>706 South Walnut</v>
      </c>
      <c r="B14" s="2427"/>
      <c r="C14" s="2427"/>
      <c r="D14" s="2427"/>
      <c r="E14" s="2427"/>
      <c r="F14" s="2428"/>
      <c r="G14" s="1196" t="s">
        <v>1247</v>
      </c>
      <c r="H14" s="1194"/>
      <c r="I14" s="1194"/>
      <c r="J14" s="1194"/>
      <c r="K14" s="1194"/>
      <c r="L14" s="1195"/>
    </row>
    <row r="15" spans="1:29" ht="13.5" customHeight="1" x14ac:dyDescent="0.2">
      <c r="A15" s="2414" t="str">
        <f>COVER!A21</f>
        <v xml:space="preserve">Clay City  </v>
      </c>
      <c r="B15" s="2427"/>
      <c r="C15" s="2427"/>
      <c r="D15" s="2427"/>
      <c r="E15" s="2427"/>
      <c r="F15" s="2428"/>
      <c r="G15" s="2424" t="str">
        <f>COVER!T15</f>
        <v xml:space="preserve">Greg M. McCalley  </v>
      </c>
      <c r="H15" s="2425"/>
      <c r="I15" s="2425"/>
      <c r="J15" s="2425"/>
      <c r="K15" s="2425"/>
      <c r="L15" s="2426"/>
    </row>
    <row r="16" spans="1:29" ht="12.2" customHeight="1" x14ac:dyDescent="0.2">
      <c r="A16" s="2404">
        <f>COVER!A25</f>
        <v>62824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(618)254-8188</v>
      </c>
      <c r="H18" s="2402"/>
      <c r="I18" s="2402"/>
      <c r="J18" s="2402"/>
      <c r="K18" s="2401" t="str">
        <f>COVER!X21</f>
        <v>(618)254-8680</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Clay City CUSD 10</v>
      </c>
      <c r="B1" s="2438"/>
      <c r="C1" s="2438"/>
      <c r="D1" s="2438"/>
    </row>
    <row r="2" spans="1:11" s="1215" customFormat="1" ht="12.75" x14ac:dyDescent="0.2">
      <c r="A2" s="2443">
        <f>'Single Audit Cover'!E7</f>
        <v>12013010026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Clay City CUSD 10</v>
      </c>
      <c r="B1" s="2446"/>
      <c r="C1" s="2446"/>
      <c r="D1" s="2446"/>
      <c r="E1" s="2446"/>
    </row>
    <row r="2" spans="1:5" x14ac:dyDescent="0.2">
      <c r="A2" s="2447">
        <f>'Single Audit Cover'!E7</f>
        <v>12013010026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212220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212220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212220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212220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Clay City CUSD 10</v>
      </c>
      <c r="B1" s="2451"/>
      <c r="C1" s="2451"/>
      <c r="D1" s="2451"/>
      <c r="E1" s="2451"/>
      <c r="F1" s="2451"/>
    </row>
    <row r="2" spans="1:7" ht="13.5" customHeight="1" x14ac:dyDescent="0.2">
      <c r="A2" s="2452">
        <f>'Single Audit Cover'!E7</f>
        <v>12013010026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65" t="s">
        <v>1332</v>
      </c>
      <c r="D15" s="2456" t="s">
        <v>1331</v>
      </c>
      <c r="E15" s="2456"/>
      <c r="F15" s="2456"/>
    </row>
    <row r="16" spans="1:7" ht="13.5" customHeight="1" x14ac:dyDescent="0.2">
      <c r="A16" s="1282"/>
      <c r="B16" s="1276" t="s">
        <v>1330</v>
      </c>
      <c r="C16" s="1865"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60">
        <f>+C33+C34</f>
        <v>0</v>
      </c>
      <c r="F34" s="2461"/>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4"/>
      <c r="C50" s="1864"/>
      <c r="D50" s="1864"/>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Clay City CUSD 10</v>
      </c>
      <c r="C1" s="2463"/>
      <c r="D1" s="2463"/>
      <c r="E1" s="2463"/>
      <c r="F1" s="2463"/>
      <c r="G1" s="2463"/>
      <c r="H1" s="2463"/>
      <c r="I1" s="2463"/>
      <c r="J1" s="2463"/>
      <c r="K1" s="2463"/>
      <c r="L1" s="2463"/>
      <c r="M1" s="2463"/>
    </row>
    <row r="2" spans="2:14" ht="15" x14ac:dyDescent="0.2">
      <c r="B2" s="2452">
        <f>'Single Audit Cover'!E7</f>
        <v>12013010026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2090</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75"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Clay City CUSD 10</v>
      </c>
      <c r="C1" s="2471"/>
      <c r="D1" s="2471"/>
      <c r="E1" s="2471"/>
      <c r="F1" s="2471"/>
      <c r="G1" s="2471"/>
      <c r="H1" s="2471"/>
      <c r="I1" s="2471"/>
      <c r="J1" s="1422"/>
    </row>
    <row r="2" spans="2:10" s="317" customFormat="1" ht="12.75" customHeight="1" x14ac:dyDescent="0.2">
      <c r="B2" s="2472">
        <f>'Single Audit Cover'!E7</f>
        <v>12013010026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1951</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Clay City CUSD 10</v>
      </c>
      <c r="C1" s="2470"/>
      <c r="D1" s="2470"/>
      <c r="E1" s="2470"/>
      <c r="F1" s="2470"/>
      <c r="G1" s="2470"/>
      <c r="H1" s="2470"/>
      <c r="I1" s="2470"/>
      <c r="J1" s="2470"/>
      <c r="K1" s="2470"/>
      <c r="L1" s="1374"/>
      <c r="M1" s="1374"/>
    </row>
    <row r="2" spans="1:13" ht="12" customHeight="1" x14ac:dyDescent="0.2">
      <c r="B2" s="2472">
        <f>'Single Audit Cover'!E7</f>
        <v>12013010026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Clay City CUSD 10</v>
      </c>
      <c r="C1" s="2497"/>
      <c r="D1" s="2497"/>
      <c r="E1" s="2497"/>
      <c r="F1" s="2497"/>
      <c r="G1" s="2497"/>
      <c r="H1" s="2497"/>
      <c r="I1" s="2497"/>
      <c r="J1" s="2497"/>
      <c r="K1" s="2497"/>
      <c r="L1" s="1465"/>
    </row>
    <row r="2" spans="1:12" ht="12.75" customHeight="1" x14ac:dyDescent="0.2">
      <c r="B2" s="2498">
        <f>'Single Audit Cover'!E7</f>
        <v>12013010026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Clay City CUSD 10</v>
      </c>
      <c r="C1" s="2470"/>
      <c r="D1" s="2470"/>
      <c r="E1" s="1491"/>
    </row>
    <row r="2" spans="2:5" s="1282" customFormat="1" ht="12.75" customHeight="1" x14ac:dyDescent="0.2">
      <c r="B2" s="2472">
        <f>'Single Audit Cover'!E7</f>
        <v>12013010026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27437760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2.1000000000000001E-2</v>
      </c>
      <c r="E10" s="356" t="s">
        <v>1062</v>
      </c>
      <c r="F10" s="355">
        <v>5.0000000000000001E-3</v>
      </c>
      <c r="G10" s="356" t="s">
        <v>1062</v>
      </c>
      <c r="H10" s="355">
        <v>2E-3</v>
      </c>
      <c r="I10" s="356" t="s">
        <v>1063</v>
      </c>
      <c r="J10" s="1751">
        <f>ROUND(D10+F10+H10,5)</f>
        <v>2.8000000000000001E-2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2591122</v>
      </c>
      <c r="E16" s="356"/>
      <c r="F16" s="1752">
        <f>SUM('Acct Summary 7-8'!C17,'Acct Summary 7-8'!D17,'Acct Summary 7-8'!F17)</f>
        <v>2363472</v>
      </c>
      <c r="G16" s="356"/>
      <c r="H16" s="1752">
        <f>SUM(D16-F16)</f>
        <v>227650</v>
      </c>
      <c r="I16" s="222"/>
      <c r="J16" s="1752">
        <f>SUM('Acct Summary 7-8'!C81,'Acct Summary 7-8'!D81,'Acct Summary 7-8'!F81,'Acct Summary 7-8'!I81)</f>
        <v>1863098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3786410.8800000004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1190800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76"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Clay City CUSD 10</v>
      </c>
      <c r="E7" s="391"/>
      <c r="G7" s="252"/>
      <c r="H7" s="387"/>
      <c r="I7" s="387"/>
      <c r="J7" s="387"/>
      <c r="K7" s="387"/>
      <c r="L7" s="329"/>
      <c r="M7" s="329"/>
      <c r="N7" s="329"/>
      <c r="O7" s="329"/>
      <c r="P7" s="329"/>
    </row>
    <row r="8" spans="1:18" ht="12.75" x14ac:dyDescent="0.2">
      <c r="A8" s="329"/>
      <c r="B8" s="329"/>
      <c r="C8" s="389" t="s">
        <v>1187</v>
      </c>
      <c r="D8" s="392">
        <f>COVER!A13</f>
        <v>12013010026</v>
      </c>
      <c r="E8" s="393"/>
      <c r="G8" s="329"/>
      <c r="H8" s="329"/>
      <c r="I8" s="329"/>
      <c r="J8" s="329"/>
      <c r="K8" s="329"/>
      <c r="L8" s="329"/>
      <c r="M8" s="329"/>
      <c r="N8" s="329"/>
      <c r="O8" s="329"/>
      <c r="P8" s="329"/>
    </row>
    <row r="9" spans="1:18" ht="12.75" x14ac:dyDescent="0.2">
      <c r="A9" s="329"/>
      <c r="B9" s="329"/>
      <c r="C9" s="389" t="s">
        <v>737</v>
      </c>
      <c r="D9" s="394" t="str">
        <f>COVER!A15</f>
        <v>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1863098</v>
      </c>
      <c r="I12" s="404"/>
      <c r="J12" s="404"/>
      <c r="K12" s="405">
        <f>TRUNC((H12/H13*100000),5)/100000</f>
        <v>0.71903136940000001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2591122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2363472</v>
      </c>
      <c r="I17" s="404"/>
      <c r="J17" s="416"/>
      <c r="K17" s="405">
        <f>TRUNC((H17/H18*100000),5)/100000</f>
        <v>0.91214230740000002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2591122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1864274</v>
      </c>
      <c r="I24" s="422"/>
      <c r="J24" s="422"/>
      <c r="K24" s="423">
        <f>TRUNC(((H24/H25*100000)/100000),2)</f>
        <v>283.95999999999998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6565.2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653018.68799999997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1190800</v>
      </c>
      <c r="I32" s="420"/>
      <c r="J32" s="420"/>
      <c r="K32" s="423">
        <f>TRUNC(100-((((H32/H33*100))*100)/100),2)</f>
        <v>68.55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3786410.8800000004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77"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8"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1621686</v>
      </c>
      <c r="D4" s="466">
        <v>1699</v>
      </c>
      <c r="E4" s="466">
        <v>96619</v>
      </c>
      <c r="F4" s="466">
        <v>240889</v>
      </c>
      <c r="G4" s="466">
        <v>257313</v>
      </c>
      <c r="H4" s="466"/>
      <c r="I4" s="466"/>
      <c r="J4" s="467">
        <v>36262</v>
      </c>
      <c r="K4" s="466">
        <v>37917</v>
      </c>
      <c r="L4" s="466">
        <v>96923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45729</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164</v>
      </c>
      <c r="E11" s="467"/>
      <c r="F11" s="467"/>
      <c r="G11" s="467">
        <v>109</v>
      </c>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1667415</v>
      </c>
      <c r="D13" s="1756">
        <f t="shared" ref="D13:L13" si="0">SUM(D4:D12)</f>
        <v>1863</v>
      </c>
      <c r="E13" s="1756">
        <f t="shared" si="0"/>
        <v>96619</v>
      </c>
      <c r="F13" s="1756">
        <f t="shared" si="0"/>
        <v>240889</v>
      </c>
      <c r="G13" s="1756">
        <f t="shared" si="0"/>
        <v>257422</v>
      </c>
      <c r="H13" s="1756">
        <f t="shared" si="0"/>
        <v>0</v>
      </c>
      <c r="I13" s="1756">
        <f t="shared" si="0"/>
        <v>0</v>
      </c>
      <c r="J13" s="1756">
        <f t="shared" si="0"/>
        <v>36262</v>
      </c>
      <c r="K13" s="1756">
        <f t="shared" si="0"/>
        <v>37917</v>
      </c>
      <c r="L13" s="1756">
        <f t="shared" si="0"/>
        <v>96923</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33070</v>
      </c>
      <c r="N16" s="484"/>
    </row>
    <row r="17" spans="1:14" s="485" customFormat="1" ht="12.75" customHeight="1" x14ac:dyDescent="0.2">
      <c r="A17" s="482" t="s">
        <v>1470</v>
      </c>
      <c r="B17" s="483">
        <v>230</v>
      </c>
      <c r="C17" s="477"/>
      <c r="D17" s="477"/>
      <c r="E17" s="477"/>
      <c r="F17" s="477"/>
      <c r="G17" s="477"/>
      <c r="H17" s="477"/>
      <c r="I17" s="477"/>
      <c r="J17" s="477"/>
      <c r="K17" s="477"/>
      <c r="L17" s="477"/>
      <c r="M17" s="467">
        <v>8972196</v>
      </c>
      <c r="N17" s="484"/>
    </row>
    <row r="18" spans="1:14" s="485" customFormat="1" ht="12.75" customHeight="1" x14ac:dyDescent="0.2">
      <c r="A18" s="482" t="s">
        <v>1471</v>
      </c>
      <c r="B18" s="483">
        <v>240</v>
      </c>
      <c r="C18" s="477"/>
      <c r="D18" s="477"/>
      <c r="E18" s="477"/>
      <c r="F18" s="477"/>
      <c r="G18" s="477"/>
      <c r="H18" s="477"/>
      <c r="I18" s="477"/>
      <c r="J18" s="477"/>
      <c r="K18" s="477"/>
      <c r="L18" s="477"/>
      <c r="M18" s="467">
        <v>1690076</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96619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1094181</v>
      </c>
    </row>
    <row r="23" spans="1:14" ht="13.5" customHeight="1" thickBot="1" x14ac:dyDescent="0.25">
      <c r="A23" s="1755" t="s">
        <v>664</v>
      </c>
      <c r="B23" s="1760"/>
      <c r="C23" s="468"/>
      <c r="D23" s="468"/>
      <c r="E23" s="468"/>
      <c r="F23" s="468"/>
      <c r="G23" s="468"/>
      <c r="H23" s="468"/>
      <c r="I23" s="468"/>
      <c r="J23" s="468"/>
      <c r="K23" s="468"/>
      <c r="L23" s="468"/>
      <c r="M23" s="1707">
        <f>SUM(M15:M22)</f>
        <v>10695342</v>
      </c>
      <c r="N23" s="1707">
        <f>SUM(N21:N22)</f>
        <v>1190800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v>45729</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1304</v>
      </c>
      <c r="D31" s="467"/>
      <c r="E31" s="467"/>
      <c r="F31" s="466">
        <v>36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96923</v>
      </c>
      <c r="M33" s="468"/>
      <c r="N33" s="469"/>
    </row>
    <row r="34" spans="1:14" ht="13.5" customHeight="1" thickBot="1" x14ac:dyDescent="0.25">
      <c r="A34" s="1757" t="s">
        <v>675</v>
      </c>
      <c r="B34" s="1758"/>
      <c r="C34" s="1759">
        <f>SUM(C25:C33)</f>
        <v>1304</v>
      </c>
      <c r="D34" s="1759">
        <f t="shared" ref="D34:K34" si="1">SUM(D25:D33)</f>
        <v>45729</v>
      </c>
      <c r="E34" s="1759">
        <f t="shared" si="1"/>
        <v>0</v>
      </c>
      <c r="F34" s="1759">
        <f t="shared" si="1"/>
        <v>36</v>
      </c>
      <c r="G34" s="1759">
        <f t="shared" si="1"/>
        <v>0</v>
      </c>
      <c r="H34" s="1759">
        <f t="shared" si="1"/>
        <v>0</v>
      </c>
      <c r="I34" s="1759">
        <f t="shared" si="1"/>
        <v>0</v>
      </c>
      <c r="J34" s="1759">
        <f t="shared" si="1"/>
        <v>0</v>
      </c>
      <c r="K34" s="1759">
        <f t="shared" si="1"/>
        <v>0</v>
      </c>
      <c r="L34" s="1740">
        <f>SUM(L33)</f>
        <v>96923</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1190800</v>
      </c>
    </row>
    <row r="37" spans="1:14" ht="13.5" thickBot="1" x14ac:dyDescent="0.25">
      <c r="A37" s="1755" t="s">
        <v>674</v>
      </c>
      <c r="B37" s="1760"/>
      <c r="C37" s="477"/>
      <c r="D37" s="477"/>
      <c r="E37" s="477"/>
      <c r="F37" s="477"/>
      <c r="G37" s="477"/>
      <c r="H37" s="477"/>
      <c r="I37" s="477"/>
      <c r="J37" s="477"/>
      <c r="K37" s="477"/>
      <c r="L37" s="480"/>
      <c r="M37" s="468"/>
      <c r="N37" s="1707">
        <f>SUM(N36:N36)</f>
        <v>1190800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1666111</v>
      </c>
      <c r="D39" s="466">
        <v>-43866</v>
      </c>
      <c r="E39" s="466">
        <v>96619</v>
      </c>
      <c r="F39" s="466">
        <v>240853</v>
      </c>
      <c r="G39" s="466">
        <v>257422</v>
      </c>
      <c r="H39" s="466"/>
      <c r="I39" s="466"/>
      <c r="J39" s="467">
        <v>36262</v>
      </c>
      <c r="K39" s="466">
        <v>37917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10695342</v>
      </c>
      <c r="N40" s="497"/>
    </row>
    <row r="41" spans="1:14" ht="13.5" customHeight="1" thickBot="1" x14ac:dyDescent="0.25">
      <c r="A41" s="1755" t="s">
        <v>676</v>
      </c>
      <c r="B41" s="1725"/>
      <c r="C41" s="1707">
        <f>(SUM(C34,C37,C38,C39))</f>
        <v>1667415</v>
      </c>
      <c r="D41" s="1707">
        <f t="shared" ref="D41:L41" si="2">SUM(D34,D37,D38:D39)</f>
        <v>1863</v>
      </c>
      <c r="E41" s="1707">
        <f t="shared" si="2"/>
        <v>96619</v>
      </c>
      <c r="F41" s="1707">
        <f t="shared" si="2"/>
        <v>240889</v>
      </c>
      <c r="G41" s="1707">
        <f t="shared" si="2"/>
        <v>257422</v>
      </c>
      <c r="H41" s="1707">
        <f t="shared" si="2"/>
        <v>0</v>
      </c>
      <c r="I41" s="1707">
        <f t="shared" si="2"/>
        <v>0</v>
      </c>
      <c r="J41" s="1707">
        <f t="shared" si="2"/>
        <v>36262</v>
      </c>
      <c r="K41" s="1707">
        <f t="shared" si="2"/>
        <v>37917</v>
      </c>
      <c r="L41" s="1707">
        <f t="shared" si="2"/>
        <v>96923</v>
      </c>
      <c r="M41" s="1707">
        <f>SUM(M40)</f>
        <v>10695342</v>
      </c>
      <c r="N41" s="1707">
        <f>SUM(N37)</f>
        <v>1190800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5" activePane="bottomLeft" state="frozenSplit"/>
      <selection activeCell="A47" sqref="A47"/>
      <selection pane="bottomLeft" activeCell="G80" sqref="G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48" t="s">
        <v>1579</v>
      </c>
      <c r="B4" s="1949">
        <v>1000</v>
      </c>
      <c r="C4" s="1761">
        <f>'Revenues 9-14'!C109</f>
        <v>702153</v>
      </c>
      <c r="D4" s="1761">
        <f>'Revenues 9-14'!D109</f>
        <v>180102</v>
      </c>
      <c r="E4" s="1761">
        <f>'Revenues 9-14'!E109</f>
        <v>291089</v>
      </c>
      <c r="F4" s="1761">
        <f>'Revenues 9-14'!F109</f>
        <v>54607</v>
      </c>
      <c r="G4" s="1761">
        <f>'Revenues 9-14'!G109</f>
        <v>57737</v>
      </c>
      <c r="H4" s="1761">
        <f>'Revenues 9-14'!H109</f>
        <v>0</v>
      </c>
      <c r="I4" s="1761">
        <f>'Revenues 9-14'!I109</f>
        <v>12978</v>
      </c>
      <c r="J4" s="1761">
        <f>'Revenues 9-14'!J109</f>
        <v>229326</v>
      </c>
      <c r="K4" s="1761">
        <f>'Revenues 9-14'!K109</f>
        <v>13101</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1366920</v>
      </c>
      <c r="D6" s="1762">
        <f>'Revenues 9-14'!D173</f>
        <v>0</v>
      </c>
      <c r="E6" s="1762">
        <f>'Revenues 9-14'!E173</f>
        <v>0</v>
      </c>
      <c r="F6" s="1762">
        <f>'Revenues 9-14'!F173</f>
        <v>62142</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212220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2281293</v>
      </c>
      <c r="D8" s="1707">
        <f t="shared" ref="D8:K8" si="0">SUM(D4:D7)</f>
        <v>180102</v>
      </c>
      <c r="E8" s="1707">
        <f t="shared" si="0"/>
        <v>291089</v>
      </c>
      <c r="F8" s="1707">
        <f t="shared" si="0"/>
        <v>116749</v>
      </c>
      <c r="G8" s="1707">
        <f t="shared" si="0"/>
        <v>57737</v>
      </c>
      <c r="H8" s="1707">
        <f t="shared" si="0"/>
        <v>0</v>
      </c>
      <c r="I8" s="1707">
        <f t="shared" si="0"/>
        <v>12978</v>
      </c>
      <c r="J8" s="1707">
        <f t="shared" si="0"/>
        <v>229326</v>
      </c>
      <c r="K8" s="1707">
        <f t="shared" si="0"/>
        <v>13101</v>
      </c>
      <c r="L8" s="347"/>
    </row>
    <row r="9" spans="1:13" ht="15.75" thickTop="1" x14ac:dyDescent="0.2">
      <c r="A9" s="514" t="s">
        <v>1752</v>
      </c>
      <c r="B9" s="515">
        <v>3998</v>
      </c>
      <c r="C9" s="481">
        <v>889467</v>
      </c>
      <c r="D9" s="516"/>
      <c r="E9" s="481"/>
      <c r="F9" s="481"/>
      <c r="G9" s="517"/>
      <c r="H9" s="481"/>
      <c r="I9" s="509" t="s">
        <v>1231</v>
      </c>
      <c r="J9" s="478"/>
      <c r="K9" s="481"/>
      <c r="L9" s="347"/>
    </row>
    <row r="10" spans="1:13" s="519" customFormat="1" ht="13.5" thickBot="1" x14ac:dyDescent="0.25">
      <c r="A10" s="1755" t="s">
        <v>1235</v>
      </c>
      <c r="B10" s="1728"/>
      <c r="C10" s="1707">
        <f>SUM(C8:C9)</f>
        <v>3170760</v>
      </c>
      <c r="D10" s="1707">
        <f t="shared" ref="D10:K10" si="1">SUM(D8:D9)</f>
        <v>180102</v>
      </c>
      <c r="E10" s="1707">
        <f t="shared" si="1"/>
        <v>291089</v>
      </c>
      <c r="F10" s="1707">
        <f t="shared" si="1"/>
        <v>116749</v>
      </c>
      <c r="G10" s="1707">
        <f t="shared" si="1"/>
        <v>57737</v>
      </c>
      <c r="H10" s="1707">
        <f t="shared" si="1"/>
        <v>0</v>
      </c>
      <c r="I10" s="1707">
        <f t="shared" si="1"/>
        <v>12978</v>
      </c>
      <c r="J10" s="1707">
        <f t="shared" si="1"/>
        <v>229326</v>
      </c>
      <c r="K10" s="1707">
        <f t="shared" si="1"/>
        <v>13101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1">
        <f>'Expenditures 15-22'!K33</f>
        <v>1297949</v>
      </c>
      <c r="D12" s="520" t="s">
        <v>1231</v>
      </c>
      <c r="E12" s="468" t="s">
        <v>1231</v>
      </c>
      <c r="F12" s="468" t="s">
        <v>1231</v>
      </c>
      <c r="G12" s="1761">
        <f>'Expenditures 15-22'!K229</f>
        <v>28063</v>
      </c>
      <c r="H12" s="521"/>
      <c r="I12" s="468" t="s">
        <v>1231</v>
      </c>
      <c r="J12" s="468" t="s">
        <v>1231</v>
      </c>
      <c r="K12" s="521" t="s">
        <v>1231</v>
      </c>
      <c r="L12" s="347"/>
    </row>
    <row r="13" spans="1:13" ht="15.75" customHeight="1" x14ac:dyDescent="0.2">
      <c r="A13" s="1598" t="s">
        <v>477</v>
      </c>
      <c r="B13" s="1600">
        <v>2000</v>
      </c>
      <c r="C13" s="1762">
        <f>'Expenditures 15-22'!K74</f>
        <v>658235</v>
      </c>
      <c r="D13" s="1762">
        <f>'Expenditures 15-22'!K129</f>
        <v>225635</v>
      </c>
      <c r="E13" s="469" t="s">
        <v>1231</v>
      </c>
      <c r="F13" s="1762">
        <f>'Expenditures 15-22'!K184</f>
        <v>91240</v>
      </c>
      <c r="G13" s="1762">
        <f>'Expenditures 15-22'!K279</f>
        <v>46555</v>
      </c>
      <c r="H13" s="1762">
        <f>'Expenditures 15-22'!K303</f>
        <v>0</v>
      </c>
      <c r="I13" s="468" t="s">
        <v>1231</v>
      </c>
      <c r="J13" s="1762">
        <f>'Expenditures 15-22'!K330</f>
        <v>273265</v>
      </c>
      <c r="K13" s="1766">
        <f>'Expenditures 15-22'!K352</f>
        <v>0</v>
      </c>
      <c r="L13" s="347"/>
    </row>
    <row r="14" spans="1:13" ht="15.75" customHeight="1" x14ac:dyDescent="0.2">
      <c r="A14" s="1598" t="s">
        <v>469</v>
      </c>
      <c r="B14" s="1600">
        <v>3000</v>
      </c>
      <c r="C14" s="1762">
        <f>'Expenditures 15-22'!K75</f>
        <v>14612</v>
      </c>
      <c r="D14" s="1762">
        <f>'Expenditures 15-22'!K130</f>
        <v>0</v>
      </c>
      <c r="E14" s="520" t="s">
        <v>1231</v>
      </c>
      <c r="F14" s="1762">
        <f>'Expenditures 15-22'!K185</f>
        <v>0</v>
      </c>
      <c r="G14" s="1762">
        <f>'Expenditures 15-22'!K280</f>
        <v>746</v>
      </c>
      <c r="H14" s="512"/>
      <c r="I14" s="468" t="s">
        <v>1231</v>
      </c>
      <c r="J14" s="468" t="s">
        <v>1231</v>
      </c>
      <c r="K14" s="512" t="s">
        <v>1231</v>
      </c>
      <c r="L14" s="347"/>
    </row>
    <row r="15" spans="1:13" ht="15.75" customHeight="1" x14ac:dyDescent="0.2">
      <c r="A15" s="1598" t="s">
        <v>109</v>
      </c>
      <c r="B15" s="1600">
        <v>4000</v>
      </c>
      <c r="C15" s="1762">
        <f>'Expenditures 15-22'!K102</f>
        <v>75801</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289260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2046597</v>
      </c>
      <c r="D17" s="1707">
        <f t="shared" si="2"/>
        <v>225635</v>
      </c>
      <c r="E17" s="1707">
        <f t="shared" si="2"/>
        <v>289260</v>
      </c>
      <c r="F17" s="1707">
        <f t="shared" si="2"/>
        <v>91240</v>
      </c>
      <c r="G17" s="1707">
        <f t="shared" si="2"/>
        <v>75364</v>
      </c>
      <c r="H17" s="1707">
        <f t="shared" si="2"/>
        <v>0</v>
      </c>
      <c r="I17" s="468"/>
      <c r="J17" s="1707">
        <f>SUM(J12:J16)</f>
        <v>273265</v>
      </c>
      <c r="K17" s="1707">
        <f>SUM(K12:K16)</f>
        <v>0</v>
      </c>
      <c r="L17" s="347"/>
    </row>
    <row r="18" spans="1:12" ht="15" customHeight="1" thickTop="1" x14ac:dyDescent="0.2">
      <c r="A18" s="1763" t="s">
        <v>1753</v>
      </c>
      <c r="B18" s="1764">
        <v>4180</v>
      </c>
      <c r="C18" s="1761">
        <f t="shared" ref="C18:H18" si="3">C9</f>
        <v>889467</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2936064</v>
      </c>
      <c r="D19" s="1707">
        <f t="shared" si="4"/>
        <v>225635</v>
      </c>
      <c r="E19" s="1707">
        <f t="shared" si="4"/>
        <v>289260</v>
      </c>
      <c r="F19" s="1707">
        <f t="shared" si="4"/>
        <v>91240</v>
      </c>
      <c r="G19" s="1707">
        <f t="shared" si="4"/>
        <v>75364</v>
      </c>
      <c r="H19" s="1707">
        <f t="shared" si="4"/>
        <v>0</v>
      </c>
      <c r="I19" s="468"/>
      <c r="J19" s="1707">
        <f>SUM(J17:J18)</f>
        <v>273265</v>
      </c>
      <c r="K19" s="1707">
        <f>SUM(K17:K18)</f>
        <v>0</v>
      </c>
      <c r="L19" s="347"/>
    </row>
    <row r="20" spans="1:12" ht="16.5" thickTop="1" thickBot="1" x14ac:dyDescent="0.25">
      <c r="A20" s="2143" t="s">
        <v>1754</v>
      </c>
      <c r="B20" s="2144"/>
      <c r="C20" s="1765">
        <f>C8-C17</f>
        <v>234696</v>
      </c>
      <c r="D20" s="1765">
        <f t="shared" ref="D20:K20" si="5">D8-D17</f>
        <v>-45533</v>
      </c>
      <c r="E20" s="1765">
        <f t="shared" si="5"/>
        <v>1829</v>
      </c>
      <c r="F20" s="1765">
        <f t="shared" si="5"/>
        <v>25509</v>
      </c>
      <c r="G20" s="1765">
        <f t="shared" si="5"/>
        <v>-17627</v>
      </c>
      <c r="H20" s="1765">
        <f t="shared" si="5"/>
        <v>0</v>
      </c>
      <c r="I20" s="1765">
        <f t="shared" si="5"/>
        <v>12978</v>
      </c>
      <c r="J20" s="1765">
        <f t="shared" si="5"/>
        <v>-43939</v>
      </c>
      <c r="K20" s="1765">
        <f t="shared" si="5"/>
        <v>13101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v>12978</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2">
        <f>SUM(C24:C43)</f>
        <v>12978</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12978</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2">
        <f t="shared" ref="C76:K76" si="7">SUM(C47:C75)</f>
        <v>0</v>
      </c>
      <c r="D76" s="1722">
        <f t="shared" si="7"/>
        <v>0</v>
      </c>
      <c r="E76" s="1722">
        <f t="shared" si="7"/>
        <v>0</v>
      </c>
      <c r="F76" s="1722">
        <f t="shared" si="7"/>
        <v>0</v>
      </c>
      <c r="G76" s="1722">
        <f t="shared" si="7"/>
        <v>0</v>
      </c>
      <c r="H76" s="1722">
        <f t="shared" si="7"/>
        <v>0</v>
      </c>
      <c r="I76" s="1722">
        <f t="shared" si="7"/>
        <v>12978</v>
      </c>
      <c r="J76" s="1722">
        <f t="shared" si="7"/>
        <v>0</v>
      </c>
      <c r="K76" s="1722">
        <f t="shared" si="7"/>
        <v>0</v>
      </c>
      <c r="L76" s="524"/>
    </row>
    <row r="77" spans="1:12" ht="14.25" thickTop="1" thickBot="1" x14ac:dyDescent="0.25">
      <c r="A77" s="2135" t="s">
        <v>1239</v>
      </c>
      <c r="B77" s="2136"/>
      <c r="C77" s="1722">
        <f t="shared" ref="C77:K77" si="8">C44-C76</f>
        <v>12978</v>
      </c>
      <c r="D77" s="1722">
        <f t="shared" si="8"/>
        <v>0</v>
      </c>
      <c r="E77" s="1722">
        <f t="shared" si="8"/>
        <v>0</v>
      </c>
      <c r="F77" s="1722">
        <f t="shared" si="8"/>
        <v>0</v>
      </c>
      <c r="G77" s="1722">
        <f t="shared" si="8"/>
        <v>0</v>
      </c>
      <c r="H77" s="1722">
        <f t="shared" si="8"/>
        <v>0</v>
      </c>
      <c r="I77" s="1722">
        <f t="shared" si="8"/>
        <v>-12978</v>
      </c>
      <c r="J77" s="1722">
        <f t="shared" si="8"/>
        <v>0</v>
      </c>
      <c r="K77" s="1722">
        <f t="shared" si="8"/>
        <v>0</v>
      </c>
      <c r="L77" s="347"/>
    </row>
    <row r="78" spans="1:12" ht="21.75" customHeight="1" thickTop="1" thickBot="1" x14ac:dyDescent="0.25">
      <c r="A78" s="2139" t="s">
        <v>618</v>
      </c>
      <c r="B78" s="2140"/>
      <c r="C78" s="1721">
        <f t="shared" ref="C78:K78" si="9">C20+C77</f>
        <v>247674</v>
      </c>
      <c r="D78" s="1721">
        <f t="shared" si="9"/>
        <v>-45533</v>
      </c>
      <c r="E78" s="1721">
        <f t="shared" si="9"/>
        <v>1829</v>
      </c>
      <c r="F78" s="1721">
        <f t="shared" si="9"/>
        <v>25509</v>
      </c>
      <c r="G78" s="1721">
        <f t="shared" si="9"/>
        <v>-17627</v>
      </c>
      <c r="H78" s="1721">
        <f t="shared" si="9"/>
        <v>0</v>
      </c>
      <c r="I78" s="1721">
        <f t="shared" si="9"/>
        <v>0</v>
      </c>
      <c r="J78" s="1721">
        <f t="shared" si="9"/>
        <v>-43939</v>
      </c>
      <c r="K78" s="1721">
        <f t="shared" si="9"/>
        <v>13101</v>
      </c>
      <c r="L78" s="533"/>
    </row>
    <row r="79" spans="1:12" ht="13.5" thickTop="1" x14ac:dyDescent="0.2">
      <c r="A79" s="1516" t="s">
        <v>2071</v>
      </c>
      <c r="B79" s="534"/>
      <c r="C79" s="478">
        <v>1418437</v>
      </c>
      <c r="D79" s="535">
        <v>1667</v>
      </c>
      <c r="E79" s="535">
        <v>94790</v>
      </c>
      <c r="F79" s="535">
        <v>215344</v>
      </c>
      <c r="G79" s="535">
        <v>275049</v>
      </c>
      <c r="H79" s="535"/>
      <c r="I79" s="535"/>
      <c r="J79" s="535">
        <v>80201</v>
      </c>
      <c r="K79" s="535">
        <v>24816</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07">
        <f>(SUM(C78:C80))</f>
        <v>1666111</v>
      </c>
      <c r="D81" s="1707">
        <f>SUM(D78:D80)</f>
        <v>-43866</v>
      </c>
      <c r="E81" s="1707">
        <f t="shared" ref="E81:K81" si="10">SUM(E78:E80)</f>
        <v>96619</v>
      </c>
      <c r="F81" s="1707">
        <f t="shared" si="10"/>
        <v>240853</v>
      </c>
      <c r="G81" s="1707">
        <f t="shared" si="10"/>
        <v>257422</v>
      </c>
      <c r="H81" s="1707">
        <f t="shared" si="10"/>
        <v>0</v>
      </c>
      <c r="I81" s="1707">
        <f t="shared" si="10"/>
        <v>0</v>
      </c>
      <c r="J81" s="1707">
        <f t="shared" si="10"/>
        <v>36262</v>
      </c>
      <c r="K81" s="1707">
        <f t="shared" si="10"/>
        <v>37917</v>
      </c>
      <c r="L81" s="347"/>
    </row>
    <row r="82" spans="1:12" ht="0.75" customHeight="1" thickTop="1" thickBot="1" x14ac:dyDescent="0.25">
      <c r="A82" s="536" t="s">
        <v>361</v>
      </c>
      <c r="B82" s="537"/>
      <c r="C82" s="538">
        <f>(C81-C79)</f>
        <v>247674</v>
      </c>
      <c r="D82" s="538">
        <f t="shared" ref="D82:K82" si="11">(D81-D79)</f>
        <v>-45533</v>
      </c>
      <c r="E82" s="538">
        <f t="shared" si="11"/>
        <v>1829</v>
      </c>
      <c r="F82" s="538">
        <f t="shared" si="11"/>
        <v>25509</v>
      </c>
      <c r="G82" s="538">
        <f t="shared" si="11"/>
        <v>-17627</v>
      </c>
      <c r="H82" s="538">
        <f t="shared" si="11"/>
        <v>0</v>
      </c>
      <c r="I82" s="538">
        <f t="shared" si="11"/>
        <v>0</v>
      </c>
      <c r="J82" s="538">
        <f t="shared" si="11"/>
        <v>-43939</v>
      </c>
      <c r="K82" s="538">
        <f t="shared" si="11"/>
        <v>13101</v>
      </c>
    </row>
    <row r="83" spans="1:12" ht="14.25" hidden="1" thickTop="1" thickBot="1" x14ac:dyDescent="0.25">
      <c r="A83" s="539" t="s">
        <v>362</v>
      </c>
      <c r="B83" s="464"/>
      <c r="C83" s="540">
        <f>C82/C81</f>
        <v>0.14865396123067431</v>
      </c>
      <c r="D83" s="540">
        <f t="shared" ref="D83:K83" si="12">D82/D81</f>
        <v>1.0380020972963115</v>
      </c>
      <c r="E83" s="540">
        <f t="shared" si="12"/>
        <v>1.8930024115339634E-2</v>
      </c>
      <c r="F83" s="540">
        <f t="shared" si="12"/>
        <v>0.10591107438977301</v>
      </c>
      <c r="G83" s="540">
        <f t="shared" si="12"/>
        <v>-6.8475110907381648E-2</v>
      </c>
      <c r="H83" s="540" t="e">
        <f t="shared" si="12"/>
        <v>#DIV/0!</v>
      </c>
      <c r="I83" s="540" t="e">
        <f t="shared" si="12"/>
        <v>#DIV/0!</v>
      </c>
      <c r="J83" s="540">
        <f t="shared" si="12"/>
        <v>-1.2117092272902763</v>
      </c>
      <c r="K83" s="540">
        <f t="shared" si="12"/>
        <v>0.34551784160139254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7"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531960</v>
      </c>
      <c r="D5" s="481">
        <v>128115</v>
      </c>
      <c r="E5" s="466">
        <v>287392</v>
      </c>
      <c r="F5" s="548">
        <v>51247</v>
      </c>
      <c r="G5" s="466">
        <v>19929</v>
      </c>
      <c r="H5" s="466"/>
      <c r="I5" s="466">
        <v>12811</v>
      </c>
      <c r="J5" s="467">
        <v>226092</v>
      </c>
      <c r="K5" s="466">
        <v>12811</v>
      </c>
    </row>
    <row r="6" spans="1:12" ht="15" x14ac:dyDescent="0.2">
      <c r="A6" s="463" t="s">
        <v>1761</v>
      </c>
      <c r="B6" s="470">
        <v>1130</v>
      </c>
      <c r="C6" s="466">
        <v>12819</v>
      </c>
      <c r="D6" s="466"/>
      <c r="E6" s="475"/>
      <c r="F6" s="475"/>
      <c r="G6" s="468"/>
      <c r="H6" s="468"/>
      <c r="I6" s="468"/>
      <c r="J6" s="468"/>
      <c r="K6" s="468"/>
    </row>
    <row r="7" spans="1:12" x14ac:dyDescent="0.2">
      <c r="A7" s="463" t="s">
        <v>112</v>
      </c>
      <c r="B7" s="549">
        <v>1140</v>
      </c>
      <c r="C7" s="466">
        <v>10249</v>
      </c>
      <c r="D7" s="466"/>
      <c r="E7" s="468"/>
      <c r="F7" s="467"/>
      <c r="G7" s="467"/>
      <c r="H7" s="467"/>
      <c r="I7" s="468"/>
      <c r="J7" s="468"/>
      <c r="K7" s="468"/>
    </row>
    <row r="8" spans="1:12" x14ac:dyDescent="0.2">
      <c r="A8" s="463" t="s">
        <v>433</v>
      </c>
      <c r="B8" s="470">
        <v>1150</v>
      </c>
      <c r="C8" s="475"/>
      <c r="D8" s="475"/>
      <c r="E8" s="477"/>
      <c r="F8" s="477"/>
      <c r="G8" s="481">
        <v>24899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555028</v>
      </c>
      <c r="D12" s="1726">
        <f t="shared" si="0"/>
        <v>128115</v>
      </c>
      <c r="E12" s="1726">
        <f t="shared" si="0"/>
        <v>287392</v>
      </c>
      <c r="F12" s="1726">
        <f t="shared" si="0"/>
        <v>51247</v>
      </c>
      <c r="G12" s="1726">
        <f t="shared" si="0"/>
        <v>44828</v>
      </c>
      <c r="H12" s="1726">
        <f t="shared" si="0"/>
        <v>0</v>
      </c>
      <c r="I12" s="1726">
        <f t="shared" si="0"/>
        <v>12811</v>
      </c>
      <c r="J12" s="1726">
        <f t="shared" si="0"/>
        <v>226092</v>
      </c>
      <c r="K12" s="1707">
        <f t="shared" si="0"/>
        <v>12811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4447</v>
      </c>
      <c r="D14" s="466">
        <v>1027</v>
      </c>
      <c r="E14" s="466">
        <v>2305</v>
      </c>
      <c r="F14" s="466">
        <v>411</v>
      </c>
      <c r="G14" s="466">
        <v>360</v>
      </c>
      <c r="H14" s="466"/>
      <c r="I14" s="466">
        <v>103</v>
      </c>
      <c r="J14" s="467">
        <v>1813</v>
      </c>
      <c r="K14" s="466">
        <v>103</v>
      </c>
    </row>
    <row r="15" spans="1:12" ht="12.75" customHeight="1" x14ac:dyDescent="0.2">
      <c r="A15" s="463" t="s">
        <v>97</v>
      </c>
      <c r="B15" s="470">
        <v>1220</v>
      </c>
      <c r="C15" s="551">
        <v>943</v>
      </c>
      <c r="D15" s="466">
        <v>218</v>
      </c>
      <c r="E15" s="466">
        <v>489</v>
      </c>
      <c r="F15" s="466">
        <v>87</v>
      </c>
      <c r="G15" s="466">
        <v>76</v>
      </c>
      <c r="H15" s="466"/>
      <c r="I15" s="466">
        <v>22</v>
      </c>
      <c r="J15" s="467">
        <v>385</v>
      </c>
      <c r="K15" s="466">
        <v>22</v>
      </c>
    </row>
    <row r="16" spans="1:12" ht="15" customHeight="1" x14ac:dyDescent="0.2">
      <c r="A16" s="463" t="s">
        <v>1762</v>
      </c>
      <c r="B16" s="549">
        <v>1230</v>
      </c>
      <c r="C16" s="551">
        <v>76143</v>
      </c>
      <c r="D16" s="466"/>
      <c r="E16" s="466"/>
      <c r="F16" s="466"/>
      <c r="G16" s="466">
        <v>11204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81533</v>
      </c>
      <c r="D18" s="1729">
        <f t="shared" ref="D18:K18" si="1">SUM(D14:D17)</f>
        <v>1245</v>
      </c>
      <c r="E18" s="1729">
        <f t="shared" si="1"/>
        <v>2794</v>
      </c>
      <c r="F18" s="1729">
        <f t="shared" si="1"/>
        <v>498</v>
      </c>
      <c r="G18" s="1729">
        <f t="shared" si="1"/>
        <v>11640</v>
      </c>
      <c r="H18" s="1729">
        <f t="shared" si="1"/>
        <v>0</v>
      </c>
      <c r="I18" s="1729">
        <f t="shared" si="1"/>
        <v>125</v>
      </c>
      <c r="J18" s="1729">
        <f t="shared" si="1"/>
        <v>2198</v>
      </c>
      <c r="K18" s="1730">
        <f t="shared" si="1"/>
        <v>125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5833</v>
      </c>
      <c r="D65" s="466">
        <v>139</v>
      </c>
      <c r="E65" s="466">
        <v>903</v>
      </c>
      <c r="F65" s="467">
        <v>1025</v>
      </c>
      <c r="G65" s="466">
        <v>1269</v>
      </c>
      <c r="H65" s="466"/>
      <c r="I65" s="466">
        <v>42</v>
      </c>
      <c r="J65" s="467">
        <v>1036</v>
      </c>
      <c r="K65" s="466">
        <v>165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5833</v>
      </c>
      <c r="D67" s="1707">
        <f t="shared" ref="D67:K67" si="2">SUM(D65:D66)</f>
        <v>139</v>
      </c>
      <c r="E67" s="1707">
        <f t="shared" si="2"/>
        <v>903</v>
      </c>
      <c r="F67" s="1707">
        <f t="shared" si="2"/>
        <v>1025</v>
      </c>
      <c r="G67" s="1707">
        <f t="shared" si="2"/>
        <v>1269</v>
      </c>
      <c r="H67" s="1707">
        <f t="shared" si="2"/>
        <v>0</v>
      </c>
      <c r="I67" s="1707">
        <f t="shared" si="2"/>
        <v>42</v>
      </c>
      <c r="J67" s="1707">
        <f t="shared" si="2"/>
        <v>1036</v>
      </c>
      <c r="K67" s="1707">
        <f t="shared" si="2"/>
        <v>165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33990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33990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4953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2275</v>
      </c>
      <c r="D81" s="466"/>
      <c r="E81" s="468"/>
      <c r="F81" s="468"/>
      <c r="G81" s="468"/>
      <c r="H81" s="468"/>
      <c r="I81" s="468"/>
      <c r="J81" s="468"/>
      <c r="K81" s="468"/>
    </row>
    <row r="82" spans="1:11" ht="12.75" customHeight="1" thickBot="1" x14ac:dyDescent="0.25">
      <c r="A82" s="1727" t="s">
        <v>259</v>
      </c>
      <c r="B82" s="1728"/>
      <c r="C82" s="1726">
        <f>SUM(C77:C81)</f>
        <v>8103</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7185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7185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50000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8100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2381</v>
      </c>
      <c r="D107" s="466">
        <v>603</v>
      </c>
      <c r="E107" s="466"/>
      <c r="F107" s="466">
        <v>1837</v>
      </c>
      <c r="G107" s="466"/>
      <c r="H107" s="466"/>
      <c r="I107" s="466"/>
      <c r="J107" s="467"/>
      <c r="K107" s="466"/>
    </row>
    <row r="108" spans="1:12" ht="12.75" customHeight="1" thickBot="1" x14ac:dyDescent="0.25">
      <c r="A108" s="1727" t="s">
        <v>508</v>
      </c>
      <c r="B108" s="1731"/>
      <c r="C108" s="1726">
        <f>SUM(C95:C107)</f>
        <v>10481</v>
      </c>
      <c r="D108" s="1726">
        <f t="shared" ref="D108:K108" si="3">SUM(D95:D107)</f>
        <v>50603</v>
      </c>
      <c r="E108" s="1726">
        <f t="shared" si="3"/>
        <v>0</v>
      </c>
      <c r="F108" s="1726">
        <f t="shared" si="3"/>
        <v>1837</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702153</v>
      </c>
      <c r="D109" s="1734">
        <f t="shared" si="4"/>
        <v>180102</v>
      </c>
      <c r="E109" s="1734">
        <f t="shared" si="4"/>
        <v>291089</v>
      </c>
      <c r="F109" s="1734">
        <f t="shared" si="4"/>
        <v>54607</v>
      </c>
      <c r="G109" s="1734">
        <f t="shared" si="4"/>
        <v>57737</v>
      </c>
      <c r="H109" s="1734">
        <f t="shared" si="4"/>
        <v>0</v>
      </c>
      <c r="I109" s="1734">
        <f t="shared" si="4"/>
        <v>12978</v>
      </c>
      <c r="J109" s="1734">
        <f t="shared" si="4"/>
        <v>229326</v>
      </c>
      <c r="K109" s="1721">
        <f t="shared" si="4"/>
        <v>13101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1205992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1205992</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19462</v>
      </c>
      <c r="D125" s="561"/>
      <c r="E125" s="468"/>
      <c r="F125" s="466"/>
      <c r="G125" s="468"/>
      <c r="H125" s="468"/>
      <c r="I125" s="468"/>
      <c r="J125" s="468"/>
      <c r="K125" s="468"/>
    </row>
    <row r="126" spans="1:11" ht="12.75" customHeight="1" x14ac:dyDescent="0.2">
      <c r="A126" s="463" t="s">
        <v>922</v>
      </c>
      <c r="B126" s="562">
        <v>3110</v>
      </c>
      <c r="C126" s="551">
        <v>16969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36431</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15842</v>
      </c>
      <c r="D133" s="466"/>
      <c r="E133" s="561"/>
      <c r="F133" s="468"/>
      <c r="G133" s="466"/>
      <c r="H133" s="468"/>
      <c r="I133" s="468"/>
      <c r="J133" s="468"/>
      <c r="K133" s="468"/>
    </row>
    <row r="134" spans="1:11" ht="12.75" customHeight="1" x14ac:dyDescent="0.2">
      <c r="A134" s="463" t="s">
        <v>690</v>
      </c>
      <c r="B134" s="562">
        <v>3220</v>
      </c>
      <c r="C134" s="551">
        <v>8584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1817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26243</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1804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3450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40898</v>
      </c>
      <c r="G151" s="467"/>
      <c r="H151" s="468"/>
      <c r="I151" s="468"/>
      <c r="J151" s="468"/>
      <c r="K151" s="468"/>
    </row>
    <row r="152" spans="1:11" ht="12.75" customHeight="1" x14ac:dyDescent="0.2">
      <c r="A152" s="463" t="s">
        <v>1117</v>
      </c>
      <c r="B152" s="562">
        <v>3510</v>
      </c>
      <c r="C152" s="551"/>
      <c r="D152" s="466"/>
      <c r="E152" s="561"/>
      <c r="F152" s="466">
        <v>21244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62142</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91500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1">
        <f t="shared" ref="C172:K172" si="6">SUM(C131,C140,C144,C145:C149,C154,C155:C170,C171)</f>
        <v>160928</v>
      </c>
      <c r="D172" s="1741">
        <f t="shared" si="6"/>
        <v>0</v>
      </c>
      <c r="E172" s="1741">
        <f t="shared" si="6"/>
        <v>0</v>
      </c>
      <c r="F172" s="1741">
        <f t="shared" si="6"/>
        <v>62142</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1366920</v>
      </c>
      <c r="D173" s="1734">
        <f>SUM(D121,D172)</f>
        <v>0</v>
      </c>
      <c r="E173" s="1734">
        <f>SUM(E121,E172)</f>
        <v>0</v>
      </c>
      <c r="F173" s="1734">
        <f t="shared" ref="F173:K173" si="7">SUM(F121,F172)</f>
        <v>62142</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17295</v>
      </c>
      <c r="D177" s="466"/>
      <c r="E177" s="467"/>
      <c r="F177" s="466"/>
      <c r="G177" s="466"/>
      <c r="H177" s="467"/>
      <c r="I177" s="467"/>
      <c r="J177" s="467"/>
      <c r="K177" s="467"/>
    </row>
    <row r="178" spans="1:11" ht="13.5" thickBot="1" x14ac:dyDescent="0.25">
      <c r="A178" s="2167" t="s">
        <v>1764</v>
      </c>
      <c r="B178" s="2168"/>
      <c r="C178" s="1726">
        <f>SUM(C176:C177)</f>
        <v>17295</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84046</v>
      </c>
      <c r="D194" s="468"/>
      <c r="E194" s="561"/>
      <c r="F194" s="468"/>
      <c r="G194" s="585"/>
      <c r="H194" s="468"/>
      <c r="I194" s="468"/>
      <c r="J194" s="468"/>
      <c r="K194" s="468"/>
    </row>
    <row r="195" spans="1:11" ht="12.75" customHeight="1" x14ac:dyDescent="0.2">
      <c r="A195" s="463" t="s">
        <v>1107</v>
      </c>
      <c r="B195" s="470">
        <v>4215</v>
      </c>
      <c r="C195" s="551">
        <v>1004</v>
      </c>
      <c r="D195" s="468"/>
      <c r="E195" s="561"/>
      <c r="F195" s="468"/>
      <c r="G195" s="585"/>
      <c r="H195" s="468"/>
      <c r="I195" s="468"/>
      <c r="J195" s="468"/>
      <c r="K195" s="468"/>
    </row>
    <row r="196" spans="1:11" ht="12.75" customHeight="1" x14ac:dyDescent="0.2">
      <c r="A196" s="463" t="s">
        <v>1119</v>
      </c>
      <c r="B196" s="470">
        <v>4220</v>
      </c>
      <c r="C196" s="551">
        <v>35642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120692</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57435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57435</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2821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2821</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33</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2061</v>
      </c>
      <c r="D227" s="466"/>
      <c r="E227" s="468"/>
      <c r="F227" s="468"/>
      <c r="G227" s="466"/>
      <c r="H227" s="468"/>
      <c r="I227" s="468"/>
      <c r="J227" s="468"/>
      <c r="K227" s="468"/>
    </row>
    <row r="228" spans="1:11" ht="12.75" customHeight="1" thickBot="1" x14ac:dyDescent="0.25">
      <c r="A228" s="1742" t="s">
        <v>1145</v>
      </c>
      <c r="B228" s="1743"/>
      <c r="C228" s="1726">
        <f>SUM(C226:C227)</f>
        <v>2061</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6504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5379</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194925</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212220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2281293</v>
      </c>
      <c r="D275" s="1734">
        <f t="shared" si="12"/>
        <v>180102</v>
      </c>
      <c r="E275" s="1734">
        <f t="shared" si="12"/>
        <v>291089</v>
      </c>
      <c r="F275" s="1734">
        <f t="shared" si="12"/>
        <v>116749</v>
      </c>
      <c r="G275" s="1734">
        <f t="shared" si="12"/>
        <v>57737</v>
      </c>
      <c r="H275" s="1734">
        <f t="shared" si="12"/>
        <v>0</v>
      </c>
      <c r="I275" s="1734">
        <f t="shared" si="12"/>
        <v>12978</v>
      </c>
      <c r="J275" s="1734">
        <f t="shared" si="12"/>
        <v>229326</v>
      </c>
      <c r="K275" s="1721">
        <f t="shared" si="12"/>
        <v>13101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3" activePane="bottomLeft" state="frozen"/>
      <selection activeCell="A47" sqref="A47"/>
      <selection pane="bottomLeft" activeCell="I323" sqref="I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677692</v>
      </c>
      <c r="D5" s="466">
        <v>16827</v>
      </c>
      <c r="E5" s="466">
        <v>52756</v>
      </c>
      <c r="F5" s="466">
        <v>69410</v>
      </c>
      <c r="G5" s="466">
        <v>3858</v>
      </c>
      <c r="H5" s="466">
        <v>22859</v>
      </c>
      <c r="I5" s="467"/>
      <c r="J5" s="467"/>
      <c r="K5" s="1690">
        <f>SUM(C5:J5)</f>
        <v>843402</v>
      </c>
      <c r="L5" s="466">
        <v>856250</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v>65155</v>
      </c>
      <c r="D7" s="467">
        <v>2443</v>
      </c>
      <c r="E7" s="467">
        <v>902</v>
      </c>
      <c r="F7" s="467">
        <v>5242</v>
      </c>
      <c r="G7" s="467"/>
      <c r="H7" s="467"/>
      <c r="I7" s="467"/>
      <c r="J7" s="467"/>
      <c r="K7" s="1690">
        <f t="shared" ref="K7:K32" si="0">SUM(C7:J7)</f>
        <v>73742</v>
      </c>
      <c r="L7" s="466">
        <v>76700</v>
      </c>
    </row>
    <row r="8" spans="1:14" x14ac:dyDescent="0.2">
      <c r="A8" s="1526" t="s">
        <v>166</v>
      </c>
      <c r="B8" s="615">
        <v>1200</v>
      </c>
      <c r="C8" s="466">
        <v>176179</v>
      </c>
      <c r="D8" s="466">
        <v>6252</v>
      </c>
      <c r="E8" s="466">
        <v>244</v>
      </c>
      <c r="F8" s="466">
        <v>1213</v>
      </c>
      <c r="G8" s="466">
        <v>332</v>
      </c>
      <c r="H8" s="466"/>
      <c r="I8" s="467"/>
      <c r="J8" s="467"/>
      <c r="K8" s="1690">
        <f t="shared" si="0"/>
        <v>184220</v>
      </c>
      <c r="L8" s="466">
        <v>198225</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37175</v>
      </c>
      <c r="D10" s="466">
        <v>2</v>
      </c>
      <c r="E10" s="466">
        <v>9122</v>
      </c>
      <c r="F10" s="466">
        <v>12786</v>
      </c>
      <c r="G10" s="466"/>
      <c r="H10" s="466"/>
      <c r="I10" s="467"/>
      <c r="J10" s="467"/>
      <c r="K10" s="1690">
        <f t="shared" si="0"/>
        <v>59085</v>
      </c>
      <c r="L10" s="466">
        <v>60910</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v>34793</v>
      </c>
      <c r="D13" s="466">
        <v>407</v>
      </c>
      <c r="E13" s="466">
        <v>1247</v>
      </c>
      <c r="F13" s="466">
        <v>3142</v>
      </c>
      <c r="G13" s="466"/>
      <c r="H13" s="466"/>
      <c r="I13" s="467"/>
      <c r="J13" s="467"/>
      <c r="K13" s="1690">
        <f t="shared" si="0"/>
        <v>39589</v>
      </c>
      <c r="L13" s="466">
        <v>41475</v>
      </c>
    </row>
    <row r="14" spans="1:14" x14ac:dyDescent="0.2">
      <c r="A14" s="1526" t="s">
        <v>1020</v>
      </c>
      <c r="B14" s="615">
        <v>1500</v>
      </c>
      <c r="C14" s="466">
        <v>74926</v>
      </c>
      <c r="D14" s="466">
        <v>926</v>
      </c>
      <c r="E14" s="466">
        <v>6961</v>
      </c>
      <c r="F14" s="466">
        <v>3700</v>
      </c>
      <c r="G14" s="466"/>
      <c r="H14" s="466">
        <v>6639</v>
      </c>
      <c r="I14" s="467"/>
      <c r="J14" s="467"/>
      <c r="K14" s="1690">
        <f t="shared" si="0"/>
        <v>93152</v>
      </c>
      <c r="L14" s="466">
        <v>84300</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v>4715</v>
      </c>
      <c r="D17" s="467">
        <v>44</v>
      </c>
      <c r="E17" s="467"/>
      <c r="F17" s="467"/>
      <c r="G17" s="467"/>
      <c r="H17" s="467"/>
      <c r="I17" s="467"/>
      <c r="J17" s="467"/>
      <c r="K17" s="1690">
        <f t="shared" si="0"/>
        <v>4759</v>
      </c>
      <c r="L17" s="466">
        <v>4825</v>
      </c>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1070635</v>
      </c>
      <c r="D33" s="1689">
        <f t="shared" ref="D33:L33" si="1">SUM(D5:D32)</f>
        <v>26901</v>
      </c>
      <c r="E33" s="1689">
        <f t="shared" si="1"/>
        <v>71232</v>
      </c>
      <c r="F33" s="1689">
        <f t="shared" si="1"/>
        <v>95493</v>
      </c>
      <c r="G33" s="1689">
        <f t="shared" si="1"/>
        <v>4190</v>
      </c>
      <c r="H33" s="1689">
        <f t="shared" si="1"/>
        <v>29498</v>
      </c>
      <c r="I33" s="1689">
        <f t="shared" si="1"/>
        <v>0</v>
      </c>
      <c r="J33" s="1689">
        <f t="shared" si="1"/>
        <v>0</v>
      </c>
      <c r="K33" s="1689">
        <f t="shared" si="1"/>
        <v>1297949</v>
      </c>
      <c r="L33" s="1689">
        <f t="shared" si="1"/>
        <v>1322685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row>
    <row r="37" spans="1:14" x14ac:dyDescent="0.2">
      <c r="A37" s="1526" t="s">
        <v>1151</v>
      </c>
      <c r="B37" s="615">
        <v>2120</v>
      </c>
      <c r="C37" s="466">
        <v>41842</v>
      </c>
      <c r="D37" s="466">
        <v>1965</v>
      </c>
      <c r="E37" s="466">
        <v>140</v>
      </c>
      <c r="F37" s="466">
        <v>1188</v>
      </c>
      <c r="G37" s="466"/>
      <c r="H37" s="466"/>
      <c r="I37" s="467"/>
      <c r="J37" s="467"/>
      <c r="K37" s="1690">
        <f t="shared" si="2"/>
        <v>45135</v>
      </c>
      <c r="L37" s="466">
        <v>45900</v>
      </c>
    </row>
    <row r="38" spans="1:14" x14ac:dyDescent="0.2">
      <c r="A38" s="1526" t="s">
        <v>207</v>
      </c>
      <c r="B38" s="615">
        <v>2130</v>
      </c>
      <c r="C38" s="466">
        <v>718</v>
      </c>
      <c r="D38" s="466"/>
      <c r="E38" s="466">
        <v>75</v>
      </c>
      <c r="F38" s="466">
        <v>1122</v>
      </c>
      <c r="G38" s="466"/>
      <c r="H38" s="466"/>
      <c r="I38" s="467"/>
      <c r="J38" s="467"/>
      <c r="K38" s="1690">
        <f t="shared" si="2"/>
        <v>1915</v>
      </c>
      <c r="L38" s="466">
        <v>22275</v>
      </c>
    </row>
    <row r="39" spans="1:14" x14ac:dyDescent="0.2">
      <c r="A39" s="1526" t="s">
        <v>208</v>
      </c>
      <c r="B39" s="615">
        <v>2140</v>
      </c>
      <c r="C39" s="466"/>
      <c r="D39" s="466"/>
      <c r="E39" s="466"/>
      <c r="F39" s="466"/>
      <c r="G39" s="466"/>
      <c r="H39" s="466"/>
      <c r="I39" s="467"/>
      <c r="J39" s="467"/>
      <c r="K39" s="1690">
        <f t="shared" si="2"/>
        <v>0</v>
      </c>
      <c r="L39" s="466"/>
    </row>
    <row r="40" spans="1:14" x14ac:dyDescent="0.2">
      <c r="A40" s="1526" t="s">
        <v>209</v>
      </c>
      <c r="B40" s="615">
        <v>2150</v>
      </c>
      <c r="C40" s="466"/>
      <c r="D40" s="466"/>
      <c r="E40" s="466"/>
      <c r="F40" s="466"/>
      <c r="G40" s="466"/>
      <c r="H40" s="466"/>
      <c r="I40" s="467"/>
      <c r="J40" s="467"/>
      <c r="K40" s="1690">
        <f t="shared" si="2"/>
        <v>0</v>
      </c>
      <c r="L40" s="466"/>
    </row>
    <row r="41" spans="1:14" x14ac:dyDescent="0.2">
      <c r="A41" s="1526" t="s">
        <v>1768</v>
      </c>
      <c r="B41" s="615">
        <v>2190</v>
      </c>
      <c r="C41" s="466">
        <v>702</v>
      </c>
      <c r="D41" s="466">
        <v>3</v>
      </c>
      <c r="E41" s="466"/>
      <c r="F41" s="466"/>
      <c r="G41" s="466"/>
      <c r="H41" s="466"/>
      <c r="I41" s="467"/>
      <c r="J41" s="467"/>
      <c r="K41" s="1690">
        <f t="shared" si="2"/>
        <v>705</v>
      </c>
      <c r="L41" s="466">
        <v>755</v>
      </c>
    </row>
    <row r="42" spans="1:14" ht="12.75" customHeight="1" thickBot="1" x14ac:dyDescent="0.25">
      <c r="A42" s="1687" t="s">
        <v>581</v>
      </c>
      <c r="B42" s="1688" t="s">
        <v>740</v>
      </c>
      <c r="C42" s="1689">
        <f>SUM(C36:C41)</f>
        <v>43262</v>
      </c>
      <c r="D42" s="1689">
        <f t="shared" ref="D42:L42" si="3">SUM(D36:D41)</f>
        <v>1968</v>
      </c>
      <c r="E42" s="1689">
        <f t="shared" si="3"/>
        <v>215</v>
      </c>
      <c r="F42" s="1689">
        <f t="shared" si="3"/>
        <v>2310</v>
      </c>
      <c r="G42" s="1689">
        <f t="shared" si="3"/>
        <v>0</v>
      </c>
      <c r="H42" s="1689">
        <f t="shared" si="3"/>
        <v>0</v>
      </c>
      <c r="I42" s="1689">
        <f t="shared" si="3"/>
        <v>0</v>
      </c>
      <c r="J42" s="1689">
        <f t="shared" si="3"/>
        <v>0</v>
      </c>
      <c r="K42" s="1689">
        <f t="shared" si="3"/>
        <v>47755</v>
      </c>
      <c r="L42" s="1689">
        <f t="shared" si="3"/>
        <v>68930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150</v>
      </c>
      <c r="D44" s="481">
        <v>45</v>
      </c>
      <c r="E44" s="481">
        <v>5385</v>
      </c>
      <c r="F44" s="481">
        <v>3927</v>
      </c>
      <c r="G44" s="481"/>
      <c r="H44" s="481">
        <v>14850</v>
      </c>
      <c r="I44" s="467"/>
      <c r="J44" s="467"/>
      <c r="K44" s="1691">
        <f>SUM(C44:J44)</f>
        <v>24357</v>
      </c>
      <c r="L44" s="481">
        <v>24430</v>
      </c>
    </row>
    <row r="45" spans="1:14" x14ac:dyDescent="0.2">
      <c r="A45" s="1526" t="s">
        <v>869</v>
      </c>
      <c r="B45" s="615">
        <v>2220</v>
      </c>
      <c r="C45" s="466">
        <v>45168</v>
      </c>
      <c r="D45" s="466">
        <v>2090</v>
      </c>
      <c r="E45" s="466">
        <v>835</v>
      </c>
      <c r="F45" s="466">
        <v>2093</v>
      </c>
      <c r="G45" s="466"/>
      <c r="H45" s="466">
        <v>753</v>
      </c>
      <c r="I45" s="467"/>
      <c r="J45" s="467"/>
      <c r="K45" s="1691">
        <f>SUM(C45:J45)</f>
        <v>50939</v>
      </c>
      <c r="L45" s="466">
        <v>51650</v>
      </c>
    </row>
    <row r="46" spans="1:14" x14ac:dyDescent="0.2">
      <c r="A46" s="1526"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45318</v>
      </c>
      <c r="D47" s="1689">
        <f t="shared" ref="D47:K47" si="4">SUM(D44:D46)</f>
        <v>2135</v>
      </c>
      <c r="E47" s="1689">
        <f t="shared" si="4"/>
        <v>6220</v>
      </c>
      <c r="F47" s="1689">
        <f t="shared" si="4"/>
        <v>6020</v>
      </c>
      <c r="G47" s="1689">
        <f t="shared" si="4"/>
        <v>0</v>
      </c>
      <c r="H47" s="1689">
        <f t="shared" si="4"/>
        <v>15603</v>
      </c>
      <c r="I47" s="1689">
        <f t="shared" si="4"/>
        <v>0</v>
      </c>
      <c r="J47" s="1689">
        <f t="shared" si="4"/>
        <v>0</v>
      </c>
      <c r="K47" s="1689">
        <f t="shared" si="4"/>
        <v>75296</v>
      </c>
      <c r="L47" s="1689">
        <f>SUM(L44:L46)</f>
        <v>76080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1228</v>
      </c>
      <c r="D49" s="481">
        <v>6</v>
      </c>
      <c r="E49" s="481">
        <v>11088</v>
      </c>
      <c r="F49" s="481">
        <v>1627</v>
      </c>
      <c r="G49" s="481"/>
      <c r="H49" s="481">
        <v>8300</v>
      </c>
      <c r="I49" s="467"/>
      <c r="J49" s="467"/>
      <c r="K49" s="1691">
        <f>SUM(C49:J49)</f>
        <v>22249</v>
      </c>
      <c r="L49" s="481">
        <v>22660</v>
      </c>
    </row>
    <row r="50" spans="1:14" x14ac:dyDescent="0.2">
      <c r="A50" s="1526" t="s">
        <v>872</v>
      </c>
      <c r="B50" s="615">
        <v>2320</v>
      </c>
      <c r="C50" s="466">
        <v>67453</v>
      </c>
      <c r="D50" s="466">
        <v>1775</v>
      </c>
      <c r="E50" s="466">
        <v>841</v>
      </c>
      <c r="F50" s="466">
        <v>1158</v>
      </c>
      <c r="G50" s="466">
        <v>664</v>
      </c>
      <c r="H50" s="466">
        <v>856</v>
      </c>
      <c r="I50" s="467"/>
      <c r="J50" s="467"/>
      <c r="K50" s="1691">
        <f>SUM(C50:J50)</f>
        <v>72747</v>
      </c>
      <c r="L50" s="466">
        <v>75425</v>
      </c>
    </row>
    <row r="51" spans="1:14" x14ac:dyDescent="0.2">
      <c r="A51" s="1526" t="s">
        <v>44</v>
      </c>
      <c r="B51" s="615">
        <v>2330</v>
      </c>
      <c r="C51" s="466">
        <v>70520</v>
      </c>
      <c r="D51" s="466">
        <v>1931</v>
      </c>
      <c r="E51" s="466"/>
      <c r="F51" s="466"/>
      <c r="G51" s="466"/>
      <c r="H51" s="466"/>
      <c r="I51" s="467"/>
      <c r="J51" s="467"/>
      <c r="K51" s="1691">
        <f>SUM(C51:J51)</f>
        <v>72451</v>
      </c>
      <c r="L51" s="466">
        <v>71900</v>
      </c>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139201</v>
      </c>
      <c r="D53" s="1689">
        <f t="shared" ref="D53:L53" si="5">SUM(D49:D52)</f>
        <v>3712</v>
      </c>
      <c r="E53" s="1689">
        <f t="shared" si="5"/>
        <v>11929</v>
      </c>
      <c r="F53" s="1689">
        <f t="shared" si="5"/>
        <v>2785</v>
      </c>
      <c r="G53" s="1689">
        <f t="shared" si="5"/>
        <v>664</v>
      </c>
      <c r="H53" s="1689">
        <f t="shared" si="5"/>
        <v>9156</v>
      </c>
      <c r="I53" s="1689">
        <f t="shared" si="5"/>
        <v>0</v>
      </c>
      <c r="J53" s="1689">
        <f t="shared" si="5"/>
        <v>0</v>
      </c>
      <c r="K53" s="1689">
        <f t="shared" si="5"/>
        <v>167447</v>
      </c>
      <c r="L53" s="1689">
        <f t="shared" si="5"/>
        <v>169985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131976</v>
      </c>
      <c r="D55" s="481">
        <v>4679</v>
      </c>
      <c r="E55" s="481">
        <v>556</v>
      </c>
      <c r="F55" s="481">
        <v>100</v>
      </c>
      <c r="G55" s="481">
        <v>221</v>
      </c>
      <c r="H55" s="481">
        <v>385</v>
      </c>
      <c r="I55" s="467"/>
      <c r="J55" s="467"/>
      <c r="K55" s="1691">
        <f>SUM(C55:J55)</f>
        <v>137917</v>
      </c>
      <c r="L55" s="481">
        <v>140010</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131976</v>
      </c>
      <c r="D57" s="1693">
        <f t="shared" ref="D57:K57" si="6">SUM(D55:D56)</f>
        <v>4679</v>
      </c>
      <c r="E57" s="1693">
        <f t="shared" si="6"/>
        <v>556</v>
      </c>
      <c r="F57" s="1693">
        <f t="shared" si="6"/>
        <v>100</v>
      </c>
      <c r="G57" s="1693">
        <f t="shared" si="6"/>
        <v>221</v>
      </c>
      <c r="H57" s="1693">
        <f t="shared" si="6"/>
        <v>385</v>
      </c>
      <c r="I57" s="1693">
        <f t="shared" si="6"/>
        <v>0</v>
      </c>
      <c r="J57" s="1693">
        <f t="shared" si="6"/>
        <v>0</v>
      </c>
      <c r="K57" s="1693">
        <f t="shared" si="6"/>
        <v>137917</v>
      </c>
      <c r="L57" s="1689">
        <f>SUM(L55:L56)</f>
        <v>140010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43364</v>
      </c>
      <c r="D60" s="466">
        <v>285</v>
      </c>
      <c r="E60" s="466">
        <v>509</v>
      </c>
      <c r="F60" s="466">
        <v>405</v>
      </c>
      <c r="G60" s="466">
        <v>664</v>
      </c>
      <c r="H60" s="466">
        <v>6330</v>
      </c>
      <c r="I60" s="467"/>
      <c r="J60" s="467"/>
      <c r="K60" s="1691">
        <f t="shared" si="7"/>
        <v>51557</v>
      </c>
      <c r="L60" s="466">
        <v>54700</v>
      </c>
      <c r="M60" s="610"/>
      <c r="N60" s="610"/>
    </row>
    <row r="61" spans="1:14" s="343" customFormat="1" x14ac:dyDescent="0.2">
      <c r="A61" s="1526" t="s">
        <v>206</v>
      </c>
      <c r="B61" s="615">
        <v>2540</v>
      </c>
      <c r="C61" s="466"/>
      <c r="D61" s="466"/>
      <c r="E61" s="466"/>
      <c r="F61" s="466"/>
      <c r="G61" s="466"/>
      <c r="H61" s="466"/>
      <c r="I61" s="467"/>
      <c r="J61" s="467"/>
      <c r="K61" s="1691">
        <f t="shared" si="7"/>
        <v>0</v>
      </c>
      <c r="L61" s="466"/>
      <c r="M61" s="610"/>
      <c r="N61" s="610"/>
    </row>
    <row r="62" spans="1:14" s="343" customFormat="1" x14ac:dyDescent="0.2">
      <c r="A62" s="1526" t="s">
        <v>1010</v>
      </c>
      <c r="B62" s="615">
        <v>2550</v>
      </c>
      <c r="C62" s="466"/>
      <c r="D62" s="466"/>
      <c r="E62" s="466">
        <v>148798</v>
      </c>
      <c r="F62" s="466">
        <v>1470</v>
      </c>
      <c r="G62" s="466">
        <v>7488</v>
      </c>
      <c r="H62" s="466"/>
      <c r="I62" s="467"/>
      <c r="J62" s="467"/>
      <c r="K62" s="1691">
        <f t="shared" si="7"/>
        <v>157756</v>
      </c>
      <c r="L62" s="466">
        <v>159000</v>
      </c>
      <c r="M62" s="610"/>
      <c r="N62" s="610"/>
    </row>
    <row r="63" spans="1:14" s="610" customFormat="1" x14ac:dyDescent="0.2">
      <c r="A63" s="1526" t="s">
        <v>102</v>
      </c>
      <c r="B63" s="615">
        <v>2560</v>
      </c>
      <c r="C63" s="466"/>
      <c r="D63" s="466"/>
      <c r="E63" s="466"/>
      <c r="F63" s="466"/>
      <c r="G63" s="466"/>
      <c r="H63" s="466"/>
      <c r="I63" s="467"/>
      <c r="J63" s="467"/>
      <c r="K63" s="1691">
        <f t="shared" si="7"/>
        <v>0</v>
      </c>
      <c r="L63" s="466"/>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43364</v>
      </c>
      <c r="D65" s="1689">
        <f t="shared" ref="D65:L65" si="8">SUM(D59:D64)</f>
        <v>285</v>
      </c>
      <c r="E65" s="1689">
        <f t="shared" si="8"/>
        <v>149307</v>
      </c>
      <c r="F65" s="1689">
        <f t="shared" si="8"/>
        <v>1875</v>
      </c>
      <c r="G65" s="1689">
        <f t="shared" si="8"/>
        <v>8152</v>
      </c>
      <c r="H65" s="1689">
        <f t="shared" si="8"/>
        <v>6330</v>
      </c>
      <c r="I65" s="1689">
        <f t="shared" si="8"/>
        <v>0</v>
      </c>
      <c r="J65" s="1689">
        <f t="shared" si="8"/>
        <v>0</v>
      </c>
      <c r="K65" s="1689">
        <f t="shared" si="8"/>
        <v>209313</v>
      </c>
      <c r="L65" s="1689">
        <f t="shared" si="8"/>
        <v>213700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c r="F69" s="466"/>
      <c r="G69" s="466"/>
      <c r="H69" s="466"/>
      <c r="I69" s="467"/>
      <c r="J69" s="467"/>
      <c r="K69" s="1691">
        <f>SUM(C69:J69)</f>
        <v>0</v>
      </c>
      <c r="L69" s="466"/>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32" t="s">
        <v>1037</v>
      </c>
      <c r="B73" s="633" t="s">
        <v>595</v>
      </c>
      <c r="C73" s="573"/>
      <c r="D73" s="573"/>
      <c r="E73" s="573">
        <v>20507</v>
      </c>
      <c r="F73" s="573"/>
      <c r="G73" s="573"/>
      <c r="H73" s="573"/>
      <c r="I73" s="531"/>
      <c r="J73" s="531"/>
      <c r="K73" s="1689">
        <f>SUM(C73:J73)</f>
        <v>20507</v>
      </c>
      <c r="L73" s="576">
        <v>21000</v>
      </c>
      <c r="M73" s="610"/>
      <c r="N73" s="610"/>
    </row>
    <row r="74" spans="1:14" ht="12.75" customHeight="1" thickTop="1" thickBot="1" x14ac:dyDescent="0.25">
      <c r="A74" s="1687" t="s">
        <v>865</v>
      </c>
      <c r="B74" s="1695">
        <v>2000</v>
      </c>
      <c r="C74" s="1696">
        <f>SUM(C42,C47,C53,C57,C65,C72,C73)</f>
        <v>403121</v>
      </c>
      <c r="D74" s="1696">
        <f t="shared" ref="D74:K74" si="10">SUM(D42,D47,D53,D57,D65,D72,D73)</f>
        <v>12779</v>
      </c>
      <c r="E74" s="1696">
        <f t="shared" si="10"/>
        <v>188734</v>
      </c>
      <c r="F74" s="1696">
        <f t="shared" si="10"/>
        <v>13090</v>
      </c>
      <c r="G74" s="1696">
        <f t="shared" si="10"/>
        <v>9037</v>
      </c>
      <c r="H74" s="1696">
        <f t="shared" si="10"/>
        <v>31474</v>
      </c>
      <c r="I74" s="1696">
        <f t="shared" si="10"/>
        <v>0</v>
      </c>
      <c r="J74" s="1696">
        <f t="shared" si="10"/>
        <v>0</v>
      </c>
      <c r="K74" s="1696">
        <f t="shared" si="10"/>
        <v>658235</v>
      </c>
      <c r="L74" s="1696">
        <f>SUM(L42,L47,L53,L57,L65,L72,L73)</f>
        <v>689705</v>
      </c>
    </row>
    <row r="75" spans="1:14" s="259" customFormat="1" ht="15.75" customHeight="1" thickTop="1" thickBot="1" x14ac:dyDescent="0.25">
      <c r="A75" s="1632" t="s">
        <v>49</v>
      </c>
      <c r="B75" s="1633" t="s">
        <v>596</v>
      </c>
      <c r="C75" s="573">
        <v>10675</v>
      </c>
      <c r="D75" s="573">
        <v>127</v>
      </c>
      <c r="E75" s="573">
        <v>1060</v>
      </c>
      <c r="F75" s="573">
        <v>2750</v>
      </c>
      <c r="G75" s="573"/>
      <c r="H75" s="573"/>
      <c r="I75" s="531"/>
      <c r="J75" s="531"/>
      <c r="K75" s="1689">
        <f>SUM(C75:J75)</f>
        <v>14612</v>
      </c>
      <c r="L75" s="576">
        <v>14680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3326</v>
      </c>
      <c r="F78" s="617"/>
      <c r="G78" s="617"/>
      <c r="H78" s="635"/>
      <c r="I78" s="477"/>
      <c r="J78" s="477"/>
      <c r="K78" s="1690">
        <f t="shared" ref="K78:K83" si="11">SUM(C78:J78)</f>
        <v>3326</v>
      </c>
      <c r="L78" s="481">
        <v>3500</v>
      </c>
    </row>
    <row r="79" spans="1:14" x14ac:dyDescent="0.2">
      <c r="A79" s="1526" t="s">
        <v>322</v>
      </c>
      <c r="B79" s="615">
        <v>4120</v>
      </c>
      <c r="C79" s="617"/>
      <c r="D79" s="617"/>
      <c r="E79" s="466"/>
      <c r="F79" s="617"/>
      <c r="G79" s="617"/>
      <c r="H79" s="466">
        <v>72475</v>
      </c>
      <c r="I79" s="477"/>
      <c r="J79" s="477"/>
      <c r="K79" s="1690">
        <f t="shared" si="11"/>
        <v>72475</v>
      </c>
      <c r="L79" s="466">
        <v>72500</v>
      </c>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c r="F81" s="617"/>
      <c r="G81" s="617"/>
      <c r="H81" s="466"/>
      <c r="I81" s="477"/>
      <c r="J81" s="477"/>
      <c r="K81" s="1690">
        <f t="shared" si="11"/>
        <v>0</v>
      </c>
      <c r="L81" s="466"/>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3326</v>
      </c>
      <c r="F84" s="617"/>
      <c r="G84" s="617"/>
      <c r="H84" s="1689">
        <f>SUM(H78:H83)</f>
        <v>72475</v>
      </c>
      <c r="I84" s="477"/>
      <c r="J84" s="477"/>
      <c r="K84" s="1689">
        <f>SUM(K78:K83)</f>
        <v>75801</v>
      </c>
      <c r="L84" s="1689">
        <f>SUM(L78:L83)</f>
        <v>76000</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c r="I88" s="477"/>
      <c r="J88" s="477"/>
      <c r="K88" s="1696">
        <f t="shared" si="12"/>
        <v>0</v>
      </c>
      <c r="L88" s="530"/>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3326</v>
      </c>
      <c r="F102" s="617"/>
      <c r="G102" s="617"/>
      <c r="H102" s="1696">
        <f>SUM(H84,H92,H100,H101)</f>
        <v>72475</v>
      </c>
      <c r="I102" s="477"/>
      <c r="J102" s="477"/>
      <c r="K102" s="1696">
        <f>SUM(K84,K92,K100,K101)</f>
        <v>75801</v>
      </c>
      <c r="L102" s="1696">
        <f>SUM(L84,L92,L100,L101)</f>
        <v>76000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1484431</v>
      </c>
      <c r="D114" s="1689">
        <f t="shared" ref="D114:K114" si="13">SUM(D33,D74,D75,D102,D112,D113)</f>
        <v>39807</v>
      </c>
      <c r="E114" s="1689">
        <f t="shared" si="13"/>
        <v>264352</v>
      </c>
      <c r="F114" s="1689">
        <f t="shared" si="13"/>
        <v>111333</v>
      </c>
      <c r="G114" s="1689">
        <f t="shared" si="13"/>
        <v>13227</v>
      </c>
      <c r="H114" s="1689">
        <f>SUM(H33,H74,H75,H102,H112,H113)</f>
        <v>133447</v>
      </c>
      <c r="I114" s="1689">
        <f t="shared" si="13"/>
        <v>0</v>
      </c>
      <c r="J114" s="1689">
        <f t="shared" si="13"/>
        <v>0</v>
      </c>
      <c r="K114" s="1689">
        <f t="shared" si="13"/>
        <v>2046597</v>
      </c>
      <c r="L114" s="1689">
        <f>SUM(L33,L74,L75,L102,L112,L113)</f>
        <v>2103070</v>
      </c>
    </row>
    <row r="115" spans="1:14" ht="13.5" thickTop="1" x14ac:dyDescent="0.2">
      <c r="A115" s="2173" t="s">
        <v>1053</v>
      </c>
      <c r="B115" s="2174"/>
      <c r="C115" s="619"/>
      <c r="D115" s="619"/>
      <c r="E115" s="619"/>
      <c r="F115" s="619"/>
      <c r="G115" s="619"/>
      <c r="H115" s="619"/>
      <c r="I115" s="619"/>
      <c r="J115" s="619"/>
      <c r="K115" s="1703">
        <f>'Revenues 9-14'!C275-'Expenditures 15-22'!K114</f>
        <v>234696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66487</v>
      </c>
      <c r="D124" s="466"/>
      <c r="E124" s="466">
        <v>39952</v>
      </c>
      <c r="F124" s="466">
        <v>111146</v>
      </c>
      <c r="G124" s="466">
        <v>8050</v>
      </c>
      <c r="H124" s="466"/>
      <c r="I124" s="467"/>
      <c r="J124" s="467"/>
      <c r="K124" s="1689">
        <f>SUM(C124:J124)</f>
        <v>225635</v>
      </c>
      <c r="L124" s="466">
        <v>245100</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66487</v>
      </c>
      <c r="D127" s="1689">
        <f t="shared" ref="D127:L127" si="14">SUM(D122:D126)</f>
        <v>0</v>
      </c>
      <c r="E127" s="1689">
        <f t="shared" si="14"/>
        <v>39952</v>
      </c>
      <c r="F127" s="1689">
        <f t="shared" si="14"/>
        <v>111146</v>
      </c>
      <c r="G127" s="1689">
        <f t="shared" si="14"/>
        <v>8050</v>
      </c>
      <c r="H127" s="1689">
        <f t="shared" si="14"/>
        <v>0</v>
      </c>
      <c r="I127" s="1689">
        <f t="shared" si="14"/>
        <v>0</v>
      </c>
      <c r="J127" s="1689">
        <f t="shared" si="14"/>
        <v>0</v>
      </c>
      <c r="K127" s="1689">
        <f t="shared" si="14"/>
        <v>225635</v>
      </c>
      <c r="L127" s="1689">
        <f t="shared" si="14"/>
        <v>245100</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66487</v>
      </c>
      <c r="D129" s="1696">
        <f t="shared" ref="D129:L129" si="15">SUM(D120,D127,D128)</f>
        <v>0</v>
      </c>
      <c r="E129" s="1696">
        <f t="shared" si="15"/>
        <v>39952</v>
      </c>
      <c r="F129" s="1696">
        <f t="shared" si="15"/>
        <v>111146</v>
      </c>
      <c r="G129" s="1696">
        <f t="shared" si="15"/>
        <v>8050</v>
      </c>
      <c r="H129" s="1696">
        <f t="shared" si="15"/>
        <v>0</v>
      </c>
      <c r="I129" s="1696">
        <f t="shared" si="15"/>
        <v>0</v>
      </c>
      <c r="J129" s="1696">
        <f t="shared" si="15"/>
        <v>0</v>
      </c>
      <c r="K129" s="1696">
        <f t="shared" si="15"/>
        <v>225635</v>
      </c>
      <c r="L129" s="1696">
        <f t="shared" si="15"/>
        <v>245100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89">
        <f>SUM(C129,C130,C139,C149,C150)</f>
        <v>66487</v>
      </c>
      <c r="D151" s="1689">
        <f t="shared" ref="D151:K151" si="16">SUM(D129,D130,D139,D149,D150)</f>
        <v>0</v>
      </c>
      <c r="E151" s="1689">
        <f t="shared" si="16"/>
        <v>39952</v>
      </c>
      <c r="F151" s="1689">
        <f t="shared" si="16"/>
        <v>111146</v>
      </c>
      <c r="G151" s="1689">
        <f t="shared" si="16"/>
        <v>8050</v>
      </c>
      <c r="H151" s="1689">
        <f t="shared" si="16"/>
        <v>0</v>
      </c>
      <c r="I151" s="1689">
        <f t="shared" si="16"/>
        <v>0</v>
      </c>
      <c r="J151" s="1689">
        <f t="shared" si="16"/>
        <v>0</v>
      </c>
      <c r="K151" s="1689">
        <f t="shared" si="16"/>
        <v>225635</v>
      </c>
      <c r="L151" s="1689">
        <f>SUM(L129,L130,L139,L149,L150)</f>
        <v>245100</v>
      </c>
    </row>
    <row r="152" spans="1:14" ht="12.75" customHeight="1" thickTop="1" x14ac:dyDescent="0.2">
      <c r="A152" s="2193" t="s">
        <v>1240</v>
      </c>
      <c r="B152" s="2194"/>
      <c r="C152" s="619"/>
      <c r="D152" s="619"/>
      <c r="E152" s="619"/>
      <c r="F152" s="619"/>
      <c r="G152" s="619"/>
      <c r="H152" s="619"/>
      <c r="I152" s="619"/>
      <c r="J152" s="617"/>
      <c r="K152" s="1703">
        <f>'Revenues 9-14'!D275-'Expenditures 15-22'!K151</f>
        <v>-45533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34060</v>
      </c>
      <c r="I169" s="617"/>
      <c r="J169" s="617"/>
      <c r="K169" s="1690">
        <f>SUM(C169:H169)</f>
        <v>34060</v>
      </c>
      <c r="L169" s="657">
        <v>34060</v>
      </c>
    </row>
    <row r="170" spans="1:14" ht="33.75" customHeight="1" x14ac:dyDescent="0.2">
      <c r="A170" s="670" t="s">
        <v>1769</v>
      </c>
      <c r="B170" s="672" t="s">
        <v>31</v>
      </c>
      <c r="C170" s="617"/>
      <c r="D170" s="617"/>
      <c r="E170" s="617"/>
      <c r="F170" s="617"/>
      <c r="G170" s="617"/>
      <c r="H170" s="569">
        <v>254500</v>
      </c>
      <c r="I170" s="617"/>
      <c r="J170" s="617"/>
      <c r="K170" s="1690">
        <f>SUM(C170:J170)</f>
        <v>254500</v>
      </c>
      <c r="L170" s="569">
        <v>254500</v>
      </c>
    </row>
    <row r="171" spans="1:14" ht="15.75" customHeight="1" x14ac:dyDescent="0.2">
      <c r="A171" s="622" t="s">
        <v>790</v>
      </c>
      <c r="B171" s="673" t="s">
        <v>86</v>
      </c>
      <c r="C171" s="617"/>
      <c r="D171" s="617"/>
      <c r="E171" s="466"/>
      <c r="F171" s="617"/>
      <c r="G171" s="617"/>
      <c r="H171" s="569">
        <v>700</v>
      </c>
      <c r="I171" s="477"/>
      <c r="J171" s="617"/>
      <c r="K171" s="1690">
        <f>SUM(C171:J171)</f>
        <v>700</v>
      </c>
      <c r="L171" s="569">
        <v>700</v>
      </c>
    </row>
    <row r="172" spans="1:14" ht="12.75" customHeight="1" thickBot="1" x14ac:dyDescent="0.25">
      <c r="A172" s="1687" t="s">
        <v>659</v>
      </c>
      <c r="B172" s="1688" t="s">
        <v>513</v>
      </c>
      <c r="C172" s="617"/>
      <c r="D172" s="617"/>
      <c r="E172" s="1696">
        <f>SUM(E168,E169,E170,E171)</f>
        <v>0</v>
      </c>
      <c r="F172" s="617"/>
      <c r="G172" s="617"/>
      <c r="H172" s="1696">
        <f>SUM(H168,H169,H170,H171)</f>
        <v>289260</v>
      </c>
      <c r="I172" s="639"/>
      <c r="J172" s="617"/>
      <c r="K172" s="1696">
        <f>SUM(K168,K169,K170,K171)</f>
        <v>289260</v>
      </c>
      <c r="L172" s="1696">
        <f>SUM(L168,L169,L170,L171)</f>
        <v>289260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289260</v>
      </c>
      <c r="I174" s="639"/>
      <c r="J174" s="617"/>
      <c r="K174" s="1696">
        <f>SUM(K160,K172,K173)</f>
        <v>289260</v>
      </c>
      <c r="L174" s="1696">
        <f>SUM(L160,L172,L173)</f>
        <v>289260</v>
      </c>
    </row>
    <row r="175" spans="1:14" ht="13.5" thickTop="1" x14ac:dyDescent="0.2">
      <c r="A175" s="2173" t="s">
        <v>1053</v>
      </c>
      <c r="B175" s="2174"/>
      <c r="C175" s="617"/>
      <c r="D175" s="617"/>
      <c r="E175" s="617"/>
      <c r="F175" s="617"/>
      <c r="G175" s="617"/>
      <c r="H175" s="619"/>
      <c r="I175" s="617"/>
      <c r="J175" s="617"/>
      <c r="K175" s="1703">
        <f>'Revenues 9-14'!E275-'Expenditures 15-22'!K174</f>
        <v>1829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49809</v>
      </c>
      <c r="D182" s="466">
        <v>1757</v>
      </c>
      <c r="E182" s="466">
        <v>14548</v>
      </c>
      <c r="F182" s="466">
        <v>21497</v>
      </c>
      <c r="G182" s="466">
        <v>3629</v>
      </c>
      <c r="H182" s="466"/>
      <c r="I182" s="467"/>
      <c r="J182" s="467"/>
      <c r="K182" s="1690">
        <f>SUM(C182:J182)</f>
        <v>91240</v>
      </c>
      <c r="L182" s="466">
        <v>116800</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49809</v>
      </c>
      <c r="D184" s="1696">
        <f t="shared" ref="D184:J184" si="17">SUM(D180,D182,D183)</f>
        <v>1757</v>
      </c>
      <c r="E184" s="1696">
        <f t="shared" si="17"/>
        <v>14548</v>
      </c>
      <c r="F184" s="1696">
        <f t="shared" si="17"/>
        <v>21497</v>
      </c>
      <c r="G184" s="1696">
        <f t="shared" si="17"/>
        <v>3629</v>
      </c>
      <c r="H184" s="1696">
        <f t="shared" si="17"/>
        <v>0</v>
      </c>
      <c r="I184" s="1696">
        <f t="shared" si="17"/>
        <v>0</v>
      </c>
      <c r="J184" s="1696">
        <f t="shared" si="17"/>
        <v>0</v>
      </c>
      <c r="K184" s="1696">
        <f>SUM(K180,K182,K183)</f>
        <v>91240</v>
      </c>
      <c r="L184" s="1696">
        <f>SUM(L180, L182:L183)</f>
        <v>116800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49809</v>
      </c>
      <c r="D210" s="1689">
        <f>SUM(D184,D185)</f>
        <v>1757</v>
      </c>
      <c r="E210" s="1689">
        <f>SUM(E184,E185,E196)</f>
        <v>14548</v>
      </c>
      <c r="F210" s="1689">
        <f>SUM(F184,F185)</f>
        <v>21497</v>
      </c>
      <c r="G210" s="1689">
        <f>SUM(G184,G185)</f>
        <v>3629</v>
      </c>
      <c r="H210" s="1689">
        <f>SUM(H184,H185,H196,H208,H209)</f>
        <v>0</v>
      </c>
      <c r="I210" s="1689">
        <f>SUM(I184,I185)</f>
        <v>0</v>
      </c>
      <c r="J210" s="1689">
        <f>SUM(J184,J185)</f>
        <v>0</v>
      </c>
      <c r="K210" s="1690">
        <f>SUM(K184,K185,K196,K208,K209)</f>
        <v>91240</v>
      </c>
      <c r="L210" s="1689">
        <f>SUM(L184,L185,L196,L208,L209)</f>
        <v>116800</v>
      </c>
    </row>
    <row r="211" spans="1:14" ht="13.5" thickTop="1" x14ac:dyDescent="0.2">
      <c r="A211" s="2173" t="s">
        <v>1053</v>
      </c>
      <c r="B211" s="2174"/>
      <c r="C211" s="619"/>
      <c r="D211" s="619"/>
      <c r="E211" s="619"/>
      <c r="F211" s="619"/>
      <c r="G211" s="619"/>
      <c r="H211" s="619"/>
      <c r="I211" s="617"/>
      <c r="J211" s="617"/>
      <c r="K211" s="1703">
        <f>'Revenues 9-14'!F275-'Expenditures 15-22'!K210</f>
        <v>25509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10826</v>
      </c>
      <c r="E215" s="617"/>
      <c r="F215" s="617"/>
      <c r="G215" s="617"/>
      <c r="H215" s="617"/>
      <c r="I215" s="617"/>
      <c r="J215" s="617"/>
      <c r="K215" s="1690">
        <f>D215</f>
        <v>10826</v>
      </c>
      <c r="L215" s="466">
        <v>11000</v>
      </c>
    </row>
    <row r="216" spans="1:14" x14ac:dyDescent="0.2">
      <c r="A216" s="1526" t="s">
        <v>165</v>
      </c>
      <c r="B216" s="615" t="s">
        <v>1024</v>
      </c>
      <c r="C216" s="617"/>
      <c r="D216" s="467">
        <v>2618</v>
      </c>
      <c r="E216" s="617"/>
      <c r="F216" s="617"/>
      <c r="G216" s="617"/>
      <c r="H216" s="617"/>
      <c r="I216" s="617"/>
      <c r="J216" s="617"/>
      <c r="K216" s="1690">
        <f t="shared" ref="K216:K228" si="19">D216</f>
        <v>2618</v>
      </c>
      <c r="L216" s="466">
        <v>2700</v>
      </c>
    </row>
    <row r="217" spans="1:14" x14ac:dyDescent="0.2">
      <c r="A217" s="1526" t="s">
        <v>166</v>
      </c>
      <c r="B217" s="615">
        <v>1200</v>
      </c>
      <c r="C217" s="617"/>
      <c r="D217" s="466">
        <v>6311</v>
      </c>
      <c r="E217" s="617"/>
      <c r="F217" s="617"/>
      <c r="G217" s="617"/>
      <c r="H217" s="617"/>
      <c r="I217" s="617"/>
      <c r="J217" s="617"/>
      <c r="K217" s="1690">
        <f t="shared" si="19"/>
        <v>6311</v>
      </c>
      <c r="L217" s="466">
        <v>6300</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v>4040</v>
      </c>
      <c r="E219" s="617"/>
      <c r="F219" s="617"/>
      <c r="G219" s="617"/>
      <c r="H219" s="617"/>
      <c r="I219" s="617"/>
      <c r="J219" s="617"/>
      <c r="K219" s="1690">
        <f t="shared" si="19"/>
        <v>4040</v>
      </c>
      <c r="L219" s="466">
        <v>4000</v>
      </c>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v>1175</v>
      </c>
      <c r="E222" s="617"/>
      <c r="F222" s="617"/>
      <c r="G222" s="617"/>
      <c r="H222" s="617"/>
      <c r="I222" s="617"/>
      <c r="J222" s="617"/>
      <c r="K222" s="1690">
        <f t="shared" si="19"/>
        <v>1175</v>
      </c>
      <c r="L222" s="466">
        <v>1300</v>
      </c>
    </row>
    <row r="223" spans="1:14" x14ac:dyDescent="0.2">
      <c r="A223" s="1526" t="s">
        <v>1020</v>
      </c>
      <c r="B223" s="615">
        <v>1500</v>
      </c>
      <c r="C223" s="617"/>
      <c r="D223" s="466">
        <v>3025</v>
      </c>
      <c r="E223" s="617"/>
      <c r="F223" s="617"/>
      <c r="G223" s="617"/>
      <c r="H223" s="617"/>
      <c r="I223" s="617"/>
      <c r="J223" s="617"/>
      <c r="K223" s="1690">
        <f t="shared" si="19"/>
        <v>3025</v>
      </c>
      <c r="L223" s="466">
        <v>3250</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v>68</v>
      </c>
      <c r="E226" s="617"/>
      <c r="F226" s="617"/>
      <c r="G226" s="617"/>
      <c r="H226" s="617"/>
      <c r="I226" s="617"/>
      <c r="J226" s="617"/>
      <c r="K226" s="1690">
        <f t="shared" si="19"/>
        <v>68</v>
      </c>
      <c r="L226" s="466">
        <v>75</v>
      </c>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28063</v>
      </c>
      <c r="E229" s="617"/>
      <c r="F229" s="617"/>
      <c r="G229" s="617"/>
      <c r="H229" s="617"/>
      <c r="I229" s="617"/>
      <c r="J229" s="617"/>
      <c r="K229" s="1689">
        <f>SUM(K215:K228)</f>
        <v>28063</v>
      </c>
      <c r="L229" s="1689">
        <f>SUM(L215:L228)</f>
        <v>28625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v>607</v>
      </c>
      <c r="E233" s="617"/>
      <c r="F233" s="617"/>
      <c r="G233" s="617"/>
      <c r="H233" s="617"/>
      <c r="I233" s="617"/>
      <c r="J233" s="617"/>
      <c r="K233" s="1690">
        <f t="shared" si="20"/>
        <v>607</v>
      </c>
      <c r="L233" s="466">
        <v>600</v>
      </c>
    </row>
    <row r="234" spans="1:12" x14ac:dyDescent="0.2">
      <c r="A234" s="1526" t="s">
        <v>207</v>
      </c>
      <c r="B234" s="615">
        <v>2130</v>
      </c>
      <c r="C234" s="617"/>
      <c r="D234" s="466">
        <v>2948</v>
      </c>
      <c r="E234" s="617"/>
      <c r="F234" s="617"/>
      <c r="G234" s="617"/>
      <c r="H234" s="617"/>
      <c r="I234" s="617"/>
      <c r="J234" s="617"/>
      <c r="K234" s="1690">
        <f t="shared" si="20"/>
        <v>2948</v>
      </c>
      <c r="L234" s="466">
        <v>3000</v>
      </c>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v>24</v>
      </c>
      <c r="E237" s="617"/>
      <c r="F237" s="617"/>
      <c r="G237" s="617"/>
      <c r="H237" s="617"/>
      <c r="I237" s="617"/>
      <c r="J237" s="617"/>
      <c r="K237" s="1690">
        <f t="shared" si="20"/>
        <v>24</v>
      </c>
      <c r="L237" s="466">
        <v>30</v>
      </c>
    </row>
    <row r="238" spans="1:12" ht="12.75" customHeight="1" thickBot="1" x14ac:dyDescent="0.25">
      <c r="A238" s="1687" t="s">
        <v>581</v>
      </c>
      <c r="B238" s="1694" t="s">
        <v>740</v>
      </c>
      <c r="C238" s="617"/>
      <c r="D238" s="1689">
        <f>SUM(D232:D237)</f>
        <v>3579</v>
      </c>
      <c r="E238" s="617"/>
      <c r="F238" s="617"/>
      <c r="G238" s="617"/>
      <c r="H238" s="617"/>
      <c r="I238" s="617"/>
      <c r="J238" s="617"/>
      <c r="K238" s="1689">
        <f>SUM(K232:K237)</f>
        <v>3579</v>
      </c>
      <c r="L238" s="1689">
        <f>SUM(L232:L237)</f>
        <v>3630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35</v>
      </c>
      <c r="E240" s="617"/>
      <c r="F240" s="617"/>
      <c r="G240" s="617"/>
      <c r="H240" s="617"/>
      <c r="I240" s="617"/>
      <c r="J240" s="617"/>
      <c r="K240" s="1691">
        <f>D240</f>
        <v>35</v>
      </c>
      <c r="L240" s="481">
        <v>50</v>
      </c>
    </row>
    <row r="241" spans="1:12" x14ac:dyDescent="0.2">
      <c r="A241" s="1526" t="s">
        <v>869</v>
      </c>
      <c r="B241" s="615">
        <v>2220</v>
      </c>
      <c r="C241" s="617"/>
      <c r="D241" s="466">
        <v>655</v>
      </c>
      <c r="E241" s="617"/>
      <c r="F241" s="617"/>
      <c r="G241" s="617"/>
      <c r="H241" s="617"/>
      <c r="I241" s="617"/>
      <c r="J241" s="617"/>
      <c r="K241" s="1691">
        <f>D241</f>
        <v>655</v>
      </c>
      <c r="L241" s="466">
        <v>700</v>
      </c>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690</v>
      </c>
      <c r="E243" s="617"/>
      <c r="F243" s="617"/>
      <c r="G243" s="617"/>
      <c r="H243" s="617"/>
      <c r="I243" s="617"/>
      <c r="J243" s="617"/>
      <c r="K243" s="1689">
        <f>SUM(K240:K242)</f>
        <v>690</v>
      </c>
      <c r="L243" s="1689">
        <f>SUM(L240:L242)</f>
        <v>750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153</v>
      </c>
      <c r="E245" s="617"/>
      <c r="F245" s="617"/>
      <c r="G245" s="617"/>
      <c r="H245" s="617"/>
      <c r="I245" s="617"/>
      <c r="J245" s="617"/>
      <c r="K245" s="1691">
        <f>D245</f>
        <v>153</v>
      </c>
      <c r="L245" s="481">
        <v>160</v>
      </c>
    </row>
    <row r="246" spans="1:12" x14ac:dyDescent="0.2">
      <c r="A246" s="1526" t="s">
        <v>872</v>
      </c>
      <c r="B246" s="615">
        <v>2320</v>
      </c>
      <c r="C246" s="617"/>
      <c r="D246" s="466">
        <v>3026</v>
      </c>
      <c r="E246" s="617"/>
      <c r="F246" s="617"/>
      <c r="G246" s="617"/>
      <c r="H246" s="617"/>
      <c r="I246" s="617"/>
      <c r="J246" s="617"/>
      <c r="K246" s="1691">
        <f t="shared" ref="K246:K256" si="21">D246</f>
        <v>3026</v>
      </c>
      <c r="L246" s="466">
        <v>3000</v>
      </c>
    </row>
    <row r="247" spans="1:12" x14ac:dyDescent="0.2">
      <c r="A247" s="1526" t="s">
        <v>873</v>
      </c>
      <c r="B247" s="615">
        <v>2330</v>
      </c>
      <c r="C247" s="617"/>
      <c r="D247" s="466">
        <v>3561</v>
      </c>
      <c r="E247" s="617"/>
      <c r="F247" s="617"/>
      <c r="G247" s="617"/>
      <c r="H247" s="617"/>
      <c r="I247" s="617"/>
      <c r="J247" s="617"/>
      <c r="K247" s="1691">
        <f t="shared" si="21"/>
        <v>3561</v>
      </c>
      <c r="L247" s="466">
        <v>3600</v>
      </c>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6740</v>
      </c>
      <c r="E257" s="617"/>
      <c r="F257" s="617"/>
      <c r="G257" s="617"/>
      <c r="H257" s="617"/>
      <c r="I257" s="617"/>
      <c r="J257" s="617"/>
      <c r="K257" s="1689">
        <f>SUM(K245:K256)</f>
        <v>6740</v>
      </c>
      <c r="L257" s="1689">
        <f>SUM(L245:L256)</f>
        <v>6760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7407</v>
      </c>
      <c r="E259" s="617"/>
      <c r="F259" s="617"/>
      <c r="G259" s="617"/>
      <c r="H259" s="617"/>
      <c r="I259" s="617"/>
      <c r="J259" s="617"/>
      <c r="K259" s="1691">
        <f>D259</f>
        <v>7407</v>
      </c>
      <c r="L259" s="481">
        <v>7500</v>
      </c>
    </row>
    <row r="260" spans="1:14" s="598" customFormat="1" x14ac:dyDescent="0.2">
      <c r="A260" s="1544"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7407</v>
      </c>
      <c r="E261" s="617"/>
      <c r="F261" s="617"/>
      <c r="G261" s="617"/>
      <c r="H261" s="617"/>
      <c r="I261" s="617"/>
      <c r="J261" s="617"/>
      <c r="K261" s="1689">
        <f>SUM(K259:K260)</f>
        <v>7407</v>
      </c>
      <c r="L261" s="1689">
        <f>SUM(L259:L260)</f>
        <v>7500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6431</v>
      </c>
      <c r="E264" s="617"/>
      <c r="F264" s="617"/>
      <c r="G264" s="617"/>
      <c r="H264" s="617"/>
      <c r="I264" s="617"/>
      <c r="J264" s="617"/>
      <c r="K264" s="1691">
        <f t="shared" ref="K264:K269" si="22">D264</f>
        <v>6431</v>
      </c>
      <c r="L264" s="466">
        <v>6500</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11813</v>
      </c>
      <c r="E266" s="617"/>
      <c r="F266" s="617"/>
      <c r="G266" s="617"/>
      <c r="H266" s="617"/>
      <c r="I266" s="617"/>
      <c r="J266" s="617"/>
      <c r="K266" s="1691">
        <f t="shared" si="22"/>
        <v>11813</v>
      </c>
      <c r="L266" s="466">
        <v>12000</v>
      </c>
    </row>
    <row r="267" spans="1:14" x14ac:dyDescent="0.2">
      <c r="A267" s="1526" t="s">
        <v>1010</v>
      </c>
      <c r="B267" s="615">
        <v>2550</v>
      </c>
      <c r="C267" s="617"/>
      <c r="D267" s="466">
        <v>9895</v>
      </c>
      <c r="E267" s="617"/>
      <c r="F267" s="617"/>
      <c r="G267" s="617"/>
      <c r="H267" s="617"/>
      <c r="I267" s="617"/>
      <c r="J267" s="617"/>
      <c r="K267" s="1691">
        <f t="shared" si="22"/>
        <v>9895</v>
      </c>
      <c r="L267" s="466">
        <v>10000</v>
      </c>
    </row>
    <row r="268" spans="1:14" x14ac:dyDescent="0.2">
      <c r="A268" s="1526" t="s">
        <v>102</v>
      </c>
      <c r="B268" s="615">
        <v>2560</v>
      </c>
      <c r="C268" s="617"/>
      <c r="D268" s="466"/>
      <c r="E268" s="617"/>
      <c r="F268" s="617"/>
      <c r="G268" s="617"/>
      <c r="H268" s="617"/>
      <c r="I268" s="617"/>
      <c r="J268" s="617"/>
      <c r="K268" s="1691">
        <f t="shared" si="22"/>
        <v>0</v>
      </c>
      <c r="L268" s="466"/>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28139</v>
      </c>
      <c r="E270" s="617"/>
      <c r="F270" s="617"/>
      <c r="G270" s="617"/>
      <c r="H270" s="617"/>
      <c r="I270" s="617"/>
      <c r="J270" s="617"/>
      <c r="K270" s="1689">
        <f>SUM(K263:K269)</f>
        <v>28139</v>
      </c>
      <c r="L270" s="1689">
        <f>SUM(L263:L269)</f>
        <v>28500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46555</v>
      </c>
      <c r="E279" s="617"/>
      <c r="F279" s="617"/>
      <c r="G279" s="617"/>
      <c r="H279" s="617"/>
      <c r="I279" s="617"/>
      <c r="J279" s="617"/>
      <c r="K279" s="1696">
        <f>SUM(K238,K243,K257,K261,K270,K277,K278)</f>
        <v>46555</v>
      </c>
      <c r="L279" s="1696">
        <f>SUM(L238,L243,L257,L261,L270,L277,L278)</f>
        <v>47140</v>
      </c>
    </row>
    <row r="280" spans="1:12" ht="15.75" customHeight="1" thickTop="1" thickBot="1" x14ac:dyDescent="0.25">
      <c r="A280" s="1646" t="s">
        <v>930</v>
      </c>
      <c r="B280" s="1635">
        <v>3000</v>
      </c>
      <c r="C280" s="617"/>
      <c r="D280" s="576">
        <v>746</v>
      </c>
      <c r="E280" s="617"/>
      <c r="F280" s="617"/>
      <c r="G280" s="617"/>
      <c r="H280" s="617"/>
      <c r="I280" s="617"/>
      <c r="J280" s="617"/>
      <c r="K280" s="1698">
        <f>D280</f>
        <v>746</v>
      </c>
      <c r="L280" s="576">
        <v>750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89">
        <f>SUM(D229,D279,D280,D285)</f>
        <v>75364</v>
      </c>
      <c r="E295" s="617"/>
      <c r="F295" s="617"/>
      <c r="G295" s="617"/>
      <c r="H295" s="1689">
        <f>H293</f>
        <v>0</v>
      </c>
      <c r="I295" s="617"/>
      <c r="J295" s="617"/>
      <c r="K295" s="1689">
        <f>SUM(K229,K279,K280,K285,K293,K294)</f>
        <v>75364</v>
      </c>
      <c r="L295" s="1689">
        <f>SUM(L229,L279,L280,L285,L293,L294)</f>
        <v>76515</v>
      </c>
    </row>
    <row r="296" spans="1:14" ht="13.5" thickTop="1" x14ac:dyDescent="0.2">
      <c r="A296" s="2173" t="s">
        <v>1053</v>
      </c>
      <c r="B296" s="2174"/>
      <c r="C296" s="617"/>
      <c r="D296" s="619"/>
      <c r="E296" s="617"/>
      <c r="F296" s="617"/>
      <c r="G296" s="617"/>
      <c r="H296" s="688"/>
      <c r="I296" s="617"/>
      <c r="J296" s="617"/>
      <c r="K296" s="1703">
        <f>'Revenues 9-14'!G275-'Expenditures 15-22'!K295</f>
        <v>-17627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84" t="s">
        <v>1053</v>
      </c>
      <c r="B313" s="2185"/>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10553</v>
      </c>
      <c r="F320" s="467"/>
      <c r="G320" s="467"/>
      <c r="H320" s="467"/>
      <c r="I320" s="467"/>
      <c r="J320" s="467"/>
      <c r="K320" s="1690">
        <f t="shared" ref="K320:K327" si="24">SUM(C320:J320)</f>
        <v>10553</v>
      </c>
      <c r="L320" s="467">
        <v>1100</v>
      </c>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v>4400</v>
      </c>
      <c r="M321" s="666"/>
      <c r="N321" s="666"/>
    </row>
    <row r="322" spans="1:14" s="675" customFormat="1" x14ac:dyDescent="0.2">
      <c r="A322" s="1541" t="s">
        <v>256</v>
      </c>
      <c r="B322" s="698" t="s">
        <v>302</v>
      </c>
      <c r="C322" s="467"/>
      <c r="D322" s="467"/>
      <c r="E322" s="467">
        <v>50524</v>
      </c>
      <c r="F322" s="467"/>
      <c r="G322" s="467"/>
      <c r="H322" s="467"/>
      <c r="I322" s="467"/>
      <c r="J322" s="467"/>
      <c r="K322" s="1690">
        <f t="shared" si="24"/>
        <v>50524</v>
      </c>
      <c r="L322" s="467">
        <v>50600</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v>7800</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111308</v>
      </c>
      <c r="D325" s="467"/>
      <c r="E325" s="467">
        <v>79480</v>
      </c>
      <c r="F325" s="467">
        <v>328</v>
      </c>
      <c r="G325" s="467"/>
      <c r="H325" s="467"/>
      <c r="I325" s="467"/>
      <c r="J325" s="467"/>
      <c r="K325" s="1690">
        <f t="shared" si="24"/>
        <v>191116</v>
      </c>
      <c r="L325" s="467">
        <v>72830</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v>21072</v>
      </c>
      <c r="F327" s="467"/>
      <c r="G327" s="467"/>
      <c r="H327" s="467"/>
      <c r="I327" s="467"/>
      <c r="J327" s="467"/>
      <c r="K327" s="1690">
        <f t="shared" si="24"/>
        <v>21072</v>
      </c>
      <c r="L327" s="467">
        <v>23000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111308</v>
      </c>
      <c r="D330" s="1689">
        <f t="shared" ref="D330:J330" si="25">SUM(D319:D329)</f>
        <v>0</v>
      </c>
      <c r="E330" s="1689">
        <f t="shared" si="25"/>
        <v>161629</v>
      </c>
      <c r="F330" s="1689">
        <f t="shared" si="25"/>
        <v>328</v>
      </c>
      <c r="G330" s="1689">
        <f t="shared" si="25"/>
        <v>0</v>
      </c>
      <c r="H330" s="1689">
        <f t="shared" si="25"/>
        <v>0</v>
      </c>
      <c r="I330" s="1689">
        <f t="shared" si="25"/>
        <v>0</v>
      </c>
      <c r="J330" s="1689">
        <f t="shared" si="25"/>
        <v>0</v>
      </c>
      <c r="K330" s="1689">
        <f>SUM(K319:K329)</f>
        <v>273265</v>
      </c>
      <c r="L330" s="1689">
        <f>SUM(L319:L329)</f>
        <v>159730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111308</v>
      </c>
      <c r="D342" s="1689">
        <f>SUM(D330)</f>
        <v>0</v>
      </c>
      <c r="E342" s="1689">
        <f>SUM(E330)</f>
        <v>161629</v>
      </c>
      <c r="F342" s="1689">
        <f>SUM(F330)</f>
        <v>328</v>
      </c>
      <c r="G342" s="1689">
        <f>SUM(G330)</f>
        <v>0</v>
      </c>
      <c r="H342" s="1689">
        <f>SUM(H330,H334,H340)</f>
        <v>0</v>
      </c>
      <c r="I342" s="1689">
        <f>SUM(I330)</f>
        <v>0</v>
      </c>
      <c r="J342" s="1689">
        <f>SUM(J330)</f>
        <v>0</v>
      </c>
      <c r="K342" s="1689">
        <f>SUM(K330,K334,K340)</f>
        <v>273265</v>
      </c>
      <c r="L342" s="1696">
        <f>SUM(L330,L340,L341)</f>
        <v>159730</v>
      </c>
    </row>
    <row r="343" spans="1:14" ht="12.75" customHeight="1" thickTop="1" x14ac:dyDescent="0.2">
      <c r="A343" s="2186" t="s">
        <v>1053</v>
      </c>
      <c r="B343" s="2187"/>
      <c r="C343" s="617"/>
      <c r="D343" s="617"/>
      <c r="E343" s="617"/>
      <c r="F343" s="617"/>
      <c r="G343" s="617"/>
      <c r="H343" s="617"/>
      <c r="I343" s="617"/>
      <c r="J343" s="617"/>
      <c r="K343" s="1703">
        <f>'Revenues 9-14'!J275-'Expenditures 15-22'!K342</f>
        <v>-43939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73" t="s">
        <v>1053</v>
      </c>
      <c r="B368" s="2174"/>
      <c r="C368" s="655"/>
      <c r="D368" s="655"/>
      <c r="E368" s="627"/>
      <c r="F368" s="627"/>
      <c r="G368" s="627"/>
      <c r="H368" s="627"/>
      <c r="I368" s="627"/>
      <c r="J368" s="624"/>
      <c r="K368" s="1690">
        <f>'Revenues 9-14'!K275-'Expenditures 15-22'!K367</f>
        <v>13101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d21dc803-237d-4c68-8692-8d731fd29118"/>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www.w3.org/XML/1998/namespace"/>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2018-12-10T18:01:28Z</cp:lastPrinted>
  <dcterms:created xsi:type="dcterms:W3CDTF">2003-10-29T19:06:34Z</dcterms:created>
  <dcterms:modified xsi:type="dcterms:W3CDTF">2018-12-19T15:36:47Z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