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2 (2)" sheetId="184" r:id="rId33"/>
    <sheet name="SF&amp;QC Sec-2 (3)" sheetId="185" r:id="rId34"/>
    <sheet name="SF&amp;QC Sec-2 (4)" sheetId="186" r:id="rId35"/>
    <sheet name="SF&amp;QC Sec-2 (5)" sheetId="187" r:id="rId36"/>
    <sheet name="SF&amp;QC Sec-3" sheetId="176" r:id="rId37"/>
    <sheet name="SF&amp;QC Sec-3 (2)" sheetId="188" r:id="rId38"/>
    <sheet name="SF&amp;QC Sec-3 (3)" sheetId="189" r:id="rId39"/>
    <sheet name="SSPAF" sheetId="177" r:id="rId40"/>
  </sheets>
  <definedNames>
    <definedName name="_xlnm.Print_Area" localSheetId="28">' SEFA'!$B$1:$M$47</definedName>
    <definedName name="_xlnm.Print_Area" localSheetId="29">'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6">'SF&amp;QC Sec-3'!$A$1:$K$52</definedName>
    <definedName name="_xlnm.Print_Area" localSheetId="37">'SF&amp;QC Sec-3 (2)'!$A$1:$K$52</definedName>
    <definedName name="_xlnm.Print_Area" localSheetId="38">'SF&amp;QC Sec-3 (3)'!$A$1:$K$52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38">#REF!</definedName>
    <definedName name="SCHADDRS" localSheetId="25">#REF!</definedName>
    <definedName name="SCHADDRS" localSheetId="24">#REF!</definedName>
    <definedName name="SCHADDRS" localSheetId="39">#REF!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38">#REF!</definedName>
    <definedName name="SCHCTY" localSheetId="25">#REF!</definedName>
    <definedName name="SCHCTY" localSheetId="24">#REF!</definedName>
    <definedName name="SCHCTY" localSheetId="39">#REF!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38">#REF!</definedName>
    <definedName name="SCHNMBR" localSheetId="25">#REF!</definedName>
    <definedName name="SCHNMBR" localSheetId="24">#REF!</definedName>
    <definedName name="SCHNMBR" localSheetId="39">#REF!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38">#REF!</definedName>
    <definedName name="SCHNME" localSheetId="25">#REF!</definedName>
    <definedName name="SCHNME" localSheetId="24">#REF!</definedName>
    <definedName name="SCHNME" localSheetId="39">#REF!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38">#REF!</definedName>
    <definedName name="SUPT" localSheetId="25">#REF!</definedName>
    <definedName name="SUPT" localSheetId="24">#REF!</definedName>
    <definedName name="SUPT" localSheetId="39">#REF!</definedName>
    <definedName name="SUPT">#REF!</definedName>
    <definedName name="x" localSheetId="33">#REF!</definedName>
    <definedName name="x" localSheetId="34">#REF!</definedName>
    <definedName name="x" localSheetId="35">#REF!</definedName>
    <definedName name="x" localSheetId="37">#REF!</definedName>
    <definedName name="x" localSheetId="38">#REF!</definedName>
    <definedName name="x">#REF!</definedName>
    <definedName name="xx" localSheetId="33">#REF!</definedName>
    <definedName name="xx" localSheetId="34">#REF!</definedName>
    <definedName name="xx" localSheetId="35">#REF!</definedName>
    <definedName name="xx" localSheetId="37">#REF!</definedName>
    <definedName name="xx" localSheetId="38">#REF!</definedName>
    <definedName name="xx">#REF!</definedName>
    <definedName name="xxx" localSheetId="33">#REF!</definedName>
    <definedName name="xxx" localSheetId="34">#REF!</definedName>
    <definedName name="xxx" localSheetId="35">#REF!</definedName>
    <definedName name="xxx" localSheetId="37">#REF!</definedName>
    <definedName name="xxx" localSheetId="38">#REF!</definedName>
    <definedName name="xxx">#REF!</definedName>
    <definedName name="xxxx" localSheetId="33">#REF!</definedName>
    <definedName name="xxxx" localSheetId="34">#REF!</definedName>
    <definedName name="xxxx" localSheetId="35">#REF!</definedName>
    <definedName name="xxxx" localSheetId="37">#REF!</definedName>
    <definedName name="xxxx" localSheetId="38">#REF!</definedName>
    <definedName name="xxxx">#REF!</definedName>
    <definedName name="xxxxx" localSheetId="33">#REF!</definedName>
    <definedName name="xxxxx" localSheetId="34">#REF!</definedName>
    <definedName name="xxxxx" localSheetId="35">#REF!</definedName>
    <definedName name="xxxxx" localSheetId="37">#REF!</definedName>
    <definedName name="xxxxx" localSheetId="38">#REF!</definedName>
    <definedName name="xxxxx">#REF!</definedName>
  </definedNames>
  <calcPr calcId="162913"/>
</workbook>
</file>

<file path=xl/calcChain.xml><?xml version="1.0" encoding="utf-8"?>
<calcChain xmlns="http://schemas.openxmlformats.org/spreadsheetml/2006/main">
  <c r="G38" i="174" l="1"/>
  <c r="C33" i="173" l="1"/>
  <c r="C9" i="4" l="1"/>
  <c r="B4" i="189" l="1"/>
  <c r="B4" i="188"/>
  <c r="B4" i="187"/>
  <c r="B4" i="186"/>
  <c r="B4" i="185"/>
  <c r="B4" i="184"/>
  <c r="K23" i="183" l="1"/>
  <c r="J23" i="183"/>
  <c r="I23" i="183"/>
  <c r="H23" i="183"/>
  <c r="G23" i="183"/>
  <c r="F23" i="183"/>
  <c r="E23" i="183"/>
  <c r="K15" i="183"/>
  <c r="J15" i="183"/>
  <c r="I15" i="183"/>
  <c r="H15" i="183"/>
  <c r="G15" i="183"/>
  <c r="F15" i="183"/>
  <c r="E15" i="183"/>
  <c r="K18" i="179"/>
  <c r="K24" i="183" s="1"/>
  <c r="J18" i="179"/>
  <c r="I18" i="179"/>
  <c r="H18" i="179"/>
  <c r="G18" i="179"/>
  <c r="F18" i="179"/>
  <c r="E18" i="179"/>
  <c r="L24" i="179"/>
  <c r="J24" i="183" l="1"/>
  <c r="E24" i="183"/>
  <c r="G24" i="183"/>
  <c r="F24" i="183"/>
  <c r="D35" i="171" s="1"/>
  <c r="H24" i="183"/>
  <c r="I24" i="183"/>
  <c r="D45" i="174" s="1"/>
  <c r="L17" i="179"/>
  <c r="L16" i="179"/>
  <c r="L15" i="179"/>
  <c r="L14" i="179"/>
  <c r="L13" i="179"/>
  <c r="E10" i="108"/>
  <c r="L18" i="179" l="1"/>
  <c r="D215" i="29"/>
  <c r="L22" i="183" l="1"/>
  <c r="L21" i="183"/>
  <c r="L20" i="183"/>
  <c r="L19" i="183"/>
  <c r="L18" i="183"/>
  <c r="L14" i="183"/>
  <c r="L13"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9" i="179" l="1"/>
  <c r="L28" i="179"/>
  <c r="L27" i="179"/>
  <c r="L26" i="179"/>
  <c r="L25" i="179"/>
  <c r="L23" i="179"/>
  <c r="L22" i="179"/>
  <c r="L2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9"/>
  <c r="B1" i="188"/>
  <c r="B1" i="186"/>
  <c r="B1" i="184"/>
  <c r="B1" i="187"/>
  <c r="B1" i="185"/>
  <c r="B2" i="184"/>
  <c r="B2" i="189"/>
  <c r="B2" i="185"/>
  <c r="B2" i="188"/>
  <c r="B2" i="187"/>
  <c r="B2" i="186"/>
  <c r="B2" i="179"/>
  <c r="B2" i="183"/>
  <c r="A2" i="173"/>
  <c r="B2" i="174"/>
  <c r="B2" i="177"/>
  <c r="A2" i="170"/>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D7763" i="106" s="1"/>
  <c r="B7762" i="106"/>
  <c r="K12" i="12"/>
  <c r="B7719" i="106" s="1"/>
  <c r="D7719" i="106" s="1"/>
  <c r="K23" i="12"/>
  <c r="J12" i="12"/>
  <c r="B7718" i="106" s="1"/>
  <c r="D7718" i="106" s="1"/>
  <c r="J21" i="12"/>
  <c r="J23" i="12" s="1"/>
  <c r="B7729" i="106"/>
  <c r="D7729" i="106" s="1"/>
  <c r="B7734" i="106"/>
  <c r="D7734" i="106" s="1"/>
  <c r="B7726" i="106"/>
  <c r="D76" i="36"/>
  <c r="F162" i="34"/>
  <c r="B30" i="36"/>
  <c r="B33" i="36" s="1"/>
  <c r="B43" i="36" s="1"/>
  <c r="B56" i="36" s="1"/>
  <c r="B66" i="36" s="1"/>
  <c r="B70" i="36" s="1"/>
  <c r="B74" i="36" s="1"/>
  <c r="D73" i="36"/>
  <c r="C191" i="5"/>
  <c r="C201" i="5"/>
  <c r="B5246" i="106" s="1"/>
  <c r="D5246" i="106" s="1"/>
  <c r="C211" i="5"/>
  <c r="C216" i="5"/>
  <c r="C224" i="5"/>
  <c r="C228" i="5"/>
  <c r="C259" i="5"/>
  <c r="B7761" i="106"/>
  <c r="D7761" i="106" s="1"/>
  <c r="L127" i="29"/>
  <c r="L129" i="29" s="1"/>
  <c r="L139" i="29"/>
  <c r="L149" i="29"/>
  <c r="I7" i="145"/>
  <c r="I6" i="145"/>
  <c r="D78" i="36"/>
  <c r="K75" i="29"/>
  <c r="K130" i="29"/>
  <c r="K185" i="29"/>
  <c r="K122" i="29"/>
  <c r="F15" i="145" s="1"/>
  <c r="F19" i="145" s="1"/>
  <c r="K67" i="29"/>
  <c r="K64" i="29"/>
  <c r="K59" i="29"/>
  <c r="E15" i="145"/>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2" i="127"/>
  <c r="B63"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F106" i="34"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F184" i="5"/>
  <c r="B5658" i="106" s="1"/>
  <c r="D5658" i="106" s="1"/>
  <c r="G184" i="5"/>
  <c r="B5784" i="106" s="1"/>
  <c r="D5784" i="106" s="1"/>
  <c r="H184" i="5"/>
  <c r="B5908" i="106" s="1"/>
  <c r="D5908" i="106" s="1"/>
  <c r="K184" i="5"/>
  <c r="B6016" i="106" s="1"/>
  <c r="D6016" i="106" s="1"/>
  <c r="B4395" i="106"/>
  <c r="D4395" i="106" s="1"/>
  <c r="D191" i="5"/>
  <c r="F191" i="5"/>
  <c r="G191" i="5"/>
  <c r="G201" i="5"/>
  <c r="B6409" i="106" s="1"/>
  <c r="D6409" i="106" s="1"/>
  <c r="B5260" i="106"/>
  <c r="D5260" i="106" s="1"/>
  <c r="D211" i="5"/>
  <c r="B5444" i="106" s="1"/>
  <c r="D5444" i="106" s="1"/>
  <c r="F211" i="5"/>
  <c r="B5677" i="106" s="1"/>
  <c r="D5677" i="106" s="1"/>
  <c r="G211" i="5"/>
  <c r="B5803" i="106" s="1"/>
  <c r="D5803" i="106" s="1"/>
  <c r="B4411" i="106"/>
  <c r="D4411" i="106" s="1"/>
  <c r="D216" i="5"/>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B5752" i="106"/>
  <c r="D5752" i="106" s="1"/>
  <c r="B5599" i="106"/>
  <c r="D5599" i="106" s="1"/>
  <c r="B3647" i="106" l="1"/>
  <c r="D3647" i="106" s="1"/>
  <c r="B1223" i="106"/>
  <c r="D1223" i="106" s="1"/>
  <c r="F131" i="34"/>
  <c r="F128" i="34"/>
  <c r="F127" i="34"/>
  <c r="B4396" i="106"/>
  <c r="D4396" i="106" s="1"/>
  <c r="B5425" i="106"/>
  <c r="D5425" i="106" s="1"/>
  <c r="F49" i="34"/>
  <c r="F45" i="34"/>
  <c r="F42" i="34"/>
  <c r="D24" i="37"/>
  <c r="B4270" i="106" s="1"/>
  <c r="D4270" i="106" s="1"/>
  <c r="B7231" i="106"/>
  <c r="D7231" i="106" s="1"/>
  <c r="B3619" i="106"/>
  <c r="D3619" i="106" s="1"/>
  <c r="B7235" i="106"/>
  <c r="D7235" i="106" s="1"/>
  <c r="B4412" i="106"/>
  <c r="D4412" i="106" s="1"/>
  <c r="B5383" i="106"/>
  <c r="D5383" i="106" s="1"/>
  <c r="F111" i="34"/>
  <c r="F130" i="34"/>
  <c r="G5" i="4"/>
  <c r="B3409" i="106" s="1"/>
  <c r="D3409" i="106" s="1"/>
  <c r="F136" i="34"/>
  <c r="D5" i="4"/>
  <c r="B3406" i="106" s="1"/>
  <c r="D3406" i="106" s="1"/>
  <c r="B4373" i="106"/>
  <c r="D4373" i="106" s="1"/>
  <c r="D68" i="36"/>
  <c r="D22" i="37"/>
  <c r="D11" i="7"/>
  <c r="B1768" i="106" s="1"/>
  <c r="D1768" i="106" s="1"/>
  <c r="J41" i="3"/>
  <c r="B6216" i="106" s="1"/>
  <c r="D6216" i="106" s="1"/>
  <c r="B7727" i="106"/>
  <c r="D7727" i="106" s="1"/>
  <c r="D7" i="7"/>
  <c r="B1763" i="106" s="1"/>
  <c r="D1763" i="106" s="1"/>
  <c r="K76" i="4"/>
  <c r="B3586" i="106" s="1"/>
  <c r="D3586" i="106" s="1"/>
  <c r="H33" i="118"/>
  <c r="B1746" i="106"/>
  <c r="D1746" i="106" s="1"/>
  <c r="D15" i="7"/>
  <c r="B1772" i="106" s="1"/>
  <c r="D1772" i="106" s="1"/>
  <c r="F172" i="5"/>
  <c r="B5644" i="106" s="1"/>
  <c r="D5644" i="106" s="1"/>
  <c r="B1329" i="106"/>
  <c r="D1329" i="106" s="1"/>
  <c r="F61" i="34"/>
  <c r="K184" i="29"/>
  <c r="F13" i="4" s="1"/>
  <c r="B2596" i="106" s="1"/>
  <c r="D2596" i="106" s="1"/>
  <c r="D7245" i="106"/>
  <c r="G15" i="145"/>
  <c r="J274" i="5"/>
  <c r="B7054" i="106" s="1"/>
  <c r="D7054" i="106" s="1"/>
  <c r="H28" i="118"/>
  <c r="L367" i="29"/>
  <c r="I342" i="29"/>
  <c r="B7222" i="106" s="1"/>
  <c r="D7222" i="106" s="1"/>
  <c r="H109" i="5"/>
  <c r="B6025" i="106" s="1"/>
  <c r="D6025" i="106" s="1"/>
  <c r="H4" i="4"/>
  <c r="B2655" i="106" s="1"/>
  <c r="D2655" i="106" s="1"/>
  <c r="K24" i="12"/>
  <c r="N22" i="3"/>
  <c r="B283" i="106" s="1"/>
  <c r="D283" i="106" s="1"/>
  <c r="L22" i="37"/>
  <c r="J22" i="37"/>
  <c r="D69" i="36"/>
  <c r="D9" i="7"/>
  <c r="B1767" i="106" s="1"/>
  <c r="D1767" i="106" s="1"/>
  <c r="I210" i="29"/>
  <c r="H342" i="29"/>
  <c r="B7221" i="106" s="1"/>
  <c r="D7221" i="106" s="1"/>
  <c r="D109" i="5"/>
  <c r="G109" i="5"/>
  <c r="H173" i="5"/>
  <c r="B6289" i="106"/>
  <c r="D6289" i="106" s="1"/>
  <c r="H76" i="4"/>
  <c r="B3298" i="106" s="1"/>
  <c r="D3298" i="106" s="1"/>
  <c r="B2724" i="106"/>
  <c r="D2724" i="106" s="1"/>
  <c r="F34" i="34"/>
  <c r="B5096" i="106"/>
  <c r="D5096" i="106" s="1"/>
  <c r="D6103" i="106"/>
  <c r="L15" i="11"/>
  <c r="B3459" i="106" s="1"/>
  <c r="D3459" i="106" s="1"/>
  <c r="F19" i="7"/>
  <c r="B1807" i="106" s="1"/>
  <c r="D1807" i="106" s="1"/>
  <c r="D13" i="7"/>
  <c r="B3726" i="106" s="1"/>
  <c r="D3726" i="106" s="1"/>
  <c r="D5" i="7"/>
  <c r="B1761" i="106" s="1"/>
  <c r="D1761" i="106" s="1"/>
  <c r="D4" i="7"/>
  <c r="B1760" i="106" s="1"/>
  <c r="D1760" i="106" s="1"/>
  <c r="D12" i="7"/>
  <c r="B1769" i="106" s="1"/>
  <c r="D1769" i="106" s="1"/>
  <c r="L312" i="29"/>
  <c r="C342" i="29"/>
  <c r="B7216" i="106" s="1"/>
  <c r="D7216" i="106" s="1"/>
  <c r="G172" i="5"/>
  <c r="K274" i="5"/>
  <c r="K7" i="4" s="1"/>
  <c r="B3718" i="106" s="1"/>
  <c r="D3718" i="106" s="1"/>
  <c r="C109" i="5"/>
  <c r="B5121" i="106" s="1"/>
  <c r="D5121" i="106" s="1"/>
  <c r="F77" i="4"/>
  <c r="B3255" i="106" s="1"/>
  <c r="D3255" i="106" s="1"/>
  <c r="D54" i="36"/>
  <c r="D31" i="36"/>
  <c r="D11" i="37"/>
  <c r="H29" i="118"/>
  <c r="L5" i="11"/>
  <c r="B2056" i="106" s="1"/>
  <c r="D2056" i="106" s="1"/>
  <c r="L13" i="11"/>
  <c r="B2060" i="106" s="1"/>
  <c r="D2060" i="106" s="1"/>
  <c r="I24" i="12"/>
  <c r="F21" i="8"/>
  <c r="D17" i="7"/>
  <c r="B4104" i="106" s="1"/>
  <c r="D4104" i="106" s="1"/>
  <c r="B3649" i="106"/>
  <c r="D3649" i="106" s="1"/>
  <c r="G367" i="29"/>
  <c r="B3650" i="106" s="1"/>
  <c r="D3650" i="106" s="1"/>
  <c r="L342" i="29"/>
  <c r="B1410" i="106"/>
  <c r="D1410" i="106" s="1"/>
  <c r="B3621" i="106"/>
  <c r="D3621" i="106" s="1"/>
  <c r="C367" i="29"/>
  <c r="B3622" i="106" s="1"/>
  <c r="D3622" i="106" s="1"/>
  <c r="H365" i="29"/>
  <c r="B7242" i="106" s="1"/>
  <c r="D7242" i="106" s="1"/>
  <c r="G210" i="29"/>
  <c r="E174" i="29"/>
  <c r="B1309" i="106" s="1"/>
  <c r="D1309" i="106" s="1"/>
  <c r="J129" i="29"/>
  <c r="B7038" i="106" s="1"/>
  <c r="D7038" i="106" s="1"/>
  <c r="K350" i="29"/>
  <c r="K285" i="29"/>
  <c r="B3724" i="106" s="1"/>
  <c r="D3724" i="106" s="1"/>
  <c r="I129" i="29"/>
  <c r="B7037" i="106" s="1"/>
  <c r="D7037" i="106" s="1"/>
  <c r="J210" i="29"/>
  <c r="B7072" i="106" s="1"/>
  <c r="D7072" i="106" s="1"/>
  <c r="E109" i="5"/>
  <c r="E4" i="4" s="1"/>
  <c r="B2630" i="106" s="1"/>
  <c r="D2630" i="106" s="1"/>
  <c r="B7041" i="106"/>
  <c r="D7041" i="106" s="1"/>
  <c r="C172" i="5"/>
  <c r="K173" i="5"/>
  <c r="K6" i="4" s="1"/>
  <c r="B3570" i="106" s="1"/>
  <c r="D3570" i="106" s="1"/>
  <c r="I173" i="5"/>
  <c r="B4216" i="106" s="1"/>
  <c r="D4216" i="106" s="1"/>
  <c r="J77" i="4"/>
  <c r="B6262" i="106" s="1"/>
  <c r="D6262" i="106" s="1"/>
  <c r="K41" i="3"/>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D51" i="36" l="1"/>
  <c r="B7071" i="106"/>
  <c r="D7071" i="106" s="1"/>
  <c r="F66" i="34"/>
  <c r="B1266" i="106"/>
  <c r="D1266" i="106" s="1"/>
  <c r="B1317" i="106"/>
  <c r="D1317" i="106" s="1"/>
  <c r="B1365" i="106"/>
  <c r="D1365" i="106" s="1"/>
  <c r="F65" i="34"/>
  <c r="B6014" i="106"/>
  <c r="D6014" i="106" s="1"/>
  <c r="I6" i="4"/>
  <c r="B5011" i="106" s="1"/>
  <c r="D5011" i="106" s="1"/>
  <c r="B5906" i="106"/>
  <c r="D5906" i="106" s="1"/>
  <c r="H6" i="4"/>
  <c r="B2656" i="106" s="1"/>
  <c r="D2656" i="106" s="1"/>
  <c r="G173" i="5"/>
  <c r="B5770" i="106"/>
  <c r="D5770" i="106" s="1"/>
  <c r="F173" i="5"/>
  <c r="B5653" i="106" s="1"/>
  <c r="D5653" i="106" s="1"/>
  <c r="B1381" i="106"/>
  <c r="D1381" i="106" s="1"/>
  <c r="K77" i="4"/>
  <c r="B3587" i="106" s="1"/>
  <c r="D3587" i="106" s="1"/>
  <c r="J7" i="4"/>
  <c r="B6222" i="106" s="1"/>
  <c r="D6222" i="106" s="1"/>
  <c r="B5527" i="106"/>
  <c r="D5527" i="106" s="1"/>
  <c r="K28" i="118"/>
  <c r="O27" i="118" s="1"/>
  <c r="O29" i="118" s="1"/>
  <c r="D7255" i="106"/>
  <c r="D7256" i="106"/>
  <c r="D7250" i="106"/>
  <c r="N23" i="3"/>
  <c r="B284" i="106" s="1"/>
  <c r="D284" i="106" s="1"/>
  <c r="K365" i="29"/>
  <c r="K16" i="4" s="1"/>
  <c r="B6022" i="106"/>
  <c r="D6022" i="106" s="1"/>
  <c r="H275" i="5"/>
  <c r="B5915" i="106" s="1"/>
  <c r="D5915" i="106" s="1"/>
  <c r="H77" i="4"/>
  <c r="B3299" i="106" s="1"/>
  <c r="D3299" i="106" s="1"/>
  <c r="F73" i="34"/>
  <c r="G15" i="4"/>
  <c r="B6032" i="106" s="1"/>
  <c r="D6032" i="106" s="1"/>
  <c r="B6024" i="106"/>
  <c r="D6024" i="106" s="1"/>
  <c r="G4" i="4"/>
  <c r="B2603" i="106" s="1"/>
  <c r="D2603" i="106" s="1"/>
  <c r="F6" i="4"/>
  <c r="B2593" i="106" s="1"/>
  <c r="D2593" i="106" s="1"/>
  <c r="B5356" i="106"/>
  <c r="D5356" i="106" s="1"/>
  <c r="D4" i="4"/>
  <c r="B2564" i="106" s="1"/>
  <c r="D2564" i="106" s="1"/>
  <c r="D7251" i="106"/>
  <c r="B7733" i="106"/>
  <c r="D7733" i="106" s="1"/>
  <c r="K26" i="12"/>
  <c r="B7743" i="106" s="1"/>
  <c r="D7743" i="106" s="1"/>
  <c r="B2657" i="106"/>
  <c r="D2657" i="106" s="1"/>
  <c r="B5914" i="106"/>
  <c r="D5914" i="106" s="1"/>
  <c r="C4" i="4"/>
  <c r="B2551" i="106" s="1"/>
  <c r="D2551" i="106" s="1"/>
  <c r="D7253" i="106"/>
  <c r="D7252" i="106"/>
  <c r="K342" i="29"/>
  <c r="F13" i="34" s="1"/>
  <c r="F274" i="5"/>
  <c r="B5719" i="106" s="1"/>
  <c r="D5719" i="106" s="1"/>
  <c r="D44" i="36"/>
  <c r="D7254" i="106"/>
  <c r="L16" i="11"/>
  <c r="B2061" i="106" s="1"/>
  <c r="D2061" i="106" s="1"/>
  <c r="I26" i="12"/>
  <c r="B7741" i="106" s="1"/>
  <c r="D7741" i="106" s="1"/>
  <c r="B1996" i="106"/>
  <c r="D1996" i="106" s="1"/>
  <c r="B1879" i="106"/>
  <c r="D1879" i="106" s="1"/>
  <c r="H22" i="37"/>
  <c r="D19" i="7"/>
  <c r="B1775" i="106" s="1"/>
  <c r="D1775" i="106" s="1"/>
  <c r="B3670" i="106"/>
  <c r="D3670" i="106" s="1"/>
  <c r="K352" i="29"/>
  <c r="H367" i="29"/>
  <c r="B3660" i="106" s="1"/>
  <c r="D3660" i="106" s="1"/>
  <c r="I151" i="29"/>
  <c r="F59" i="34" s="1"/>
  <c r="C114" i="29"/>
  <c r="B757" i="106" s="1"/>
  <c r="D757" i="106" s="1"/>
  <c r="J151" i="29"/>
  <c r="B7052" i="106" s="1"/>
  <c r="D7052" i="106" s="1"/>
  <c r="L114" i="29"/>
  <c r="B5214" i="106"/>
  <c r="D5214" i="106" s="1"/>
  <c r="C173" i="5"/>
  <c r="D274" i="5"/>
  <c r="D7" i="4" s="1"/>
  <c r="B3568" i="106"/>
  <c r="D3568" i="106" s="1"/>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H8" i="4" l="1"/>
  <c r="B2658" i="106" s="1"/>
  <c r="D2658" i="106" s="1"/>
  <c r="K13" i="4"/>
  <c r="B3572" i="106" s="1"/>
  <c r="D3572" i="106" s="1"/>
  <c r="B3672" i="106"/>
  <c r="D3672" i="106" s="1"/>
  <c r="B5778" i="106"/>
  <c r="D5778" i="106" s="1"/>
  <c r="G6" i="4"/>
  <c r="B2604" i="106" s="1"/>
  <c r="D2604" i="106" s="1"/>
  <c r="H10" i="4"/>
  <c r="B4127" i="106" s="1"/>
  <c r="D4127" i="106" s="1"/>
  <c r="F275" i="5"/>
  <c r="B5720" i="106" s="1"/>
  <c r="D5720" i="106" s="1"/>
  <c r="B7243" i="106"/>
  <c r="D7243" i="106" s="1"/>
  <c r="K367" i="29"/>
  <c r="B3678" i="106" s="1"/>
  <c r="D3678" i="106" s="1"/>
  <c r="D275" i="5"/>
  <c r="B5508" i="106" s="1"/>
  <c r="D5508" i="106" s="1"/>
  <c r="B7224" i="106"/>
  <c r="D7224" i="106" s="1"/>
  <c r="J8" i="4"/>
  <c r="B6223" i="106" s="1"/>
  <c r="D6223" i="106" s="1"/>
  <c r="F7" i="4"/>
  <c r="B2594" i="106" s="1"/>
  <c r="D2594" i="106" s="1"/>
  <c r="B5507" i="106"/>
  <c r="D5507" i="106" s="1"/>
  <c r="J17" i="4"/>
  <c r="J19" i="4" s="1"/>
  <c r="B6229" i="106" s="1"/>
  <c r="D6229" i="106" s="1"/>
  <c r="F24" i="37"/>
  <c r="B1145" i="106"/>
  <c r="D1145" i="106" s="1"/>
  <c r="B5223" i="106"/>
  <c r="D5223" i="106" s="1"/>
  <c r="C6" i="4"/>
  <c r="B2553" i="106" s="1"/>
  <c r="D2553"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F8" i="4"/>
  <c r="D8" i="146" s="1"/>
  <c r="K368" i="29"/>
  <c r="B3681" i="106" s="1"/>
  <c r="D3681" i="106" s="1"/>
  <c r="J20" i="4"/>
  <c r="B6227" i="106"/>
  <c r="D6227" i="106" s="1"/>
  <c r="D8" i="4"/>
  <c r="D10" i="4" s="1"/>
  <c r="B4123" i="106" s="1"/>
  <c r="D4123" i="106" s="1"/>
  <c r="B2595" i="106"/>
  <c r="D2595" i="106" s="1"/>
  <c r="F10" i="4"/>
  <c r="B4125" i="106" s="1"/>
  <c r="D412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B2568" i="106"/>
  <c r="D2568" i="106" s="1"/>
  <c r="H13" i="118" l="1"/>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179" i="34"/>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<sst xmlns="http://schemas.openxmlformats.org/spreadsheetml/2006/main" count="5477" uniqueCount="2235">
  <si>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</si>
  <si>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</si>
  <si>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</si>
  <si>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</si>
  <si>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</si>
  <si>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</si>
  <si>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</si>
  <si>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</si>
  <si>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</si>
  <si>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</si>
  <si>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</si>
  <si>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</si>
  <si>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</si>
  <si>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</si>
  <si>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</si>
  <si>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</si>
  <si>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</si>
  <si>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</si>
  <si>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</si>
  <si>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</si>
  <si>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</si>
  <si>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</si>
  <si>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</si>
  <si>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</si>
  <si>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</si>
  <si>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</si>
  <si>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</si>
  <si>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</si>
  <si>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</si>
  <si>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</si>
  <si>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</si>
  <si>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</si>
  <si>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</si>
  <si>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</si>
  <si>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</si>
  <si>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</si>
  <si>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</si>
  <si>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</si>
  <si>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</si>
  <si>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</si>
  <si>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</si>
  <si>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</si>
  <si>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</si>
  <si>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</si>
  <si>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</si>
  <si>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</si>
  <si>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</si>
  <si>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</si>
  <si>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</si>
  <si>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</si>
  <si>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</si>
  <si>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</si>
  <si>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</si>
  <si>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</si>
  <si>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</si>
  <si>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</si>
  <si>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</si>
  <si>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</si>
  <si>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</si>
  <si>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</si>
  <si>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</si>
  <si>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</si>
  <si>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</si>
  <si>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</si>
  <si>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</si>
  <si>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</si>
  <si>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</si>
  <si>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</si>
  <si>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</si>
  <si>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</si>
  <si>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</si>
  <si>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</si>
  <si>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</si>
  <si>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</si>
  <si>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</si>
  <si>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</si>
  <si>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</si>
  <si>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</si>
  <si>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</si>
  <si>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</si>
  <si>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</si>
  <si>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</si>
  <si>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</si>
  <si>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</si>
  <si>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</si>
  <si>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</si>
  <si>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</si>
  <si>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</si>
  <si>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</si>
  <si>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</si>
  <si>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</si>
  <si>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</si>
  <si>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</si>
  <si>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</si>
  <si>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</si>
  <si>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</si>
  <si>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</si>
  <si>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</si>
  <si>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</si>
  <si>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</si>
  <si>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</si>
  <si>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</si>
  <si>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</si>
  <si>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</si>
  <si>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</si>
  <si>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</si>
  <si>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</si>
  <si>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</si>
  <si>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</si>
  <si>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</si>
  <si>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</si>
  <si>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</si>
  <si>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</si>
  <si>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</si>
  <si>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</si>
  <si>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</si>
  <si>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</si>
  <si>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</si>
  <si>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</si>
  <si>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</si>
  <si>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</si>
  <si>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</si>
  <si>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</si>
  <si>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</si>
  <si>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</si>
  <si>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</si>
  <si>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</si>
  <si>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</si>
  <si>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</si>
  <si>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</si>
  <si>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</si>
  <si>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</si>
  <si>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</si>
  <si>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</si>
  <si>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</si>
  <si>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</si>
  <si>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</si>
  <si>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</si>
  <si>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</si>
  <si>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</si>
  <si>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</si>
  <si>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</si>
  <si>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</si>
  <si>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</si>
  <si>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</si>
  <si>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</si>
  <si>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</si>
  <si>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</si>
  <si>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</si>
  <si>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</si>
  <si>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</si>
  <si>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</si>
  <si>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</si>
  <si>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</si>
  <si>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</si>
  <si>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</si>
  <si>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</si>
  <si>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</si>
  <si>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</si>
  <si>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</si>
  <si>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</si>
  <si>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</si>
  <si>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</si>
  <si>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</si>
  <si>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</si>
  <si>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</si>
  <si>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</si>
  <si>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</si>
  <si>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</si>
  <si>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</si>
  <si>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</si>
  <si>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</si>
  <si>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</si>
  <si>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</si>
  <si>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</si>
  <si>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</si>
  <si>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</si>
  <si>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</si>
  <si>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</si>
  <si>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</si>
  <si>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</si>
  <si>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</si>
  <si>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</si>
  <si>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</si>
  <si>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</si>
  <si>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</si>
  <si>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</si>
  <si>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</si>
  <si>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</si>
  <si>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</si>
  <si>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</si>
  <si>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</si>
  <si>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</si>
  <si>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</si>
  <si>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</si>
  <si>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</si>
  <si>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</si>
  <si>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</si>
  <si>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</si>
  <si>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</si>
  <si>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</si>
  <si>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</si>
  <si>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</si>
  <si>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</si>
  <si>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</si>
  <si>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</si>
  <si>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</si>
  <si>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</si>
  <si>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</si>
  <si>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</si>
  <si>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</si>
  <si>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</si>
  <si>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</si>
  <si>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</si>
  <si>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</si>
  <si>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</si>
  <si>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</si>
  <si>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</si>
  <si>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</si>
  <si>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</si>
  <si>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</si>
  <si>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</si>
  <si>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</si>
  <si>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</si>
  <si>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</si>
  <si>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</si>
  <si>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</si>
  <si>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</si>
  <si>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</si>
  <si>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</si>
  <si>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</si>
  <si>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</si>
  <si>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</si>
  <si>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</si>
  <si>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</si>
  <si>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</si>
  <si>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</si>
  <si>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</si>
  <si>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</si>
  <si>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</si>
  <si>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</si>
  <si>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</si>
  <si>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</si>
  <si>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</si>
  <si>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</si>
  <si>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</si>
  <si>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</si>
  <si>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</si>
  <si>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</si>
  <si>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</si>
  <si>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</si>
  <si>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</si>
  <si>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</si>
  <si>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</si>
  <si>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</si>
  <si>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</si>
  <si>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</si>
  <si>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</si>
  <si>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</si>
  <si>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</si>
  <si>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</si>
  <si>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</si>
  <si>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</si>
  <si>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</si>
  <si>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</si>
  <si>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</si>
  <si>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</si>
  <si>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</si>
  <si>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</si>
  <si>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</si>
  <si>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</si>
  <si>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</si>
  <si>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</si>
  <si>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</si>
  <si>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</si>
  <si>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</si>
  <si>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</si>
  <si>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</si>
  <si>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</si>
  <si>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</si>
  <si>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</si>
  <si>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</si>
  <si>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</si>
  <si>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</si>
  <si>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</si>
  <si>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</si>
  <si>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</si>
  <si>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</si>
  <si>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</si>
  <si>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</si>
  <si>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</si>
  <si>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</si>
  <si>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</si>
  <si>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</si>
  <si>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</si>
  <si>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</si>
  <si>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</si>
  <si>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</si>
  <si>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</si>
  <si>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</si>
  <si>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</si>
  <si>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</si>
  <si>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</si>
  <si>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</si>
  <si>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</si>
  <si>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</si>
  <si>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</si>
  <si>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</si>
  <si>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</si>
  <si>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</si>
  <si>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</si>
  <si>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</si>
  <si>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</si>
  <si>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</si>
  <si>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</si>
  <si>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</si>
  <si>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</si>
  <si>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</si>
  <si>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</si>
  <si>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</si>
  <si>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</si>
  <si>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</si>
  <si>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</si>
  <si>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</si>
  <si>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</si>
  <si>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</si>
  <si>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</si>
  <si>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</si>
  <si>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</si>
  <si>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</si>
  <si>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</si>
  <si>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</si>
  <si>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</si>
  <si>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</si>
  <si>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</si>
  <si>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</si>
  <si>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</si>
  <si>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</si>
  <si>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</si>
  <si>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</si>
  <si>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</si>
  <si>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</si>
  <si>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</si>
  <si>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</si>
  <si>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</si>
  <si>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</si>
  <si>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</si>
  <si>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</si>
  <si>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</si>
  <si>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</si>
  <si>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</si>
  <si>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</si>
  <si>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</si>
  <si>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</si>
  <si>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</si>
  <si>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</si>
  <si>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</si>
  <si>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</si>
  <si>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</si>
  <si>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</si>
  <si>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</si>
  <si>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</si>
  <si>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</si>
  <si>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</si>
  <si>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</si>
  <si>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</si>
  <si>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</si>
  <si>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</si>
  <si>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</si>
  <si>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</si>
  <si>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</si>
  <si>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</si>
  <si>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</si>
  <si>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</si>
  <si>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</si>
  <si>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</si>
  <si>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</si>
  <si>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</si>
  <si>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</si>
  <si>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</si>
  <si>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</si>
  <si>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</si>
  <si>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</si>
  <si>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</si>
  <si>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</si>
  <si>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</si>
  <si>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</si>
  <si>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</si>
  <si>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</si>
  <si>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</si>
  <si>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</si>
  <si>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</si>
  <si>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</si>
  <si>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</si>
  <si>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</si>
  <si>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</si>
  <si>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</si>
  <si>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</si>
  <si>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</si>
  <si>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</si>
  <si>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</si>
  <si>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</si>
  <si>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</si>
  <si>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</si>
  <si>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</si>
  <si>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</si>
  <si>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</si>
  <si>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</si>
  <si>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</si>
  <si>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</si>
  <si>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</si>
  <si>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</si>
  <si>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</si>
  <si>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</si>
  <si>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</si>
  <si>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</si>
  <si>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</si>
  <si>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</si>
  <si>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</si>
  <si>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</si>
  <si>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</si>
  <si>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</si>
  <si>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</si>
  <si>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</si>
  <si>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</si>
  <si>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</si>
  <si>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</si>
  <si>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</si>
  <si>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</si>
  <si>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</si>
  <si>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</si>
  <si>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</si>
  <si>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</si>
  <si>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</si>
  <si>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</si>
  <si>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</si>
  <si>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</si>
  <si>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</si>
  <si>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</si>
  <si>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</si>
  <si>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</si>
  <si>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</si>
  <si>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</si>
  <si>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</si>
  <si>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</si>
  <si>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</si>
  <si>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</si>
  <si>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</si>
  <si>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</si>
  <si>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</si>
  <si>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</si>
  <si>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</si>
  <si>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</si>
  <si>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</si>
  <si>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</si>
  <si>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</si>
  <si>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</si>
  <si>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</si>
  <si>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</si>
  <si>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</si>
  <si>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</si>
  <si>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</si>
  <si>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</si>
  <si>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</si>
  <si>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</si>
  <si>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</si>
  <si>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</si>
  <si>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</si>
  <si>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</si>
  <si>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</si>
  <si>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</si>
  <si>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</si>
  <si>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</si>
  <si>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</si>
  <si>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</si>
  <si>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</si>
  <si>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</si>
  <si>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</si>
  <si>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</si>
  <si>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</si>
  <si>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</si>
  <si>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</si>
  <si>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</si>
  <si>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</si>
  <si>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</si>
  <si>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</si>
  <si>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</si>
  <si>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</si>
  <si>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</si>
  <si>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</si>
  <si>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</si>
  <si>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</si>
  <si>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</si>
  <si>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</si>
  <si>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</si>
  <si>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</si>
  <si>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</si>
  <si>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</si>
  <si>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</si>
  <si>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</si>
  <si>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</si>
  <si>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</si>
  <si>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</si>
  <si>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</si>
  <si>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</si>
  <si>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</si>
  <si>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</si>
  <si>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</si>
  <si>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</si>
  <si>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</si>
  <si>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</si>
  <si>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</si>
  <si>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</si>
  <si>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</si>
  <si>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</si>
  <si>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</si>
  <si>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</si>
  <si>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</si>
  <si>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</si>
  <si>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</si>
  <si>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</si>
  <si>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</si>
  <si>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</si>
  <si>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</si>
  <si>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</si>
  <si>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</si>
  <si>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</si>
  <si>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</si>
  <si>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</si>
  <si>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</si>
  <si>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</si>
  <si>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</si>
  <si>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</si>
  <si>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</si>
  <si>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</si>
  <si>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</si>
  <si>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</si>
  <si>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</si>
  <si>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</si>
  <si>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</si>
  <si>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</si>
  <si>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</si>
  <si>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</si>
  <si>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</si>
  <si>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</si>
  <si>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</si>
  <si>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</si>
  <si>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</si>
  <si>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</si>
  <si>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</si>
  <si>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</si>
  <si>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</si>
  <si>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</si>
  <si>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</si>
  <si>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</si>
  <si>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</si>
  <si>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</si>
  <si>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</si>
  <si>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</si>
  <si>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</si>
  <si>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</si>
  <si>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</si>
  <si>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</si>
  <si>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</si>
  <si>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</si>
  <si>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</si>
  <si>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</si>
  <si>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</si>
  <si>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</si>
  <si>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</si>
  <si>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</si>
  <si>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</si>
  <si>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</si>
  <si>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</si>
  <si>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</si>
  <si>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</si>
  <si>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</si>
  <si>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</si>
  <si>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</si>
  <si>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</si>
  <si>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</si>
  <si>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</si>
  <si>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</si>
  <si>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</si>
  <si>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</si>
  <si>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</si>
  <si>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</si>
  <si>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</si>
  <si>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</si>
  <si>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</si>
  <si>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</si>
  <si>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</si>
  <si>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</si>
  <si>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</si>
  <si>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</si>
  <si>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</si>
  <si>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</si>
  <si>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</si>
  <si>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</si>
  <si>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</si>
  <si>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</si>
  <si>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</si>
  <si>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</si>
  <si>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</si>
  <si>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</si>
  <si>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</si>
  <si>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</si>
  <si>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</si>
  <si>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</si>
  <si>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</si>
  <si>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</si>
  <si>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</si>
  <si>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</si>
  <si>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</si>
  <si>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</si>
  <si>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</si>
  <si>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</si>
  <si>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</si>
  <si>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</si>
  <si>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</si>
  <si>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</si>
  <si>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</si>
  <si>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</si>
  <si>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</si>
  <si>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</si>
  <si>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</si>
  <si>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</si>
  <si>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</si>
  <si>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</si>
  <si>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</si>
  <si>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</si>
  <si>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</si>
  <si>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</si>
  <si>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</si>
  <si>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</si>
  <si>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</si>
  <si>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</si>
  <si>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</si>
  <si>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</si>
  <si>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</si>
  <si>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</si>
  <si>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</si>
  <si>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</si>
  <si>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</si>
  <si>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</si>
  <si>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</si>
  <si>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</si>
  <si>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</si>
  <si>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</si>
  <si>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</si>
  <si>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</si>
  <si>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</si>
  <si>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</si>
  <si>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</si>
  <si>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</si>
  <si>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</si>
  <si>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</si>
  <si>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</si>
  <si>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</si>
  <si>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</si>
  <si>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</si>
  <si>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</si>
  <si>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</si>
  <si>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</si>
  <si>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</si>
  <si>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</si>
  <si>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</si>
  <si>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</si>
  <si>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</si>
  <si>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</si>
  <si>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</si>
  <si>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</si>
  <si>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</si>
  <si>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</si>
  <si>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</si>
  <si>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</si>
  <si>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</si>
  <si>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</si>
  <si>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</si>
  <si>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</si>
  <si>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</si>
  <si>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</si>
  <si>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</si>
  <si>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</si>
  <si>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</si>
  <si>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</si>
  <si>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</si>
  <si>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</si>
  <si>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</si>
  <si>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</si>
  <si>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</si>
  <si>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</si>
  <si>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</si>
  <si>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</si>
  <si>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</si>
  <si>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</si>
  <si>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</si>
  <si>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</si>
  <si>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</si>
  <si>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</si>
  <si>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</si>
  <si>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</si>
  <si>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</si>
  <si>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</si>
  <si>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</si>
  <si>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</si>
  <si>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</si>
  <si>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</si>
  <si>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</si>
  <si>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</si>
  <si>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</si>
  <si>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</si>
  <si>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</si>
  <si>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</si>
  <si>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</si>
  <si>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</si>
  <si>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</si>
  <si>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</si>
  <si>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</si>
  <si>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</si>
  <si>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</si>
  <si>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</si>
  <si>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</si>
  <si>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</si>
  <si>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</si>
  <si>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</si>
  <si>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</si>
  <si>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</si>
  <si>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</si>
  <si>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</si>
  <si>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</si>
  <si>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</si>
  <si>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</si>
  <si>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</si>
  <si>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</si>
  <si>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</si>
  <si>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</si>
  <si>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</si>
  <si>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</si>
  <si>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</si>
  <si>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</si>
  <si>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</si>
  <si>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</si>
  <si>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</si>
  <si>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</si>
  <si>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</si>
  <si>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</si>
  <si>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</si>
  <si>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</si>
  <si>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</si>
  <si>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</si>
  <si>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</si>
  <si>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</si>
  <si>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</si>
  <si>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</si>
  <si>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</si>
  <si>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</si>
  <si>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</si>
  <si>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</si>
  <si>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</si>
  <si>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</si>
  <si>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</si>
  <si>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</si>
  <si>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</si>
  <si>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</si>
  <si>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</si>
  <si>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</si>
  <si>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</si>
  <si>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</si>
  <si>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</si>
  <si>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</si>
  <si>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</si>
  <si>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</si>
  <si>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</si>
  <si>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</si>
  <si>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</si>
  <si>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</si>
  <si>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</si>
  <si>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</si>
  <si>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</si>
  <si>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</si>
  <si>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</si>
  <si>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</si>
  <si>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</si>
  <si>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</si>
  <si>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</si>
  <si>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</si>
  <si>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</si>
  <si>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</si>
  <si>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</si>
  <si>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</si>
  <si>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</si>
  <si>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</si>
  <si>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</si>
  <si>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</si>
  <si>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</si>
  <si>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</si>
  <si>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</si>
  <si>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</si>
  <si>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</si>
  <si>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</si>
  <si>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</si>
  <si>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</si>
  <si>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</si>
  <si>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</si>
  <si>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</si>
  <si>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</si>
  <si>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</si>
  <si>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</si>
  <si>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</si>
  <si>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</si>
  <si>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</si>
  <si>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</si>
  <si>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</si>
  <si>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</si>
  <si>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</si>
  <si>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</si>
  <si>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</si>
  <si>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</si>
  <si>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</si>
  <si>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</si>
  <si>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</si>
  <si>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</si>
  <si>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</si>
  <si>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</si>
  <si>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</si>
  <si>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</si>
  <si>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</si>
  <si>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</si>
  <si>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</si>
  <si>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</si>
  <si>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</si>
  <si>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</si>
  <si>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</si>
  <si>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</si>
  <si>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</si>
  <si>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</si>
  <si>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</si>
  <si>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</si>
  <si>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</si>
  <si>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</si>
  <si>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</si>
  <si>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</si>
  <si>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</si>
  <si>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</si>
  <si>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</si>
  <si>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</si>
  <si>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</si>
  <si>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</si>
  <si>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</si>
  <si>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</si>
  <si>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</si>
  <si>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</si>
  <si>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</si>
  <si>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</si>
  <si>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</si>
  <si>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</si>
  <si>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</si>
  <si>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</si>
  <si>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</si>
  <si>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</si>
  <si>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</si>
  <si>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</si>
  <si>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</si>
  <si>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</si>
  <si>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</si>
  <si>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</si>
  <si>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</si>
  <si>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</si>
  <si>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</si>
  <si>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</si>
  <si>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</si>
  <si>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</si>
  <si>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</si>
  <si>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</si>
  <si>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</si>
  <si>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</si>
  <si>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</si>
  <si>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</si>
  <si>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</si>
  <si>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</si>
  <si>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</si>
  <si>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</si>
  <si>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</si>
  <si>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</si>
  <si>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</si>
  <si>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</si>
  <si>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</si>
  <si>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</si>
  <si>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</si>
  <si>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</si>
  <si>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</si>
  <si>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</si>
  <si>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</si>
  <si>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</si>
  <si>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</si>
  <si>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</si>
  <si>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</si>
  <si>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</si>
  <si>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</si>
  <si>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</si>
  <si>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</si>
  <si>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</si>
  <si>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</si>
  <si>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</si>
  <si>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</si>
  <si>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</si>
  <si>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</si>
  <si>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</si>
  <si>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</si>
  <si>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</si>
  <si>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</si>
  <si>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</si>
  <si>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</si>
  <si>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</si>
  <si>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</si>
  <si>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</si>
  <si>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</si>
  <si>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</si>
  <si>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</si>
  <si>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</si>
  <si>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</si>
  <si>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</si>
  <si>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</si>
  <si>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</si>
  <si>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</si>
  <si>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</si>
  <si>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</si>
  <si>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</si>
  <si>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</si>
  <si>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</si>
  <si>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</si>
  <si>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</si>
  <si>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</si>
  <si>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</si>
  <si>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</si>
  <si>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</si>
  <si>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</si>
  <si>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</si>
  <si>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</si>
  <si>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</si>
  <si>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</si>
  <si>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</si>
  <si>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</si>
  <si>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</si>
  <si>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</si>
  <si>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</si>
  <si>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</si>
  <si>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</si>
  <si>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</si>
  <si>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</si>
  <si>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</si>
  <si>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</si>
  <si>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</si>
  <si>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</si>
  <si>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</si>
  <si>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</si>
  <si>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</si>
  <si>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</si>
  <si>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</si>
  <si>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</si>
  <si>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</si>
  <si>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</si>
  <si>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</si>
  <si>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</si>
  <si>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</si>
  <si>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</si>
  <si>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</si>
  <si>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</si>
  <si>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</si>
  <si>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</si>
  <si>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</si>
  <si>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</si>
  <si>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</si>
  <si>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</si>
  <si>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</si>
  <si>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</si>
  <si>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</si>
  <si>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</si>
  <si>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</si>
  <si>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</si>
  <si>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</si>
  <si>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</si>
  <si>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</si>
  <si>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</si>
  <si>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</si>
  <si>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</si>
  <si>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</si>
  <si>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</si>
  <si>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</si>
  <si>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</si>
  <si>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</si>
  <si>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</si>
  <si>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</si>
  <si>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</si>
  <si>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</si>
  <si>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</si>
  <si>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</si>
  <si>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</si>
  <si>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</si>
  <si>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</si>
  <si>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</si>
  <si>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</si>
  <si>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</si>
  <si>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</si>
  <si>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</si>
  <si>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</si>
  <si>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</si>
  <si>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</si>
  <si>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</si>
  <si>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</si>
  <si>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</si>
  <si>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</si>
  <si>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</si>
  <si>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</si>
  <si>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</si>
  <si>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</si>
  <si>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</si>
  <si>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</si>
  <si>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</si>
  <si>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</si>
  <si>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</si>
  <si>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</si>
  <si>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</si>
  <si>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</si>
  <si>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</si>
  <si>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</si>
  <si>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</si>
  <si>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</si>
  <si>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</si>
  <si>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</si>
  <si>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</si>
  <si>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</si>
  <si>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</si>
  <si>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</si>
  <si>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</si>
  <si>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</si>
  <si>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</si>
  <si>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</si>
  <si>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</si>
  <si>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</si>
  <si>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</si>
  <si>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</si>
  <si>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</si>
  <si>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</si>
  <si>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</si>
  <si>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</si>
  <si>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</si>
  <si>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</si>
  <si>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</si>
  <si>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</si>
  <si>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</si>
  <si>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</si>
  <si>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</si>
  <si>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</si>
  <si>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</si>
  <si>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</si>
  <si>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</si>
  <si>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</si>
  <si>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</si>
  <si>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</si>
  <si>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</si>
  <si>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</si>
  <si>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</si>
  <si>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</si>
  <si>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</si>
  <si>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</si>
  <si>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</si>
  <si>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</si>
  <si>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</si>
  <si>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</si>
  <si>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</si>
  <si>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</si>
  <si>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</si>
  <si>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</si>
  <si>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</si>
  <si>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</si>
  <si>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</si>
  <si>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</si>
  <si>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</si>
  <si>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</si>
  <si>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</si>
  <si>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</si>
  <si>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</si>
  <si>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</si>
  <si>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</si>
  <si>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</si>
  <si>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</si>
  <si>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</si>
  <si>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</si>
  <si>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</si>
  <si>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</si>
  <si>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</si>
  <si>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</si>
  <si>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</si>
  <si>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</si>
  <si>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</si>
  <si>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</si>
  <si>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</si>
  <si>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</si>
  <si>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</si>
  <si>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</si>
  <si>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</si>
  <si>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</si>
  <si>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</si>
  <si>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</si>
  <si>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</si>
  <si>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</si>
  <si>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</si>
  <si>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</si>
  <si>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</si>
  <si>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</si>
  <si>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</si>
  <si>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</si>
  <si>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</si>
  <si>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</si>
  <si>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</si>
  <si>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</si>
  <si>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</si>
  <si>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</si>
  <si>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</si>
  <si>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</si>
  <si>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</si>
  <si>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</si>
  <si>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</si>
  <si>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</si>
  <si>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</si>
  <si>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</si>
  <si>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</si>
  <si>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</si>
  <si>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</si>
  <si>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</si>
  <si>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</si>
  <si>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</si>
  <si>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</si>
  <si>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</si>
  <si>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</si>
  <si>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</si>
  <si>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</si>
  <si>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</si>
  <si>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</si>
  <si>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</si>
  <si>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</si>
  <si>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</si>
  <si>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</si>
  <si>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</si>
  <si>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</si>
  <si>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</si>
  <si>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</si>
  <si>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</si>
  <si>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</si>
  <si>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</si>
  <si>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</si>
  <si>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</si>
  <si>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</si>
  <si>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</si>
  <si>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</si>
  <si>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</si>
  <si>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</si>
  <si>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</si>
  <si>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</si>
  <si>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</si>
  <si>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</si>
  <si>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</si>
  <si>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</si>
  <si>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</si>
  <si>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</si>
  <si>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</si>
  <si>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</si>
  <si>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</si>
  <si>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</si>
  <si>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</si>
  <si>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</si>
  <si>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</si>
  <si>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</si>
  <si>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</si>
  <si>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</si>
  <si>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</si>
  <si>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</si>
  <si>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</si>
  <si>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</si>
  <si>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</si>
  <si>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</si>
  <si>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</si>
  <si>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</si>
  <si>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</si>
  <si>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</si>
  <si>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</si>
  <si>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</si>
  <si>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</si>
  <si>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</si>
  <si>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</si>
  <si>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</si>
  <si>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</si>
  <si>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</si>
  <si>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</si>
  <si>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</si>
  <si>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</si>
  <si>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</si>
  <si>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</si>
  <si>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</si>
  <si>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</si>
  <si>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</si>
  <si>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</si>
  <si>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</si>
  <si>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</si>
  <si>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</si>
  <si>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</si>
  <si>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</si>
  <si>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</si>
  <si>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</si>
  <si>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</si>
  <si>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</si>
  <si>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</si>
  <si>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</si>
  <si>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</si>
  <si>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</si>
  <si>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</si>
  <si>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</si>
  <si>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</si>
  <si>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</si>
  <si>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</si>
  <si>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</si>
  <si>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</si>
  <si>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</si>
  <si>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</si>
  <si>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</si>
  <si>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</si>
  <si>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</si>
  <si>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</si>
  <si>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</si>
  <si>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</si>
  <si>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</si>
  <si>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</si>
  <si>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</si>
  <si>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</si>
  <si>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</si>
  <si>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</si>
  <si>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</si>
  <si>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</si>
  <si>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</si>
  <si>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</si>
  <si>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</si>
  <si>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</si>
  <si>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</si>
  <si>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</si>
  <si>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</si>
  <si>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</si>
  <si>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</si>
  <si>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</si>
  <si>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</si>
  <si>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</si>
  <si>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</si>
  <si>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</si>
  <si>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</si>
  <si>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</si>
  <si>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</si>
  <si>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</si>
  <si>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</si>
  <si>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</si>
  <si>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</si>
  <si>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</si>
  <si>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</si>
  <si>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</si>
  <si>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</si>
  <si>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</si>
  <si>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</si>
  <si>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</si>
  <si>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</si>
  <si>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</si>
  <si>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</si>
  <si>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</si>
  <si>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</si>
  <si>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</si>
  <si>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</si>
  <si>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</si>
  <si>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</si>
  <si>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</si>
  <si>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</si>
  <si>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</si>
  <si>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</si>
  <si>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</si>
  <si>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</si>
  <si>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</si>
  <si>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</si>
  <si>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</si>
  <si>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</si>
  <si>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</si>
  <si>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</si>
  <si>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</si>
  <si>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</si>
  <si>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</si>
  <si>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</si>
  <si>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</si>
  <si>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</si>
  <si>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</si>
  <si>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</si>
  <si>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</si>
  <si>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</si>
  <si>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</si>
  <si>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</si>
  <si>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</si>
  <si>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</si>
  <si>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</si>
  <si>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</si>
  <si>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</si>
  <si>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</si>
  <si>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</si>
  <si>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</si>
  <si>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</si>
  <si>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</si>
  <si>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</si>
  <si>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</si>
  <si>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</si>
  <si>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</si>
  <si>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</si>
  <si>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</si>
  <si>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</si>
  <si>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</si>
  <si>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</si>
  <si>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</si>
  <si>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</si>
  <si>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</si>
  <si>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</si>
  <si>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</si>
  <si>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</si>
  <si>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</si>
  <si>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</si>
  <si>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</si>
  <si>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</si>
  <si>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</si>
  <si>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</si>
  <si>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</si>
  <si>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</si>
  <si>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</si>
  <si>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</si>
  <si>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</si>
  <si>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</si>
  <si>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</si>
  <si>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</si>
  <si>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</si>
  <si>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</si>
  <si>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</si>
  <si>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</si>
  <si>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</si>
  <si>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</si>
  <si>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</si>
  <si>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</si>
  <si>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</si>
  <si>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</si>
  <si>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</si>
  <si>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</si>
  <si>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</si>
  <si>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</si>
  <si>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</si>
  <si>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</si>
  <si>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</si>
  <si>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</si>
  <si>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</si>
  <si>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</si>
  <si>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</si>
  <si>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</si>
  <si>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</si>
  <si>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</si>
  <si>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</si>
  <si>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</si>
  <si>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</si>
  <si>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</si>
  <si>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</si>
  <si>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</si>
  <si>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</si>
  <si>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</si>
  <si>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</si>
  <si>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</si>
  <si>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</si>
  <si>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</si>
  <si>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</si>
  <si>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</si>
  <si>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</si>
  <si>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</si>
  <si>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</si>
  <si>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</si>
  <si>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</si>
  <si>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</si>
  <si>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</si>
  <si>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</si>
  <si>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</si>
  <si>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</si>
  <si>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</si>
  <si>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</si>
  <si>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</si>
  <si>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</si>
  <si>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</si>
  <si>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</si>
  <si>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</si>
  <si>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</si>
  <si>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</si>
  <si>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</si>
  <si>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</si>
  <si>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</si>
  <si>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</si>
  <si>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</si>
  <si>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</si>
  <si>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</si>
  <si>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</si>
  <si>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</si>
  <si>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</si>
  <si>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</si>
  <si>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</si>
  <si>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</si>
  <si>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</si>
  <si>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</si>
  <si>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</si>
  <si>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</si>
  <si>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</si>
  <si>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</si>
  <si>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</si>
  <si>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</si>
  <si>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</si>
  <si>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</si>
  <si>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</si>
  <si>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</si>
  <si>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</si>
  <si>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</si>
  <si>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</si>
  <si>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</si>
  <si>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</si>
  <si>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</si>
  <si>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</si>
  <si>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</si>
  <si>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</si>
  <si>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</si>
  <si>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</si>
  <si>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</si>
  <si>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</si>
  <si>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</si>
  <si>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</si>
  <si>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</si>
  <si>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</si>
  <si>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</si>
  <si>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</si>
  <si>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</si>
  <si>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</si>
  <si>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</si>
  <si>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</si>
  <si>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</si>
  <si>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</si>
  <si>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</si>
  <si>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</si>
  <si>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</si>
  <si>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</si>
  <si>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</si>
  <si>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</si>
  <si>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</si>
  <si>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</si>
  <si>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</si>
  <si>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</si>
  <si>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</si>
  <si>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</si>
  <si>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</si>
  <si>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</si>
  <si>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</si>
  <si>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</si>
  <si>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</si>
  <si>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</si>
  <si>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</si>
  <si>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</si>
  <si>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</si>
  <si>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</si>
  <si>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</si>
  <si>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</si>
  <si>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</si>
  <si>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</si>
  <si>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</si>
  <si>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</si>
  <si>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</si>
  <si>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</si>
  <si>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</si>
  <si>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</si>
  <si>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</si>
  <si>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</si>
  <si>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</si>
  <si>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</si>
  <si>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</si>
  <si>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</si>
  <si>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</si>
  <si>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</si>
  <si>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</si>
  <si>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</si>
  <si>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</si>
  <si>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</si>
  <si>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</si>
  <si>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</si>
  <si>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</si>
  <si>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</si>
  <si>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</si>
  <si>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</si>
  <si>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</si>
  <si>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</si>
  <si>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</si>
  <si>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</si>
  <si>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</si>
  <si>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</si>
  <si>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</si>
  <si>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</si>
  <si>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</si>
  <si>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</si>
  <si>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</si>
  <si>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</si>
  <si>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</si>
  <si>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</si>
  <si>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</si>
  <si>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</si>
  <si>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</si>
  <si>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</si>
  <si>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</si>
  <si>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</si>
  <si>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</si>
  <si>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</si>
  <si>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</si>
  <si>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</si>
  <si>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</si>
  <si>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</si>
  <si>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</si>
  <si>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</si>
  <si>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</si>
  <si>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</si>
  <si>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</si>
  <si>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</si>
  <si>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</si>
  <si>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</si>
  <si>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</si>
  <si>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</si>
  <si>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</si>
  <si>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</si>
  <si>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</si>
  <si>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</si>
  <si>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</si>
  <si>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</si>
  <si>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</si>
  <si>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</si>
  <si>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</si>
  <si>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</si>
  <si>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</si>
  <si>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</si>
  <si>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</si>
  <si>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</si>
  <si>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</si>
  <si>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</si>
  <si>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</si>
  <si>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</si>
  <si>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</si>
  <si>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</si>
  <si>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</si>
  <si>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</si>
  <si>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</si>
  <si>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</si>
  <si>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</si>
  <si>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</si>
  <si>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</si>
  <si>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</si>
  <si>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</si>
  <si>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</si>
  <si>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</si>
  <si>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</si>
  <si>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</si>
  <si>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</si>
  <si>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</si>
  <si>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</si>
  <si>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</si>
  <si>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</si>
  <si>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</si>
  <si>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</si>
  <si>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</si>
  <si>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</si>
  <si>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</si>
  <si>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</si>
  <si>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</si>
  <si>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</si>
  <si>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</si>
  <si>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</si>
  <si>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</si>
  <si>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</si>
  <si>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</si>
  <si>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</si>
  <si>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</si>
  <si>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</si>
  <si>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</si>
  <si>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</si>
  <si>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</si>
  <si>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</si>
  <si>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</si>
  <si>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</si>
  <si>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</si>
  <si>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</si>
  <si>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</si>
  <si>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</si>
  <si>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</si>
  <si>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</si>
  <si>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</si>
  <si>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</si>
  <si>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</si>
  <si>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</si>
  <si>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</si>
  <si>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</si>
  <si>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</si>
  <si>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</si>
  <si>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</si>
  <si>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</si>
  <si>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</si>
  <si>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</si>
  <si>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</si>
  <si>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</si>
  <si>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</si>
  <si>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</si>
  <si>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</si>
  <si>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</si>
  <si>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</si>
  <si>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</si>
  <si>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</si>
  <si>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</si>
  <si>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</si>
  <si>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</si>
  <si>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</si>
  <si>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</si>
  <si>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</si>
  <si>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</si>
  <si>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</si>
  <si>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</si>
  <si>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</si>
  <si>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</si>
  <si>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</si>
  <si>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</si>
  <si>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</si>
  <si>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</si>
  <si>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</si>
  <si>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</si>
  <si>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</si>
  <si>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</si>
  <si>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</si>
  <si>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</si>
  <si>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</si>
  <si>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</si>
  <si>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</si>
  <si>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</si>
  <si>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</si>
  <si>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</si>
  <si>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</si>
  <si>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</si>
  <si>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</si>
  <si>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</si>
  <si>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</si>
  <si>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</si>
  <si>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</si>
  <si>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</si>
  <si>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</si>
  <si>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</si>
  <si>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</si>
  <si>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</si>
  <si>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</si>
  <si>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</si>
  <si>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</si>
  <si>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</si>
  <si>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</si>
  <si>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</si>
  <si>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</si>
  <si>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</si>
  <si>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</si>
  <si>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</si>
  <si>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</si>
  <si>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</si>
  <si>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</si>
  <si>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</si>
  <si>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</si>
  <si>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</si>
  <si>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</si>
  <si>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</si>
  <si>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</si>
  <si>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</si>
  <si>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</si>
  <si>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</si>
  <si>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</si>
  <si>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</si>
  <si>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</si>
  <si>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</si>
  <si>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</si>
  <si>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</si>
  <si>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</si>
  <si>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</si>
  <si>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</si>
  <si>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</si>
  <si>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</si>
  <si>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</si>
  <si>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</si>
  <si>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</si>
  <si>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</si>
  <si>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</si>
  <si>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</si>
  <si>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</si>
  <si>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</si>
  <si>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</si>
  <si>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</si>
  <si>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</si>
  <si>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</si>
  <si>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</si>
  <si>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</si>
  <si>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</si>
  <si>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</si>
  <si>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</si>
  <si>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</si>
  <si>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</si>
  <si>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</si>
  <si>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</si>
  <si>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</si>
  <si>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</si>
  <si>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</si>
  <si>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</si>
  <si>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</si>
  <si>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</si>
  <si>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</si>
  <si>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</si>
  <si>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</si>
  <si>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</si>
  <si>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</si>
  <si>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</si>
  <si>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</si>
  <si>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</si>
  <si>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</si>
  <si>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</si>
  <si>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</si>
  <si>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</si>
  <si>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</si>
  <si>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</si>
  <si>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</si>
  <si>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</si>
  <si>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</si>
  <si>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</si>
  <si>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</si>
  <si>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</si>
  <si>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</si>
  <si>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</si>
  <si>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</si>
  <si>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</si>
  <si>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</si>
  <si>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</si>
  <si>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</si>
  <si>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</si>
  <si>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</si>
  <si>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</si>
  <si>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</si>
  <si>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</si>
  <si>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</si>
  <si>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</si>
  <si>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</si>
  <si>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</si>
  <si>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</si>
  <si>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</si>
  <si>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</si>
  <si>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</si>
  <si>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</si>
  <si>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</si>
  <si>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</si>
  <si>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</si>
  <si>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</si>
  <si>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</si>
  <si>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</si>
  <si>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</si>
  <si>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</si>
  <si>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</si>
  <si>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</si>
  <si>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</si>
  <si>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</si>
  <si>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</si>
  <si>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</si>
  <si>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</si>
  <si>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</si>
  <si>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</si>
  <si>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</si>
  <si>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</si>
  <si>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</si>
  <si>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</si>
  <si>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</si>
  <si>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</si>
  <si>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</si>
  <si>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</si>
  <si>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</si>
  <si>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</si>
  <si>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</si>
  <si>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</si>
  <si>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</si>
  <si>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</si>
  <si>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</si>
  <si>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</si>
  <si>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</si>
  <si>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</si>
  <si>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</si>
  <si>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</si>
  <si>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</si>
  <si>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</si>
  <si>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</si>
  <si>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</si>
  <si>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</si>
  <si>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</si>
  <si>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</si>
  <si>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</si>
  <si>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</si>
  <si>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</si>
  <si>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</si>
  <si>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</si>
  <si>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</si>
  <si>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</si>
  <si>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</si>
  <si>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</si>
  <si>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</si>
  <si>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</si>
  <si>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</si>
  <si>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</si>
  <si>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</si>
  <si>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</si>
  <si>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</si>
  <si>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</si>
  <si>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</si>
  <si>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</si>
  <si>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</si>
  <si>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</si>
  <si>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</si>
  <si>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</si>
  <si>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</si>
  <si>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</si>
  <si>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</si>
  <si>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</si>
  <si>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</si>
  <si>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</si>
  <si>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</si>
  <si>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</si>
  <si>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</si>
  <si>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</si>
  <si>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</si>
  <si>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</si>
  <si>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</si>
  <si>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</si>
  <si>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</si>
  <si>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</si>
  <si>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</si>
  <si>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</si>
  <si>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</si>
  <si>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</si>
  <si>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</si>
  <si>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</si>
  <si>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</si>
  <si>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</si>
  <si>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</si>
  <si>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</si>
  <si>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</si>
  <si>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</si>
  <si>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</si>
  <si>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</si>
  <si>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</si>
  <si>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</si>
  <si>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</si>
  <si>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</si>
  <si>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</si>
  <si>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</si>
  <si>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</si>
  <si>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</si>
  <si>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</si>
  <si>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</si>
  <si>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</si>
  <si>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</si>
  <si>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</si>
  <si>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</si>
  <si>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</si>
  <si>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</si>
  <si>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</si>
  <si>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</si>
  <si>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</si>
  <si>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</si>
  <si>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</si>
  <si>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</si>
  <si>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</si>
  <si>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</si>
  <si>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</si>
  <si>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</si>
  <si>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</si>
  <si>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</si>
  <si>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</si>
  <si>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</si>
  <si>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</si>
  <si>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</si>
  <si>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</si>
  <si>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</si>
  <si>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</si>
  <si>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</si>
  <si>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</si>
  <si>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</si>
  <si>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</si>
  <si>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</si>
  <si>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</si>
  <si>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</si>
  <si>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</si>
  <si>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</si>
  <si>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</si>
  <si>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</si>
  <si>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</si>
  <si>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</si>
  <si>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</si>
  <si>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</si>
  <si>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</si>
  <si>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</si>
  <si>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</si>
  <si>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</si>
  <si>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</si>
  <si>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</si>
  <si>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</si>
  <si>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</si>
  <si>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</si>
  <si>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</si>
  <si>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</si>
  <si>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</si>
  <si>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</si>
  <si>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</si>
  <si>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</si>
  <si>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</si>
  <si>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</si>
  <si>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</si>
  <si>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</si>
  <si>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</si>
  <si>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</si>
  <si>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</si>
  <si>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</si>
  <si>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</si>
  <si>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</si>
  <si>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</si>
  <si>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</si>
  <si>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</si>
  <si>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</si>
  <si>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</si>
  <si>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</si>
  <si>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</si>
  <si>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</si>
  <si>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</si>
  <si>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</si>
  <si>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</si>
  <si>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</si>
  <si>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</si>
  <si>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</si>
  <si>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</si>
  <si>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</si>
  <si>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</si>
  <si>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</si>
  <si>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</si>
  <si>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</si>
  <si>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</si>
  <si>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</si>
  <si>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</si>
  <si>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</si>
  <si>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</si>
  <si>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</si>
  <si>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</si>
  <si>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</si>
  <si>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</si>
  <si>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</si>
  <si>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</si>
  <si>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</si>
  <si>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</si>
  <si>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</si>
  <si>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</si>
  <si>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</si>
  <si>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</si>
  <si>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</si>
  <si>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</si>
  <si>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</si>
  <si>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</si>
  <si>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</si>
  <si>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</si>
  <si>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</si>
  <si>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</si>
  <si>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</si>
  <si>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</si>
  <si>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</si>
  <si>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</si>
  <si>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</si>
  <si>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</si>
  <si>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</si>
  <si>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</si>
  <si>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</si>
  <si>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</si>
  <si>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</si>
  <si>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</si>
  <si>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</si>
  <si>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</si>
  <si>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</si>
  <si>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</si>
  <si>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</si>
  <si>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</si>
  <si>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</si>
  <si>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</si>
  <si>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</si>
  <si>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</si>
  <si>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</si>
  <si>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</si>
  <si>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</si>
  <si>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</si>
  <si>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</si>
  <si>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</si>
  <si>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</si>
  <si>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</si>
  <si>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</si>
  <si>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</si>
  <si>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</si>
  <si>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</si>
  <si>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</si>
  <si>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</si>
  <si>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</si>
  <si>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</si>
  <si>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</si>
  <si>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</si>
  <si>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</si>
  <si>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</si>
  <si>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</si>
  <si>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</si>
  <si>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</si>
  <si>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</si>
  <si>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</si>
  <si>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</si>
  <si>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</si>
  <si>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</si>
  <si>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</si>
  <si>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</si>
  <si>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</si>
  <si>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</si>
  <si>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</si>
  <si>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</si>
  <si>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</si>
  <si>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</si>
  <si>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</si>
  <si>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</si>
  <si>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</si>
  <si>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</si>
  <si>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</si>
  <si>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</si>
  <si>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</si>
  <si>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</si>
  <si>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</si>
  <si>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</si>
  <si>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</si>
  <si>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</si>
  <si>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</si>
  <si>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</si>
  <si>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</si>
  <si>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</si>
  <si>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</si>
  <si>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</si>
  <si>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</si>
  <si>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</si>
  <si>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</si>
  <si>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</si>
  <si>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</si>
  <si>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</si>
  <si>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</si>
  <si>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</si>
  <si>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</si>
  <si>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</si>
  <si>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</si>
  <si>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</si>
  <si>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</si>
  <si>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</si>
  <si>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</si>
  <si>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</si>
  <si>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</si>
  <si>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</si>
  <si>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</si>
  <si>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</si>
  <si>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</si>
  <si>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</si>
  <si>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</si>
  <si>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General Obligation School Refunding Bonds-Series 1999B</t>
  </si>
  <si>
    <t>General Obligation School Refunding Bonds-Series 2005</t>
  </si>
  <si>
    <t>General Obligation School Refunding Bonds-Series 2012B</t>
  </si>
  <si>
    <t>General Obligation School Refunding Bonds-Series 2012A</t>
  </si>
  <si>
    <t>Page 25, Line 31, Column G: $2,679 - Represents current year accretion offset by the current year payment on the previously refunded debt.</t>
  </si>
  <si>
    <t>x</t>
  </si>
  <si>
    <t>Paris Cooperative High School</t>
  </si>
  <si>
    <t>Eastern Illinois Area Special Education</t>
  </si>
  <si>
    <t>Edgar</t>
  </si>
  <si>
    <t>Paris-Union SD 95</t>
  </si>
  <si>
    <t>300 East Wood Street</t>
  </si>
  <si>
    <t>Paris</t>
  </si>
  <si>
    <t>jlarson@paris95.k12.il.us</t>
  </si>
  <si>
    <t>Jeremy Larson</t>
  </si>
  <si>
    <t>217-465-3050</t>
  </si>
  <si>
    <t>217-466-3905</t>
  </si>
  <si>
    <t>U.S. Department of Agriculture</t>
  </si>
  <si>
    <t>Pass Through From Illinois State Board of Education</t>
  </si>
  <si>
    <t xml:space="preserve">School Breakfast Program </t>
  </si>
  <si>
    <t>2017-4220</t>
  </si>
  <si>
    <t>2018-4220</t>
  </si>
  <si>
    <t>2017-4210</t>
  </si>
  <si>
    <t>2018-4210</t>
  </si>
  <si>
    <t>N/A</t>
  </si>
  <si>
    <t>U.S. Department of Education</t>
  </si>
  <si>
    <t>Title I - Low Income (M)</t>
  </si>
  <si>
    <t>Title I - Other (M)</t>
  </si>
  <si>
    <t>Title IV - Rural Education Incentive</t>
  </si>
  <si>
    <t>Specal Education IDEA Room &amp; Board</t>
  </si>
  <si>
    <t>84.010A</t>
  </si>
  <si>
    <t>84.367A</t>
  </si>
  <si>
    <t>84.358B</t>
  </si>
  <si>
    <t>84.027A</t>
  </si>
  <si>
    <t>2017-4300</t>
  </si>
  <si>
    <t>2018-4300</t>
  </si>
  <si>
    <t>2018-4399</t>
  </si>
  <si>
    <t>2017-4932</t>
  </si>
  <si>
    <t>2018-4932</t>
  </si>
  <si>
    <t>2017-4107</t>
  </si>
  <si>
    <t>2018-4107</t>
  </si>
  <si>
    <t>Pass Through From Eastern IL Area Special Education</t>
  </si>
  <si>
    <t>Special Education IDEA - Room &amp; Board</t>
  </si>
  <si>
    <t>U.S. Department of Human Resources</t>
  </si>
  <si>
    <t>Medicaid Matching</t>
  </si>
  <si>
    <t>2017-4625</t>
  </si>
  <si>
    <t>2018-4625</t>
  </si>
  <si>
    <t>2017-4991</t>
  </si>
  <si>
    <t>2018-4991</t>
  </si>
  <si>
    <t>Title IVA - Student Support &amp; Academic Enrich</t>
  </si>
  <si>
    <t>2018-4400</t>
  </si>
  <si>
    <t>84.424A</t>
  </si>
  <si>
    <r>
      <t>2</t>
    </r>
    <r>
      <rPr>
        <sz val="8"/>
        <rFont val="Calibri"/>
        <family val="2"/>
        <scheme val="minor"/>
      </rPr>
      <t xml:space="preserve">    When the CFDA number is not available, the auditee should indicate that the CFDA number is not available and include in the schedule the program's name and, if applicable, other identifying number.</t>
    </r>
  </si>
  <si>
    <t>Total U.S. Department of Agriculture</t>
  </si>
  <si>
    <t>Total U.S. Department of Education</t>
  </si>
  <si>
    <t>Total U.S. Department of Human Resources</t>
  </si>
  <si>
    <t>Total Federal Awards</t>
  </si>
  <si>
    <t>Commodities (Non-Cash)</t>
  </si>
  <si>
    <t>X</t>
  </si>
  <si>
    <t>Although internal controls are in place, there are some reporting functions that the District cannot perform.</t>
  </si>
  <si>
    <t>The District does not have an individual with the necessary knowledge and technical expertise to properly prepare the notes to the financial statements.</t>
  </si>
  <si>
    <t>In the absence of the necessary knowledge and expertise, the District must rely on the auditors to ensure the notes to the financial statements are properly presented.</t>
  </si>
  <si>
    <t>The District cannot prepare the notes to the financial statements.</t>
  </si>
  <si>
    <t>The District's personnel have not obtained the necessary knowledge or expertise.</t>
  </si>
  <si>
    <t>The District should provide the necessary training to personnel or contract with an independent contractor with the necessary knowledge to properly prepare the notes to the financial statements.</t>
  </si>
  <si>
    <t>The District did not reconcile certain revenue and expense accounts to the general ledger.</t>
  </si>
  <si>
    <t>The District did not have proper internal controls over reconciling certain revenue and expense accounts to supporting documentation.</t>
  </si>
  <si>
    <t>In the absence of proper account reconciliations, the District's financial statements could be misstated.</t>
  </si>
  <si>
    <t>The District's general ledger is at risk of misstatements occurring that are not detected through the reconciliation process.</t>
  </si>
  <si>
    <t>The District failed to properly reconcile certain revenue and expense general ledger accounts.</t>
  </si>
  <si>
    <t>The District should review its general ledger activity to ensure all revenue and expenses are recorded properly in accordance with the reporting provisions of the ISBE.</t>
  </si>
  <si>
    <t>The District will ensure proper reviews of general ledger accounts are performed for the next fiscal year-end.</t>
  </si>
  <si>
    <t>The District does not intend to correct the findings in the next fiscal year.</t>
  </si>
  <si>
    <t>The District requires controls over cash disbursements to be in place and operating effectively.</t>
  </si>
  <si>
    <t>The District's controls over cash disbursements are not operating effectively.</t>
  </si>
  <si>
    <t>As controls over cash disbursements are not operating effectively, the District may have misused funds.</t>
  </si>
  <si>
    <t>The controls are not consistently in place and, therefore, are not operating effectively.</t>
  </si>
  <si>
    <t>The District should be consistently utilizing their controls over cash disbursements to protect the District from misusing funds.</t>
  </si>
  <si>
    <t>The District will ensure proper use of controls over cash disbursements for the next fiscal year-end.</t>
  </si>
  <si>
    <t>The District's personnel are not consistently using their controls over cash disbursements.</t>
  </si>
  <si>
    <t>The District could overpay TRS by a significant amount.</t>
  </si>
  <si>
    <t>The District overpaid the Teacher's Retirement System (TRS) contributions by a significant amount and was unable to explain a significant portion of the overpayment.</t>
  </si>
  <si>
    <t>The District does not have proper controls in place to correctly calculate the TRS contributions to be remitted during the year.</t>
  </si>
  <si>
    <t>In the absence of proper controls over TRS contribution calculations, the District could significantly overpay TRS.</t>
  </si>
  <si>
    <t>The District failed to correctly calculate the TRS contribution during the fiscal year.</t>
  </si>
  <si>
    <t>The District should review and follow its controls related to TRS contribution calculations.</t>
  </si>
  <si>
    <t>The District will ensure proper reviews and controls are in place over TRS contribution calculations for the next fiscal year-end.</t>
  </si>
  <si>
    <t>The District did not keep documentation in its files to support journal entries that were made.</t>
  </si>
  <si>
    <t>The District could be liable for questioned costs or litigation if an expense is questioned and no support is available.</t>
  </si>
  <si>
    <t>The District failed to maintain support over journal entries posted to the books during the fiscal year.</t>
  </si>
  <si>
    <t>In the absence of proper support, the District could be open to potential litigation or questioned costs.  There is also no evidence that the journal entries were reviewed before they were posted to the books.</t>
  </si>
  <si>
    <t>The District should update its procedures to retain documentation for journal entries and implement a written approval process for journal entries.</t>
  </si>
  <si>
    <t>The District will update its procedures for the next fiscal year-end.</t>
  </si>
  <si>
    <t>2017-001</t>
  </si>
  <si>
    <t>2017-002</t>
  </si>
  <si>
    <t>2017-003</t>
  </si>
  <si>
    <t>2017-004</t>
  </si>
  <si>
    <t>2017-005</t>
  </si>
  <si>
    <t>Repeated as 2018-007.</t>
  </si>
  <si>
    <t>Repeated as 2018-006.</t>
  </si>
  <si>
    <t>Repeated as 2018-001.</t>
  </si>
  <si>
    <t>Repeated as 2018-002.</t>
  </si>
  <si>
    <t>Repeated as 2018-003.</t>
  </si>
  <si>
    <t>The District did not use $1,200 as the threshold for identifying applications as error prone.</t>
  </si>
  <si>
    <t>The District did not properly code Title I expenditures to the proper accounts as prescribed by the accounting provisions of the Illinois State Board of Education and reported them improperly.</t>
  </si>
  <si>
    <t>School Breakfast Program; National School Lunch Program; 2018</t>
  </si>
  <si>
    <t>2018-4220; 2018-4210</t>
  </si>
  <si>
    <t>10.553; 10.555</t>
  </si>
  <si>
    <t>Illinois State Board of Education</t>
  </si>
  <si>
    <t>None noted.</t>
  </si>
  <si>
    <t>When controls over free and reduced lunch applications are not properly implemented, individuals may receive free and reduced lunches when they are ineligible.</t>
  </si>
  <si>
    <t>The District's controls in place over eligibility determination for individuals receiving free and reduced lunches were not designed appropriately to account for additional procedures for error prone applications.</t>
  </si>
  <si>
    <t>The District should assess the design of the controls in place to detect the error in determination of further testing and document the additional procedures performed for each error prone application.</t>
  </si>
  <si>
    <t>The District will modify their control design to include identification of all error prone application and documentation of the additional procedures performed.</t>
  </si>
  <si>
    <t>Eligibility is determine by comparing data reported by the participant in an annual application to the published income eligibility guidelines.  When a participant's household income is within $1,200 of the applicable rate, the application is to be flagged as error prone and may require additional procedures to verify the applicant's eligibility.</t>
  </si>
  <si>
    <t>The District did not identify several applications within the $1,200 threshold as error prone and did not document the performance of additional verification.</t>
  </si>
  <si>
    <t>We reviewed the District's revised procedures and haphazardly selected a few applications from each site to compare to the published income eligibility guidelines.  We noted multiple instances where there was no documentation of any additional procedures being performed on error prone applications within the $1,200 threshold.</t>
  </si>
  <si>
    <t>Title I - Low Income; 2018</t>
  </si>
  <si>
    <t>2017-4300; 2018-4300; 2018-4399</t>
  </si>
  <si>
    <t>The District must submit detailed expenditure reports to the Illinois State Board of Education.</t>
  </si>
  <si>
    <t>The District did not properly code Title I expenditures to the proper accounts as prescribed by the accounting provisions of the Illinois State Board of Education.</t>
  </si>
  <si>
    <t>When controls over expenditure coding and reporting are not operating effectively, improper use of Title I funds could occur.</t>
  </si>
  <si>
    <t>The District's controls in place over coding Title I expenditures and reporting expenditures to the Illinois State Board of Education were not designed properly.</t>
  </si>
  <si>
    <t>The District should assess the design of the controls in place to ensure proper coding and reporting of Title I expenditures to the Illinois State Board of Education.</t>
  </si>
  <si>
    <t>The District will modify their control design to use the proper expenditure coding and reporting.</t>
  </si>
  <si>
    <t>During our reconciliation of  the Title I expenditures per the general ledger to the Title I expenditures reported to the Illinois State Board of Education, we noted discrepancies between the amounts recorded and reported.</t>
  </si>
  <si>
    <t>The District does not have adequate support for journal entries and has not ensured that expenditures were coded to the correct accounts.</t>
  </si>
  <si>
    <t>We noted instances of inadequate support for journal entries that could lead to questioned costs.  We also noted instances where expenditures should have been coded to Title I but were miscoded to other accounts, and thus were not included on Title I expenditure reports.</t>
  </si>
  <si>
    <t xml:space="preserve">When controls over monitoring of grant documentation and expenditure posting are not operating effectively, expenses could be contested and the District could lose out on available grant funding. </t>
  </si>
  <si>
    <t>The District's controls do not require adequate support for journal entries and have not ensured that expenditures were properly coded.</t>
  </si>
  <si>
    <t>The District should have adequate procedures in place to monitor the posting of grant expenditures and to verify that adequate supporting documentation is maintained.</t>
  </si>
  <si>
    <t>The District should revise its procedures and controls to monitor the posting of grant expenditures and to verify that adequate supporting documentation for all expenses including journal entries is maintained.</t>
  </si>
  <si>
    <t>The District will modify its procedures and controls to monitor the posting of grant expenditures and to verify that adequate supporting documentation is maintained.</t>
  </si>
  <si>
    <t>The District does not have proper supporting documentation to support journal entries posted to the District's books.</t>
  </si>
  <si>
    <t>TR-Pupil Transportation Services-Purchased Services</t>
  </si>
  <si>
    <t>10-2550-300</t>
  </si>
  <si>
    <t>MSB Transportation, Inc.</t>
  </si>
  <si>
    <t>Page 10, Line 81, Column 10:  Other District/School Activity Revenue: Mayo Athletic Fees - $6,200.</t>
  </si>
  <si>
    <t>Page 10, Line 74, Column 10:  Other Food Service: Other Food Memorial - $12,316,Other Food Wenz - $15,984, Other Food Mayo- $11,700.</t>
  </si>
  <si>
    <t>Page 11, Line 107, Column 10:  Other Local Revenues: Miscellaneous receipts - $8,879, $4,912 Summer Meal Program</t>
  </si>
  <si>
    <t>Page 11, Line 107, Column 20:  Other Local Revenues: Miscellaneous Receipts - $4,508</t>
  </si>
  <si>
    <t>Page 11, Line 107, Column 50:  Other Local Revenues: Miscellaneous receipts - $3,427.</t>
  </si>
  <si>
    <t>Page 11, Line 107, Column 60:  Other Local Revenues: Incentive for implemenation of HVAC energy efficiency measures - $11,500</t>
  </si>
  <si>
    <t>Page 12, Line 171, Column 10: Other Restricted Revenue from State Sources: Other State Programs - $69,283.</t>
  </si>
  <si>
    <t>Page 14, Line 272, Column 10: Other Restricted Revenue from Federal Sources: Rural Education Initiative - $13,910.</t>
  </si>
  <si>
    <t>Larsson, Woodyard &amp; Henson, LLP</t>
  </si>
  <si>
    <t xml:space="preserve">Curtis O. Root, CPA </t>
  </si>
  <si>
    <t>129 W. Sale Street; P.O. Box 407</t>
  </si>
  <si>
    <t>Tuscola</t>
  </si>
  <si>
    <t>IL</t>
  </si>
  <si>
    <t>217-253-5146</t>
  </si>
  <si>
    <t>217-253-5245</t>
  </si>
  <si>
    <t>006-003072</t>
  </si>
  <si>
    <t>CROOT@LWHCPA.COM</t>
  </si>
  <si>
    <r>
      <t xml:space="preserve">The accompanying Schedule of Expenditures of Federal Awards includes the federal grant activity of </t>
    </r>
    <r>
      <rPr>
        <b/>
        <sz val="9"/>
        <rFont val="Calibri"/>
        <family val="2"/>
        <scheme val="minor"/>
      </rPr>
      <t>Paris-Union SD 95</t>
    </r>
    <r>
      <rPr>
        <sz val="9"/>
        <rFont val="Calibri"/>
        <family val="2"/>
        <scheme val="minor"/>
      </rPr>
      <t xml:space="preserve">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</si>
  <si>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</si>
  <si>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t>Unmodified</t>
  </si>
  <si>
    <t>Title I Low Income</t>
  </si>
  <si>
    <t>Larsson, Woodyard &amp; Henson</t>
  </si>
  <si>
    <t>PDF in Auditor Affirmation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</si>
</sst>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cellStyleXfs>
  <cellXfs count="252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164" fontId="61" fillId="0" borderId="2" xfId="9" quotePrefix="1" applyNumberFormat="1" applyFont="1" applyFill="1" applyBorder="1" applyAlignment="1" applyProtection="1">
      <alignment horizontal="left" vertical="center" wrapText="1"/>
      <protection locked="0"/>
    </xf>
    <xf numFmtId="0" fontId="56" fillId="0" borderId="0" xfId="0" quotePrefix="1" applyFont="1" applyAlignment="1">
      <alignment horizontal="left"/>
    </xf>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indent="2"/>
      <protection locked="0"/>
    </xf>
    <xf numFmtId="169" fontId="61" fillId="0" borderId="8" xfId="3" applyNumberFormat="1" applyFont="1" applyFill="1" applyBorder="1" applyAlignment="1" applyProtection="1">
      <alignment horizontal="center"/>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1" fontId="61" fillId="0" borderId="8" xfId="3" applyNumberFormat="1" applyFont="1" applyFill="1" applyBorder="1" applyAlignment="1" applyProtection="1">
      <alignment horizontal="center"/>
      <protection locked="0"/>
    </xf>
    <xf numFmtId="0" fontId="53" fillId="0" borderId="0" xfId="3" applyFont="1" applyAlignment="1" applyProtection="1">
      <alignment horizontal="center" vertical="center"/>
    </xf>
    <xf numFmtId="3" fontId="61" fillId="0" borderId="22" xfId="3" applyNumberFormat="1" applyFont="1" applyBorder="1" applyAlignment="1" applyProtection="1">
      <alignment horizontal="left" vertical="center" wrapText="1" indent="3"/>
      <protection locked="0"/>
    </xf>
    <xf numFmtId="3" fontId="61" fillId="0" borderId="22" xfId="3" applyNumberFormat="1" applyFont="1" applyBorder="1" applyAlignment="1" applyProtection="1">
      <alignment horizontal="left" vertical="center" wrapText="1" indent="4"/>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164" fontId="61" fillId="0" borderId="0" xfId="0" applyNumberFormat="1" applyFont="1" applyFill="1"/>
    <xf numFmtId="0" fontId="56" fillId="0" borderId="0" xfId="0" quotePrefix="1" applyFont="1" applyFill="1" applyAlignment="1">
      <alignment horizontal="left" wrapText="1"/>
    </xf>
    <xf numFmtId="0" fontId="56" fillId="0" borderId="0" xfId="0" quotePrefix="1" applyFont="1" applyFill="1" applyAlignment="1">
      <alignment horizontal="left"/>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3" xfId="20"/>
    <cellStyle name="Normal 3 3"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DDDDD"/>
      <color rgb="FFFFFFCC"/>
      <color rgb="FFFDDFC7"/>
      <color rgb="FFFF9966"/>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42</xdr:row>
      <xdr:rowOff>0</xdr:rowOff>
    </xdr:from>
    <xdr:to>
      <xdr:col>2</xdr:col>
      <xdr:colOff>76200</xdr:colOff>
      <xdr:row>43</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41</xdr:row>
      <xdr:rowOff>0</xdr:rowOff>
    </xdr:from>
    <xdr:to>
      <xdr:col>2</xdr:col>
      <xdr:colOff>0</xdr:colOff>
      <xdr:row>41</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1986" name="Object 2" hidden="1">
              <a:extLst>
                <a:ext uri="{63B3BB69-23CF-44E3-9099-C40C66FF867C}">
                  <a14:compatExt spid="_x0000_s4198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1</xdr:row>
          <xdr:rowOff>19050</xdr:rowOff>
        </xdr:from>
        <xdr:to>
          <xdr:col>1</xdr:col>
          <xdr:colOff>2009775</xdr:colOff>
          <xdr:row>5</xdr:row>
          <xdr:rowOff>57150</xdr:rowOff>
        </xdr:to>
        <xdr:sp macro="" textlink="">
          <xdr:nvSpPr>
            <xdr:cNvPr id="41987" name="Object 3" hidden="1">
              <a:extLst>
                <a:ext uri="{63B3BB69-23CF-44E3-9099-C40C66FF867C}">
                  <a14:compatExt spid="_x0000_s4198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2228850</xdr:colOff>
          <xdr:row>1</xdr:row>
          <xdr:rowOff>28575</xdr:rowOff>
        </xdr:from>
        <xdr:to>
          <xdr:col>1</xdr:col>
          <xdr:colOff>3143250</xdr:colOff>
          <xdr:row>5</xdr:row>
          <xdr:rowOff>66675</xdr:rowOff>
        </xdr:to>
        <xdr:sp macro="" textlink="">
          <xdr:nvSpPr>
            <xdr:cNvPr id="41988" name="Object 4" hidden="1">
              <a:extLst>
                <a:ext uri="{63B3BB69-23CF-44E3-9099-C40C66FF867C}">
                  <a14:compatExt spid="_x0000_s4198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47625</xdr:rowOff>
        </xdr:from>
        <xdr:to>
          <xdr:col>1</xdr:col>
          <xdr:colOff>942975</xdr:colOff>
          <xdr:row>10</xdr:row>
          <xdr:rowOff>85725</xdr:rowOff>
        </xdr:to>
        <xdr:sp macro="" textlink="">
          <xdr:nvSpPr>
            <xdr:cNvPr id="41989" name="Object 5" hidden="1">
              <a:extLst>
                <a:ext uri="{63B3BB69-23CF-44E3-9099-C40C66FF867C}">
                  <a14:compatExt spid="_x0000_s419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1114425</xdr:colOff>
          <xdr:row>6</xdr:row>
          <xdr:rowOff>47625</xdr:rowOff>
        </xdr:from>
        <xdr:to>
          <xdr:col>1</xdr:col>
          <xdr:colOff>2028825</xdr:colOff>
          <xdr:row>10</xdr:row>
          <xdr:rowOff>85725</xdr:rowOff>
        </xdr:to>
        <xdr:sp macro="" textlink="">
          <xdr:nvSpPr>
            <xdr:cNvPr id="41990" name="Object 6" hidden="1">
              <a:extLst>
                <a:ext uri="{63B3BB69-23CF-44E3-9099-C40C66FF867C}">
                  <a14:compatExt spid="_x0000_s419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2228850</xdr:colOff>
          <xdr:row>6</xdr:row>
          <xdr:rowOff>47625</xdr:rowOff>
        </xdr:from>
        <xdr:to>
          <xdr:col>1</xdr:col>
          <xdr:colOff>3143250</xdr:colOff>
          <xdr:row>10</xdr:row>
          <xdr:rowOff>85725</xdr:rowOff>
        </xdr:to>
        <xdr:sp macro="" textlink="">
          <xdr:nvSpPr>
            <xdr:cNvPr id="41991" name="Object 7" hidden="1">
              <a:extLst>
                <a:ext uri="{63B3BB69-23CF-44E3-9099-C40C66FF867C}">
                  <a14:compatExt spid="_x0000_s419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6" t="s">
        <v>425</v>
      </c>
      <c r="J1" s="2017"/>
      <c r="K1" s="2017"/>
      <c r="L1" s="2017"/>
      <c r="M1" s="2017"/>
      <c r="N1" s="2017"/>
      <c r="O1" s="2017"/>
      <c r="P1" s="2017"/>
      <c r="Q1" s="2017"/>
      <c r="R1" s="2017"/>
      <c r="S1" s="2017"/>
    </row>
    <row r="2" spans="1:28" ht="12" customHeight="1" x14ac:dyDescent="0.2">
      <c r="A2" s="47" t="s">
        <v>1684</v>
      </c>
      <c r="D2" s="48"/>
      <c r="I2" s="2018" t="s">
        <v>1036</v>
      </c>
      <c r="J2" s="2017"/>
      <c r="K2" s="2017"/>
      <c r="L2" s="2017"/>
      <c r="M2" s="2017"/>
      <c r="N2" s="2017"/>
      <c r="O2" s="2017"/>
      <c r="P2" s="2017"/>
      <c r="Q2" s="2017"/>
      <c r="R2" s="2017"/>
      <c r="S2" s="2017"/>
    </row>
    <row r="3" spans="1:28" ht="12" customHeight="1" x14ac:dyDescent="0.2">
      <c r="A3" s="155" t="s">
        <v>1685</v>
      </c>
      <c r="B3" s="156"/>
      <c r="C3" s="156"/>
      <c r="D3" s="157"/>
      <c r="I3" s="2018" t="s">
        <v>54</v>
      </c>
      <c r="J3" s="2017"/>
      <c r="K3" s="2017"/>
      <c r="L3" s="2017"/>
      <c r="M3" s="2017"/>
      <c r="N3" s="2017"/>
      <c r="O3" s="2017"/>
      <c r="P3" s="2017"/>
      <c r="Q3" s="2017"/>
      <c r="R3" s="2017"/>
      <c r="S3" s="2017"/>
    </row>
    <row r="4" spans="1:28" ht="12" customHeight="1" x14ac:dyDescent="0.2">
      <c r="A4" s="37"/>
      <c r="I4" s="2018" t="s">
        <v>545</v>
      </c>
      <c r="J4" s="2017"/>
      <c r="K4" s="2017"/>
      <c r="L4" s="2017"/>
      <c r="M4" s="2017"/>
      <c r="N4" s="2017"/>
      <c r="O4" s="2017"/>
      <c r="P4" s="2017"/>
      <c r="Q4" s="2017"/>
      <c r="R4" s="2017"/>
      <c r="S4" s="2017"/>
    </row>
    <row r="5" spans="1:28" ht="14.1" customHeight="1" x14ac:dyDescent="0.2">
      <c r="B5" s="104" t="s">
        <v>2081</v>
      </c>
      <c r="C5" s="26" t="s">
        <v>966</v>
      </c>
      <c r="D5" s="84"/>
      <c r="E5" s="84"/>
      <c r="H5" s="38"/>
      <c r="I5" s="2026" t="s">
        <v>701</v>
      </c>
      <c r="J5" s="2025"/>
      <c r="K5" s="2025"/>
      <c r="L5" s="2025"/>
      <c r="M5" s="2025"/>
      <c r="N5" s="2025"/>
      <c r="O5" s="2025"/>
      <c r="P5" s="2025"/>
      <c r="Q5" s="2025"/>
      <c r="R5" s="2025"/>
      <c r="S5" s="2025"/>
    </row>
    <row r="6" spans="1:28" ht="14.1" customHeight="1" x14ac:dyDescent="0.2">
      <c r="B6" s="104"/>
      <c r="C6" s="26" t="s">
        <v>967</v>
      </c>
      <c r="D6" s="84"/>
      <c r="E6" s="84"/>
      <c r="I6" s="2024" t="s">
        <v>938</v>
      </c>
      <c r="J6" s="2025"/>
      <c r="K6" s="2025"/>
      <c r="L6" s="2025"/>
      <c r="M6" s="2025"/>
      <c r="N6" s="2025"/>
      <c r="O6" s="2025"/>
      <c r="P6" s="2025"/>
      <c r="Q6" s="2025"/>
      <c r="R6" s="2025"/>
      <c r="S6" s="2025"/>
    </row>
    <row r="7" spans="1:28" ht="12.2" customHeight="1" x14ac:dyDescent="0.2">
      <c r="I7" s="2019">
        <v>43281</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695</v>
      </c>
      <c r="J9" s="2022"/>
      <c r="K9" s="2022"/>
      <c r="L9" s="2022"/>
      <c r="M9" s="2022"/>
      <c r="N9" s="2022"/>
      <c r="O9" s="2022"/>
      <c r="P9" s="2022"/>
      <c r="Q9" s="2022"/>
      <c r="R9" s="2022"/>
      <c r="S9" s="2023"/>
      <c r="T9" s="2037" t="s">
        <v>554</v>
      </c>
      <c r="U9" s="2038"/>
      <c r="V9" s="2038"/>
      <c r="W9" s="2038"/>
      <c r="X9" s="2038"/>
      <c r="Y9" s="2038"/>
      <c r="Z9" s="2038"/>
      <c r="AA9" s="2039"/>
    </row>
    <row r="10" spans="1:28" ht="13.5" customHeight="1" x14ac:dyDescent="0.2">
      <c r="A10" s="2044" t="s">
        <v>696</v>
      </c>
      <c r="B10" s="2045"/>
      <c r="C10" s="2045"/>
      <c r="D10" s="2045"/>
      <c r="E10" s="2045"/>
      <c r="F10" s="2045"/>
      <c r="G10" s="2045"/>
      <c r="H10" s="2046"/>
      <c r="I10" s="29"/>
      <c r="J10" s="30"/>
      <c r="K10" s="28"/>
      <c r="R10" s="30"/>
      <c r="S10" s="30"/>
      <c r="T10" s="2040"/>
      <c r="U10" s="2025"/>
      <c r="V10" s="2025"/>
      <c r="W10" s="2025"/>
      <c r="X10" s="2025"/>
      <c r="Y10" s="2025"/>
      <c r="Z10" s="2025"/>
      <c r="AA10" s="2031"/>
    </row>
    <row r="11" spans="1:28" ht="14.25" customHeight="1" x14ac:dyDescent="0.2">
      <c r="A11" s="2047" t="s">
        <v>1012</v>
      </c>
      <c r="B11" s="2048"/>
      <c r="C11" s="2048"/>
      <c r="D11" s="2048"/>
      <c r="E11" s="2048"/>
      <c r="F11" s="2048"/>
      <c r="G11" s="2048"/>
      <c r="H11" s="2049"/>
      <c r="I11" s="27"/>
      <c r="J11" s="74"/>
      <c r="K11" s="27"/>
      <c r="O11" s="148" t="s">
        <v>2081</v>
      </c>
      <c r="P11" s="100" t="s">
        <v>210</v>
      </c>
      <c r="Q11" s="30"/>
      <c r="R11" s="28"/>
      <c r="S11" s="27"/>
      <c r="T11" s="2041"/>
      <c r="U11" s="2042"/>
      <c r="V11" s="2042"/>
      <c r="W11" s="2042"/>
      <c r="X11" s="2042"/>
      <c r="Y11" s="2042"/>
      <c r="Z11" s="2042"/>
      <c r="AA11" s="204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51">
        <v>11023095025</v>
      </c>
      <c r="B13" s="2052"/>
      <c r="C13" s="2052"/>
      <c r="D13" s="2052"/>
      <c r="E13" s="2052"/>
      <c r="F13" s="2052"/>
      <c r="G13" s="2052"/>
      <c r="H13" s="2053"/>
      <c r="I13" s="31"/>
      <c r="J13" s="30"/>
      <c r="K13" s="28"/>
      <c r="L13" s="30"/>
      <c r="M13" s="30"/>
      <c r="N13" s="30"/>
      <c r="O13" s="30"/>
      <c r="P13" s="30"/>
      <c r="Q13" s="30"/>
      <c r="R13" s="30"/>
      <c r="S13" s="30"/>
      <c r="T13" s="2056" t="s">
        <v>2220</v>
      </c>
      <c r="U13" s="2057"/>
      <c r="V13" s="2057"/>
      <c r="W13" s="2057"/>
      <c r="X13" s="2057"/>
      <c r="Y13" s="2058"/>
      <c r="Z13" s="2058"/>
      <c r="AA13" s="205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50" t="s">
        <v>2084</v>
      </c>
      <c r="B15" s="2054"/>
      <c r="C15" s="2054"/>
      <c r="D15" s="2054"/>
      <c r="E15" s="2054"/>
      <c r="F15" s="2054"/>
      <c r="G15" s="2054"/>
      <c r="H15" s="2055"/>
      <c r="T15" s="2060" t="s">
        <v>2221</v>
      </c>
      <c r="U15" s="2004"/>
      <c r="V15" s="2004"/>
      <c r="W15" s="2004"/>
      <c r="X15" s="2004"/>
      <c r="Y15" s="2061"/>
      <c r="Z15" s="2061"/>
      <c r="AA15" s="206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0" t="s">
        <v>2085</v>
      </c>
      <c r="B17" s="2011"/>
      <c r="C17" s="2011"/>
      <c r="D17" s="2011"/>
      <c r="E17" s="2011"/>
      <c r="F17" s="2011"/>
      <c r="G17" s="2011"/>
      <c r="H17" s="2036"/>
      <c r="T17" s="2067" t="s">
        <v>2222</v>
      </c>
      <c r="U17" s="2068"/>
      <c r="V17" s="2068"/>
      <c r="W17" s="2068"/>
      <c r="X17" s="2068"/>
      <c r="Y17" s="2068"/>
      <c r="Z17" s="2068"/>
      <c r="AA17" s="2069"/>
    </row>
    <row r="18" spans="1:27" ht="13.5" customHeight="1" x14ac:dyDescent="0.2">
      <c r="A18" s="85" t="s">
        <v>551</v>
      </c>
      <c r="B18" s="76"/>
      <c r="C18" s="72"/>
      <c r="D18" s="76"/>
      <c r="E18" s="76"/>
      <c r="F18" s="76"/>
      <c r="G18" s="76"/>
      <c r="H18" s="56"/>
      <c r="I18" s="2035" t="s">
        <v>697</v>
      </c>
      <c r="J18" s="1986"/>
      <c r="K18" s="1986"/>
      <c r="L18" s="1986"/>
      <c r="M18" s="1986"/>
      <c r="N18" s="1986"/>
      <c r="O18" s="1986"/>
      <c r="P18" s="1986"/>
      <c r="Q18" s="1986"/>
      <c r="R18" s="1986"/>
      <c r="S18" s="1987"/>
      <c r="T18" s="85" t="s">
        <v>735</v>
      </c>
      <c r="U18" s="51"/>
      <c r="V18" s="72"/>
      <c r="W18" s="50"/>
      <c r="X18" s="85" t="s">
        <v>284</v>
      </c>
      <c r="Y18" s="81"/>
      <c r="Z18" s="159" t="s">
        <v>698</v>
      </c>
      <c r="AA18" s="46"/>
    </row>
    <row r="19" spans="1:27" ht="13.5" customHeight="1" x14ac:dyDescent="0.2">
      <c r="A19" s="2050" t="s">
        <v>2086</v>
      </c>
      <c r="B19" s="1996"/>
      <c r="C19" s="1996"/>
      <c r="D19" s="1996"/>
      <c r="E19" s="1996"/>
      <c r="F19" s="1996"/>
      <c r="G19" s="1996"/>
      <c r="H19" s="1976"/>
      <c r="I19" s="30"/>
      <c r="J19" s="99"/>
      <c r="K19" s="40"/>
      <c r="L19" s="38"/>
      <c r="M19" s="112" t="s">
        <v>333</v>
      </c>
      <c r="P19" s="27"/>
      <c r="Q19" s="27"/>
      <c r="R19" s="27"/>
      <c r="S19" s="31"/>
      <c r="T19" s="2050" t="s">
        <v>2223</v>
      </c>
      <c r="U19" s="1975"/>
      <c r="V19" s="1975"/>
      <c r="W19" s="1976"/>
      <c r="X19" s="2065" t="s">
        <v>2224</v>
      </c>
      <c r="Y19" s="2066"/>
      <c r="Z19" s="2063">
        <v>61953</v>
      </c>
      <c r="AA19" s="206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4" t="s">
        <v>2087</v>
      </c>
      <c r="B21" s="1975"/>
      <c r="C21" s="1975"/>
      <c r="D21" s="1975"/>
      <c r="E21" s="1975"/>
      <c r="F21" s="1975"/>
      <c r="G21" s="1975"/>
      <c r="H21" s="1976"/>
      <c r="I21" s="2030" t="s">
        <v>699</v>
      </c>
      <c r="J21" s="2025"/>
      <c r="K21" s="2025"/>
      <c r="L21" s="2025"/>
      <c r="M21" s="2025"/>
      <c r="N21" s="2025"/>
      <c r="O21" s="2025"/>
      <c r="P21" s="2025"/>
      <c r="Q21" s="2025"/>
      <c r="R21" s="2025"/>
      <c r="S21" s="2031"/>
      <c r="T21" s="2074" t="s">
        <v>2225</v>
      </c>
      <c r="U21" s="2075"/>
      <c r="V21" s="2075"/>
      <c r="W21" s="2075"/>
      <c r="X21" s="2080" t="s">
        <v>2226</v>
      </c>
      <c r="Y21" s="2081"/>
      <c r="Z21" s="2081"/>
      <c r="AA21" s="2082"/>
    </row>
    <row r="22" spans="1:27" ht="13.5" customHeight="1" x14ac:dyDescent="0.2">
      <c r="A22" s="87" t="s">
        <v>552</v>
      </c>
      <c r="B22" s="59"/>
      <c r="C22" s="59"/>
      <c r="D22" s="59"/>
      <c r="E22" s="59"/>
      <c r="F22" s="59"/>
      <c r="G22" s="59"/>
      <c r="H22" s="60"/>
      <c r="I22" s="2032" t="s">
        <v>1504</v>
      </c>
      <c r="J22" s="2033"/>
      <c r="K22" s="2033"/>
      <c r="L22" s="2033"/>
      <c r="M22" s="2033"/>
      <c r="N22" s="2033"/>
      <c r="O22" s="2033"/>
      <c r="P22" s="2033"/>
      <c r="Q22" s="2033"/>
      <c r="R22" s="2033"/>
      <c r="S22" s="2034"/>
      <c r="T22" s="85" t="s">
        <v>1596</v>
      </c>
      <c r="U22" s="51"/>
      <c r="V22" s="72"/>
      <c r="W22" s="51"/>
      <c r="X22" s="160" t="s">
        <v>1385</v>
      </c>
      <c r="Z22" s="45"/>
      <c r="AA22" s="46"/>
    </row>
    <row r="23" spans="1:27" ht="13.5" customHeight="1" x14ac:dyDescent="0.2">
      <c r="A23" s="2027" t="s">
        <v>2088</v>
      </c>
      <c r="B23" s="2028"/>
      <c r="C23" s="2028"/>
      <c r="D23" s="2028"/>
      <c r="E23" s="2028"/>
      <c r="F23" s="2028"/>
      <c r="G23" s="2028"/>
      <c r="H23" s="2029"/>
      <c r="T23" s="2010" t="s">
        <v>2227</v>
      </c>
      <c r="U23" s="2073"/>
      <c r="V23" s="2073"/>
      <c r="W23" s="2073"/>
      <c r="X23" s="2077">
        <v>43434</v>
      </c>
      <c r="Y23" s="2078"/>
      <c r="Z23" s="2078"/>
      <c r="AA23" s="2079"/>
    </row>
    <row r="24" spans="1:27" ht="14.1" customHeight="1" x14ac:dyDescent="0.2">
      <c r="A24" s="88" t="s">
        <v>698</v>
      </c>
      <c r="B24" s="49"/>
      <c r="C24" s="49"/>
      <c r="D24" s="49"/>
      <c r="E24" s="49"/>
      <c r="F24" s="49"/>
      <c r="G24" s="49"/>
      <c r="H24" s="61"/>
      <c r="J24" s="1997">
        <f>IF(B5="x",IF(AUDITCHECK!D29="AFR form Incomplete.","",IF(AUDITCHECK!D29="Deficit reduction plan is required.","School District must complete a deficit reduction plan in the 2018-2019 Budget",)),"")</f>
        <v>0</v>
      </c>
      <c r="K24" s="1997"/>
      <c r="L24" s="1997"/>
      <c r="M24" s="1997"/>
      <c r="N24" s="1997"/>
      <c r="O24" s="1997"/>
      <c r="P24" s="1997"/>
      <c r="Q24" s="1997"/>
      <c r="R24" s="1997"/>
      <c r="S24" s="1998"/>
      <c r="T24" s="105" t="s">
        <v>552</v>
      </c>
      <c r="U24" s="106"/>
      <c r="V24" s="106"/>
      <c r="W24" s="106"/>
      <c r="X24" s="107"/>
      <c r="Y24" s="107"/>
      <c r="Z24" s="107"/>
      <c r="AA24" s="108"/>
    </row>
    <row r="25" spans="1:27" ht="14.1" customHeight="1" x14ac:dyDescent="0.2">
      <c r="A25" s="1974">
        <v>61944</v>
      </c>
      <c r="B25" s="1975"/>
      <c r="C25" s="1975"/>
      <c r="D25" s="1975"/>
      <c r="E25" s="1975"/>
      <c r="F25" s="1975"/>
      <c r="G25" s="1975"/>
      <c r="H25" s="1976"/>
      <c r="I25" s="113"/>
      <c r="J25" s="1999"/>
      <c r="K25" s="1999"/>
      <c r="L25" s="1999"/>
      <c r="M25" s="1999"/>
      <c r="N25" s="1999"/>
      <c r="O25" s="1999"/>
      <c r="P25" s="1999"/>
      <c r="Q25" s="1999"/>
      <c r="R25" s="1999"/>
      <c r="S25" s="2000"/>
      <c r="T25" s="2070" t="s">
        <v>2228</v>
      </c>
      <c r="U25" s="2071"/>
      <c r="V25" s="2071"/>
      <c r="W25" s="2071"/>
      <c r="X25" s="2071"/>
      <c r="Y25" s="2071"/>
      <c r="Z25" s="2071"/>
      <c r="AA25" s="207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5" t="s">
        <v>1591</v>
      </c>
      <c r="J27" s="1986"/>
      <c r="K27" s="1986"/>
      <c r="L27" s="1986"/>
      <c r="M27" s="1986"/>
      <c r="N27" s="1986"/>
      <c r="O27" s="1986"/>
      <c r="P27" s="1986"/>
      <c r="Q27" s="1986"/>
      <c r="R27" s="1986"/>
      <c r="S27" s="198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2081</v>
      </c>
      <c r="F29" s="141" t="s">
        <v>1383</v>
      </c>
      <c r="G29" s="114"/>
      <c r="I29" s="54"/>
      <c r="J29" s="148" t="s">
        <v>2081</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2081</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2081</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2081</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6"/>
      <c r="Q35" s="1975"/>
      <c r="R35" s="197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0" t="s">
        <v>2089</v>
      </c>
      <c r="B38" s="2011"/>
      <c r="C38" s="2011"/>
      <c r="D38" s="2011"/>
      <c r="E38" s="2011"/>
      <c r="F38" s="1975"/>
      <c r="G38" s="1975"/>
      <c r="H38" s="1976"/>
      <c r="I38" s="2003"/>
      <c r="J38" s="2004"/>
      <c r="K38" s="2004"/>
      <c r="L38" s="2004"/>
      <c r="M38" s="2004"/>
      <c r="N38" s="2004"/>
      <c r="O38" s="2004"/>
      <c r="P38" s="2005"/>
      <c r="Q38" s="2005"/>
      <c r="R38" s="2005"/>
      <c r="S38" s="2006"/>
      <c r="T38" s="2060"/>
      <c r="U38" s="2004"/>
      <c r="V38" s="2004"/>
      <c r="W38" s="2004"/>
      <c r="X38" s="2005"/>
      <c r="Y38" s="2005"/>
      <c r="Z38" s="2005"/>
      <c r="AA38" s="2006"/>
    </row>
    <row r="39" spans="1:27" ht="12" customHeight="1" x14ac:dyDescent="0.2">
      <c r="A39" s="1980" t="s">
        <v>552</v>
      </c>
      <c r="B39" s="1981"/>
      <c r="C39" s="72"/>
      <c r="D39" s="69"/>
      <c r="E39" s="69"/>
      <c r="F39" s="79"/>
      <c r="G39" s="69"/>
      <c r="H39" s="56"/>
      <c r="I39" s="1980" t="s">
        <v>552</v>
      </c>
      <c r="J39" s="1981"/>
      <c r="K39" s="1981"/>
      <c r="L39" s="1981"/>
      <c r="M39" s="1981"/>
      <c r="N39" s="67"/>
      <c r="O39" s="72"/>
      <c r="P39" s="72"/>
      <c r="Q39" s="78"/>
      <c r="R39" s="72"/>
      <c r="S39" s="56"/>
      <c r="T39" s="72" t="s">
        <v>552</v>
      </c>
      <c r="U39" s="51"/>
      <c r="V39" s="72"/>
      <c r="W39" s="50"/>
      <c r="X39" s="78"/>
      <c r="Y39" s="45"/>
      <c r="Z39" s="45"/>
      <c r="AA39" s="46"/>
    </row>
    <row r="40" spans="1:27" ht="13.5" customHeight="1" x14ac:dyDescent="0.2">
      <c r="A40" s="1988" t="s">
        <v>2088</v>
      </c>
      <c r="B40" s="1989"/>
      <c r="C40" s="1990"/>
      <c r="D40" s="1990"/>
      <c r="E40" s="1990"/>
      <c r="F40" s="1991"/>
      <c r="G40" s="1991"/>
      <c r="H40" s="1992"/>
      <c r="I40" s="2013"/>
      <c r="J40" s="2014"/>
      <c r="K40" s="2014"/>
      <c r="L40" s="2014"/>
      <c r="M40" s="2014"/>
      <c r="N40" s="2014"/>
      <c r="O40" s="2014"/>
      <c r="P40" s="2014"/>
      <c r="Q40" s="2014"/>
      <c r="R40" s="2014"/>
      <c r="S40" s="2015"/>
      <c r="T40" s="2013"/>
      <c r="U40" s="2076"/>
      <c r="V40" s="2014"/>
      <c r="W40" s="2014"/>
      <c r="X40" s="2014"/>
      <c r="Y40" s="2014"/>
      <c r="Z40" s="2014"/>
      <c r="AA40" s="201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02" t="s">
        <v>2090</v>
      </c>
      <c r="B42" s="1994"/>
      <c r="C42" s="1995"/>
      <c r="D42" s="1993" t="s">
        <v>2091</v>
      </c>
      <c r="E42" s="1994"/>
      <c r="F42" s="1994"/>
      <c r="G42" s="1994"/>
      <c r="H42" s="1995"/>
      <c r="I42" s="1977"/>
      <c r="J42" s="1978"/>
      <c r="K42" s="1978"/>
      <c r="L42" s="1978"/>
      <c r="M42" s="1978"/>
      <c r="N42" s="1978"/>
      <c r="O42" s="1979"/>
      <c r="P42" s="2012"/>
      <c r="Q42" s="1978"/>
      <c r="R42" s="1978"/>
      <c r="S42" s="1979"/>
      <c r="T42" s="1977"/>
      <c r="U42" s="1978"/>
      <c r="V42" s="1978"/>
      <c r="W42" s="1979"/>
      <c r="X42" s="2012"/>
      <c r="Y42" s="1978"/>
      <c r="Z42" s="1978"/>
      <c r="AA42" s="197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7"/>
      <c r="B44" s="2008"/>
      <c r="C44" s="2008"/>
      <c r="D44" s="2008"/>
      <c r="E44" s="2008"/>
      <c r="F44" s="2008"/>
      <c r="G44" s="2008"/>
      <c r="H44" s="2009"/>
      <c r="I44" s="1982"/>
      <c r="J44" s="1983"/>
      <c r="K44" s="1983"/>
      <c r="L44" s="1983"/>
      <c r="M44" s="1983"/>
      <c r="N44" s="1983"/>
      <c r="O44" s="1983"/>
      <c r="P44" s="1983"/>
      <c r="Q44" s="1983"/>
      <c r="R44" s="1983"/>
      <c r="S44" s="1984"/>
      <c r="T44" s="1982"/>
      <c r="U44" s="2001"/>
      <c r="V44" s="2001"/>
      <c r="W44" s="2001"/>
      <c r="X44" s="2001"/>
      <c r="Y44" s="2001"/>
      <c r="Z44" s="1983"/>
      <c r="AA44" s="198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5" sqref="C5"/>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16" t="s">
        <v>1904</v>
      </c>
      <c r="B2" s="1549" t="s">
        <v>2036</v>
      </c>
      <c r="C2" s="715" t="s">
        <v>1909</v>
      </c>
      <c r="D2" s="715" t="s">
        <v>1910</v>
      </c>
      <c r="E2" s="715" t="s">
        <v>1911</v>
      </c>
      <c r="F2" s="715" t="s">
        <v>1912</v>
      </c>
    </row>
    <row r="3" spans="1:6" ht="12" customHeight="1" x14ac:dyDescent="0.2">
      <c r="A3" s="2217"/>
      <c r="B3" s="1546"/>
      <c r="C3" s="1547"/>
      <c r="D3" s="1548" t="s">
        <v>274</v>
      </c>
      <c r="E3" s="1547"/>
      <c r="F3" s="1548" t="s">
        <v>275</v>
      </c>
    </row>
    <row r="4" spans="1:6" ht="13.7" customHeight="1" x14ac:dyDescent="0.2">
      <c r="A4" s="716" t="s">
        <v>1217</v>
      </c>
      <c r="B4" s="1770">
        <f>'Revenues 9-14'!C5</f>
        <v>1339120</v>
      </c>
      <c r="C4" s="1545"/>
      <c r="D4" s="1773">
        <f>B4-C4</f>
        <v>1339120</v>
      </c>
      <c r="E4" s="1545">
        <v>1503283</v>
      </c>
      <c r="F4" s="1773">
        <f>E4-C4</f>
        <v>1503283</v>
      </c>
    </row>
    <row r="5" spans="1:6" ht="13.7" customHeight="1" x14ac:dyDescent="0.2">
      <c r="A5" s="716" t="s">
        <v>925</v>
      </c>
      <c r="B5" s="1771">
        <f>'Revenues 9-14'!D5</f>
        <v>363891</v>
      </c>
      <c r="C5" s="585"/>
      <c r="D5" s="1774">
        <f t="shared" ref="D5:D18" si="0">B5-C5</f>
        <v>363891</v>
      </c>
      <c r="E5" s="585">
        <v>408501</v>
      </c>
      <c r="F5" s="1774">
        <f>E5-C5</f>
        <v>408501</v>
      </c>
    </row>
    <row r="6" spans="1:6" ht="13.7" customHeight="1" x14ac:dyDescent="0.2">
      <c r="A6" s="716" t="s">
        <v>431</v>
      </c>
      <c r="B6" s="1771">
        <f>'Revenues 9-14'!E5</f>
        <v>508029</v>
      </c>
      <c r="C6" s="585"/>
      <c r="D6" s="1774">
        <f t="shared" si="0"/>
        <v>508029</v>
      </c>
      <c r="E6" s="585">
        <v>564989</v>
      </c>
      <c r="F6" s="1774">
        <f t="shared" ref="F6:F18" si="1">E6-C6</f>
        <v>564989</v>
      </c>
    </row>
    <row r="7" spans="1:6" ht="13.7" customHeight="1" x14ac:dyDescent="0.2">
      <c r="A7" s="716" t="s">
        <v>157</v>
      </c>
      <c r="B7" s="1771">
        <f>'Revenues 9-14'!F5</f>
        <v>145557</v>
      </c>
      <c r="C7" s="585"/>
      <c r="D7" s="1774">
        <f t="shared" si="0"/>
        <v>145557</v>
      </c>
      <c r="E7" s="585">
        <v>163400</v>
      </c>
      <c r="F7" s="1774">
        <f t="shared" si="1"/>
        <v>163400</v>
      </c>
    </row>
    <row r="8" spans="1:6" ht="13.7" customHeight="1" x14ac:dyDescent="0.2">
      <c r="A8" s="716" t="s">
        <v>1241</v>
      </c>
      <c r="B8" s="1771">
        <f>'Revenues 9-14'!G5</f>
        <v>197608</v>
      </c>
      <c r="C8" s="585"/>
      <c r="D8" s="1774">
        <f t="shared" si="0"/>
        <v>197608</v>
      </c>
      <c r="E8" s="585">
        <v>200002</v>
      </c>
      <c r="F8" s="1774">
        <f t="shared" si="1"/>
        <v>200002</v>
      </c>
    </row>
    <row r="9" spans="1:6" ht="13.7" customHeight="1" x14ac:dyDescent="0.2">
      <c r="A9" s="716" t="s">
        <v>428</v>
      </c>
      <c r="B9" s="1771">
        <f>'Revenues 9-14'!H5</f>
        <v>0</v>
      </c>
      <c r="C9" s="585"/>
      <c r="D9" s="1774">
        <f t="shared" si="0"/>
        <v>0</v>
      </c>
      <c r="E9" s="585">
        <v>0</v>
      </c>
      <c r="F9" s="1774">
        <f t="shared" si="1"/>
        <v>0</v>
      </c>
    </row>
    <row r="10" spans="1:6" ht="13.7" customHeight="1" x14ac:dyDescent="0.2">
      <c r="A10" s="716" t="s">
        <v>427</v>
      </c>
      <c r="B10" s="1771">
        <f>'Revenues 9-14'!I5</f>
        <v>36389</v>
      </c>
      <c r="C10" s="585"/>
      <c r="D10" s="1774">
        <f t="shared" si="0"/>
        <v>36389</v>
      </c>
      <c r="E10" s="585">
        <v>40850</v>
      </c>
      <c r="F10" s="1774">
        <f t="shared" si="1"/>
        <v>40850</v>
      </c>
    </row>
    <row r="11" spans="1:6" x14ac:dyDescent="0.2">
      <c r="A11" s="716" t="s">
        <v>429</v>
      </c>
      <c r="B11" s="1771">
        <f>'Revenues 9-14'!J5</f>
        <v>59467</v>
      </c>
      <c r="C11" s="585"/>
      <c r="D11" s="1774">
        <f t="shared" si="0"/>
        <v>59467</v>
      </c>
      <c r="E11" s="585">
        <v>100001</v>
      </c>
      <c r="F11" s="1774">
        <f t="shared" si="1"/>
        <v>100001</v>
      </c>
    </row>
    <row r="12" spans="1:6" ht="13.7" customHeight="1" x14ac:dyDescent="0.2">
      <c r="A12" s="716" t="s">
        <v>159</v>
      </c>
      <c r="B12" s="1771">
        <f>'Revenues 9-14'!K5</f>
        <v>0</v>
      </c>
      <c r="C12" s="585"/>
      <c r="D12" s="1774">
        <f t="shared" si="0"/>
        <v>0</v>
      </c>
      <c r="E12" s="585">
        <v>40850</v>
      </c>
      <c r="F12" s="1774">
        <f t="shared" si="1"/>
        <v>40850</v>
      </c>
    </row>
    <row r="13" spans="1:6" ht="13.7" customHeight="1" x14ac:dyDescent="0.2">
      <c r="A13" s="716" t="s">
        <v>993</v>
      </c>
      <c r="B13" s="1771">
        <f>SUM('Revenues 9-14'!C6:D6)</f>
        <v>36389</v>
      </c>
      <c r="C13" s="585"/>
      <c r="D13" s="1774">
        <f t="shared" si="0"/>
        <v>36389</v>
      </c>
      <c r="E13" s="585">
        <v>40850</v>
      </c>
      <c r="F13" s="1774">
        <f t="shared" si="1"/>
        <v>40850</v>
      </c>
    </row>
    <row r="14" spans="1:6" ht="13.7" customHeight="1" x14ac:dyDescent="0.2">
      <c r="A14" s="716" t="s">
        <v>430</v>
      </c>
      <c r="B14" s="1771">
        <f>SUM('Revenues 9-14'!C7:D7,'Revenues 9-14'!F7:H7)</f>
        <v>29111</v>
      </c>
      <c r="C14" s="585"/>
      <c r="D14" s="1774">
        <f t="shared" si="0"/>
        <v>29111</v>
      </c>
      <c r="E14" s="585">
        <v>32680</v>
      </c>
      <c r="F14" s="1774">
        <f t="shared" si="1"/>
        <v>32680</v>
      </c>
    </row>
    <row r="15" spans="1:6" ht="13.7" customHeight="1" x14ac:dyDescent="0.2">
      <c r="A15" s="716" t="s">
        <v>1220</v>
      </c>
      <c r="B15" s="1771">
        <f>'Revenues 9-14'!E9</f>
        <v>0</v>
      </c>
      <c r="C15" s="585"/>
      <c r="D15" s="1774">
        <f t="shared" si="0"/>
        <v>0</v>
      </c>
      <c r="E15" s="585">
        <v>0</v>
      </c>
      <c r="F15" s="1774">
        <f t="shared" si="1"/>
        <v>0</v>
      </c>
    </row>
    <row r="16" spans="1:6" ht="13.7" customHeight="1" x14ac:dyDescent="0.2">
      <c r="A16" s="716" t="s">
        <v>1221</v>
      </c>
      <c r="B16" s="1771">
        <f>'Revenues 9-14'!G8</f>
        <v>197608</v>
      </c>
      <c r="C16" s="585"/>
      <c r="D16" s="1774">
        <f t="shared" si="0"/>
        <v>197608</v>
      </c>
      <c r="E16" s="585">
        <v>200002</v>
      </c>
      <c r="F16" s="1774">
        <f t="shared" si="1"/>
        <v>200002</v>
      </c>
    </row>
    <row r="17" spans="1:6" ht="13.7" customHeight="1" x14ac:dyDescent="0.2">
      <c r="A17" s="716" t="s">
        <v>1222</v>
      </c>
      <c r="B17" s="1771">
        <f>'Revenues 9-14'!C10</f>
        <v>0</v>
      </c>
      <c r="C17" s="585"/>
      <c r="D17" s="1774">
        <f t="shared" si="0"/>
        <v>0</v>
      </c>
      <c r="E17" s="585">
        <v>0</v>
      </c>
      <c r="F17" s="1774">
        <f t="shared" si="1"/>
        <v>0</v>
      </c>
    </row>
    <row r="18" spans="1:6" ht="13.7" customHeight="1" x14ac:dyDescent="0.2">
      <c r="A18" s="716" t="s">
        <v>786</v>
      </c>
      <c r="B18" s="1771">
        <f>SUM('Revenues 9-14'!C11:K11)</f>
        <v>0</v>
      </c>
      <c r="C18" s="585"/>
      <c r="D18" s="1774">
        <f t="shared" si="0"/>
        <v>0</v>
      </c>
      <c r="E18" s="585">
        <v>0</v>
      </c>
      <c r="F18" s="1774">
        <f t="shared" si="1"/>
        <v>0</v>
      </c>
    </row>
    <row r="19" spans="1:6" ht="13.7" customHeight="1" thickBot="1" x14ac:dyDescent="0.25">
      <c r="A19" s="1775" t="s">
        <v>1223</v>
      </c>
      <c r="B19" s="1772">
        <f>SUM(B4:B18)</f>
        <v>2913169</v>
      </c>
      <c r="C19" s="1772">
        <f>SUM(C4:C18)</f>
        <v>0</v>
      </c>
      <c r="D19" s="1772">
        <f>SUM(D4:D18)</f>
        <v>2913169</v>
      </c>
      <c r="E19" s="1772">
        <f>SUM(E4:E18)</f>
        <v>3295408</v>
      </c>
      <c r="F19" s="1772">
        <f>SUM(F4:F18)</f>
        <v>3295408</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F61" sqref="F6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8" t="s">
        <v>650</v>
      </c>
      <c r="B1" s="2236"/>
      <c r="C1" s="722"/>
    </row>
    <row r="2" spans="1:7" ht="33.75" x14ac:dyDescent="0.2">
      <c r="A2" s="2243" t="s">
        <v>1904</v>
      </c>
      <c r="B2" s="2244"/>
      <c r="C2" s="1908" t="s">
        <v>2037</v>
      </c>
      <c r="D2" s="724" t="s">
        <v>2044</v>
      </c>
      <c r="E2" s="724" t="s">
        <v>2045</v>
      </c>
      <c r="F2" s="1908" t="s">
        <v>2038</v>
      </c>
    </row>
    <row r="3" spans="1:7" ht="15.75" customHeight="1" x14ac:dyDescent="0.2">
      <c r="A3" s="2245" t="s">
        <v>1176</v>
      </c>
      <c r="B3" s="2246"/>
      <c r="C3" s="2239"/>
      <c r="D3" s="2240"/>
      <c r="E3" s="2240"/>
      <c r="F3" s="2241"/>
    </row>
    <row r="4" spans="1:7" ht="12.75" customHeight="1" thickBot="1" x14ac:dyDescent="0.25">
      <c r="A4" s="2233" t="s">
        <v>651</v>
      </c>
      <c r="B4" s="2234"/>
      <c r="C4" s="581"/>
      <c r="D4" s="581"/>
      <c r="E4" s="581"/>
      <c r="F4" s="1776">
        <f>SUM(C4+D4)-E4</f>
        <v>0</v>
      </c>
    </row>
    <row r="5" spans="1:7" ht="15.75" customHeight="1" thickTop="1" x14ac:dyDescent="0.2">
      <c r="A5" s="2237" t="s">
        <v>1172</v>
      </c>
      <c r="B5" s="2232"/>
      <c r="C5" s="2226"/>
      <c r="D5" s="2227"/>
      <c r="E5" s="2227"/>
      <c r="F5" s="2228"/>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29" t="s">
        <v>652</v>
      </c>
      <c r="B15" s="2230"/>
      <c r="C15" s="1776">
        <f>SUM(C6:C14)</f>
        <v>0</v>
      </c>
      <c r="D15" s="1776">
        <f>SUM(D6:D14)</f>
        <v>0</v>
      </c>
      <c r="E15" s="1776">
        <f>SUM(E6:E14)</f>
        <v>0</v>
      </c>
      <c r="F15" s="1776">
        <f>SUM(F6:F14)</f>
        <v>0</v>
      </c>
      <c r="G15" s="552"/>
    </row>
    <row r="16" spans="1:7" s="202" customFormat="1" ht="15.75" customHeight="1" thickTop="1" x14ac:dyDescent="0.2">
      <c r="A16" s="2242" t="s">
        <v>1173</v>
      </c>
      <c r="B16" s="2232"/>
      <c r="C16" s="2226"/>
      <c r="D16" s="2227"/>
      <c r="E16" s="2227"/>
      <c r="F16" s="2228"/>
    </row>
    <row r="17" spans="1:11" ht="12.75" customHeight="1" thickBot="1" x14ac:dyDescent="0.25">
      <c r="A17" s="2224" t="s">
        <v>66</v>
      </c>
      <c r="B17" s="2225"/>
      <c r="C17" s="727"/>
      <c r="D17" s="585"/>
      <c r="E17" s="727"/>
      <c r="F17" s="1776">
        <f>SUM(C17+D17)-E17</f>
        <v>0</v>
      </c>
    </row>
    <row r="18" spans="1:11" ht="12.75" customHeight="1" thickTop="1" thickBot="1" x14ac:dyDescent="0.25">
      <c r="A18" s="2224" t="s">
        <v>6</v>
      </c>
      <c r="B18" s="2225"/>
      <c r="C18" s="727"/>
      <c r="D18" s="585"/>
      <c r="E18" s="727"/>
      <c r="F18" s="1776">
        <f>SUM(C18+D18)-E18</f>
        <v>0</v>
      </c>
    </row>
    <row r="19" spans="1:11" ht="12.75" customHeight="1" thickTop="1" thickBot="1" x14ac:dyDescent="0.25">
      <c r="A19" s="2224" t="s">
        <v>406</v>
      </c>
      <c r="B19" s="2225"/>
      <c r="C19" s="727"/>
      <c r="D19" s="585"/>
      <c r="E19" s="727"/>
      <c r="F19" s="1776">
        <f>SUM(C19+D19)-E19</f>
        <v>0</v>
      </c>
    </row>
    <row r="20" spans="1:11" ht="12.75" customHeight="1" thickTop="1" thickBot="1" x14ac:dyDescent="0.25">
      <c r="A20" s="2224" t="s">
        <v>468</v>
      </c>
      <c r="B20" s="2225"/>
      <c r="C20" s="727"/>
      <c r="D20" s="585"/>
      <c r="E20" s="727"/>
      <c r="F20" s="1776">
        <f>SUM(C20+D20)-E20</f>
        <v>0</v>
      </c>
    </row>
    <row r="21" spans="1:11" ht="14.25" thickTop="1" thickBot="1" x14ac:dyDescent="0.25">
      <c r="A21" s="2229" t="s">
        <v>653</v>
      </c>
      <c r="B21" s="2230"/>
      <c r="C21" s="1776">
        <f>SUM(C17:C20)</f>
        <v>0</v>
      </c>
      <c r="D21" s="1776">
        <f>SUM(D17:D20)</f>
        <v>0</v>
      </c>
      <c r="E21" s="1776">
        <f>SUM(E17:E20)</f>
        <v>0</v>
      </c>
      <c r="F21" s="1776">
        <f>SUM(F17:F20)</f>
        <v>0</v>
      </c>
      <c r="G21" s="552"/>
    </row>
    <row r="22" spans="1:11" ht="15.75" customHeight="1" thickTop="1" x14ac:dyDescent="0.2">
      <c r="A22" s="2231" t="s">
        <v>1174</v>
      </c>
      <c r="B22" s="2232"/>
      <c r="C22" s="2226"/>
      <c r="D22" s="2227"/>
      <c r="E22" s="2227"/>
      <c r="F22" s="2228"/>
    </row>
    <row r="23" spans="1:11" ht="13.5" thickBot="1" x14ac:dyDescent="0.25">
      <c r="A23" s="2233" t="s">
        <v>654</v>
      </c>
      <c r="B23" s="2234"/>
      <c r="C23" s="581"/>
      <c r="D23" s="581"/>
      <c r="E23" s="581"/>
      <c r="F23" s="1776">
        <f>SUM(C23+D23)-E23</f>
        <v>0</v>
      </c>
      <c r="G23" s="552"/>
    </row>
    <row r="24" spans="1:11" ht="15.75" customHeight="1" thickTop="1" x14ac:dyDescent="0.2">
      <c r="A24" s="2231" t="s">
        <v>1175</v>
      </c>
      <c r="B24" s="2232"/>
      <c r="C24" s="2226"/>
      <c r="D24" s="2227"/>
      <c r="E24" s="2227"/>
      <c r="F24" s="2228"/>
    </row>
    <row r="25" spans="1:11" ht="13.5" thickBot="1" x14ac:dyDescent="0.25">
      <c r="A25" s="2233" t="s">
        <v>655</v>
      </c>
      <c r="B25" s="2234"/>
      <c r="C25" s="581"/>
      <c r="D25" s="581"/>
      <c r="E25" s="581"/>
      <c r="F25" s="1776">
        <f>SUM(C25+D25)-E25</f>
        <v>0</v>
      </c>
      <c r="G25" s="552"/>
    </row>
    <row r="26" spans="1:11" ht="15.75" customHeight="1" thickTop="1" x14ac:dyDescent="0.2">
      <c r="A26" s="2237" t="s">
        <v>678</v>
      </c>
      <c r="B26" s="2232"/>
      <c r="C26" s="728"/>
      <c r="D26" s="728"/>
      <c r="E26" s="728"/>
      <c r="F26" s="729"/>
    </row>
    <row r="27" spans="1:11" ht="13.5" thickBot="1" x14ac:dyDescent="0.25">
      <c r="A27" s="2229" t="s">
        <v>1130</v>
      </c>
      <c r="B27" s="2230"/>
      <c r="C27" s="585"/>
      <c r="D27" s="585"/>
      <c r="E27" s="585"/>
      <c r="F27" s="1776">
        <f>SUM(C27+D27)-E27</f>
        <v>0</v>
      </c>
      <c r="G27" s="552"/>
    </row>
    <row r="28" spans="1:11" ht="7.5" customHeight="1" thickTop="1" x14ac:dyDescent="0.2">
      <c r="A28" s="594"/>
    </row>
    <row r="29" spans="1:11" ht="23.25" customHeight="1" x14ac:dyDescent="0.2">
      <c r="A29" s="2235" t="s">
        <v>603</v>
      </c>
      <c r="B29" s="2236"/>
      <c r="C29" s="730"/>
      <c r="D29" s="730"/>
      <c r="E29" s="730"/>
      <c r="F29" s="730"/>
      <c r="G29" s="730"/>
      <c r="H29" s="730"/>
      <c r="I29" s="730"/>
      <c r="J29" s="730"/>
    </row>
    <row r="30" spans="1:11" ht="33.75" x14ac:dyDescent="0.2">
      <c r="A30" s="1550" t="s">
        <v>1131</v>
      </c>
      <c r="B30" s="731" t="s">
        <v>1186</v>
      </c>
      <c r="C30" s="1909" t="s">
        <v>604</v>
      </c>
      <c r="D30" s="1909" t="s">
        <v>1772</v>
      </c>
      <c r="E30" s="1909" t="s">
        <v>2039</v>
      </c>
      <c r="F30" s="1909" t="s">
        <v>2040</v>
      </c>
      <c r="G30" s="1909" t="s">
        <v>2043</v>
      </c>
      <c r="H30" s="1909" t="s">
        <v>2041</v>
      </c>
      <c r="I30" s="1909" t="s">
        <v>2042</v>
      </c>
      <c r="J30" s="1910" t="s">
        <v>2</v>
      </c>
      <c r="K30" s="732"/>
    </row>
    <row r="31" spans="1:11" ht="12" customHeight="1" x14ac:dyDescent="0.2">
      <c r="A31" s="1955" t="s">
        <v>2076</v>
      </c>
      <c r="B31" s="734">
        <v>36349</v>
      </c>
      <c r="C31" s="735">
        <v>5645000</v>
      </c>
      <c r="D31" s="736">
        <v>6</v>
      </c>
      <c r="E31" s="735">
        <v>71720</v>
      </c>
      <c r="F31" s="735"/>
      <c r="G31" s="735">
        <v>2679</v>
      </c>
      <c r="H31" s="735">
        <v>40000</v>
      </c>
      <c r="I31" s="1777">
        <f>((E31+F31)-H31)+G31</f>
        <v>34399</v>
      </c>
      <c r="J31" s="735">
        <v>23074</v>
      </c>
      <c r="K31" s="737"/>
    </row>
    <row r="32" spans="1:11" ht="12" customHeight="1" x14ac:dyDescent="0.2">
      <c r="A32" s="1955" t="s">
        <v>2077</v>
      </c>
      <c r="B32" s="734">
        <v>38701</v>
      </c>
      <c r="C32" s="735">
        <v>3650000</v>
      </c>
      <c r="D32" s="736">
        <v>3</v>
      </c>
      <c r="E32" s="735">
        <v>545000</v>
      </c>
      <c r="F32" s="735"/>
      <c r="G32" s="735"/>
      <c r="H32" s="735">
        <v>260000</v>
      </c>
      <c r="I32" s="1777">
        <f>((E32+F32)-H32)+G32</f>
        <v>285000</v>
      </c>
      <c r="J32" s="735">
        <v>285000</v>
      </c>
      <c r="K32" s="737"/>
    </row>
    <row r="33" spans="1:11" ht="12" customHeight="1" x14ac:dyDescent="0.2">
      <c r="A33" s="1955" t="s">
        <v>2079</v>
      </c>
      <c r="B33" s="734">
        <v>41085</v>
      </c>
      <c r="C33" s="735">
        <v>6000000</v>
      </c>
      <c r="D33" s="736">
        <v>6</v>
      </c>
      <c r="E33" s="735">
        <v>6000000</v>
      </c>
      <c r="F33" s="735"/>
      <c r="G33" s="735"/>
      <c r="H33" s="735"/>
      <c r="I33" s="1777">
        <f t="shared" ref="I33:I48" si="1">((E33+F33)-H33)+G33</f>
        <v>6000000</v>
      </c>
      <c r="J33" s="735">
        <v>6000000</v>
      </c>
      <c r="K33" s="737"/>
    </row>
    <row r="34" spans="1:11" ht="12" customHeight="1" x14ac:dyDescent="0.2">
      <c r="A34" s="1955" t="s">
        <v>2078</v>
      </c>
      <c r="B34" s="734">
        <v>41085</v>
      </c>
      <c r="C34" s="735">
        <v>1110000</v>
      </c>
      <c r="D34" s="736">
        <v>3</v>
      </c>
      <c r="E34" s="735">
        <v>1110000</v>
      </c>
      <c r="F34" s="735"/>
      <c r="G34" s="735"/>
      <c r="H34" s="735"/>
      <c r="I34" s="1777">
        <f t="shared" si="1"/>
        <v>1110000</v>
      </c>
      <c r="J34" s="735">
        <v>1110000</v>
      </c>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16405000</v>
      </c>
      <c r="D49" s="746"/>
      <c r="E49" s="1777">
        <f t="shared" ref="E49:J49" si="2">SUM(E31:E48)</f>
        <v>7726720</v>
      </c>
      <c r="F49" s="1777">
        <f t="shared" si="2"/>
        <v>0</v>
      </c>
      <c r="G49" s="1777">
        <f t="shared" si="2"/>
        <v>2679</v>
      </c>
      <c r="H49" s="1777">
        <f t="shared" si="2"/>
        <v>300000</v>
      </c>
      <c r="I49" s="1777">
        <f t="shared" si="2"/>
        <v>7429399</v>
      </c>
      <c r="J49" s="1777">
        <f t="shared" si="2"/>
        <v>7418074</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18" t="s">
        <v>605</v>
      </c>
      <c r="C52" s="2219"/>
      <c r="D52" s="2219"/>
      <c r="E52" s="750" t="s">
        <v>900</v>
      </c>
      <c r="F52" s="2220"/>
      <c r="G52" s="2221"/>
      <c r="H52" s="737"/>
      <c r="I52" s="737"/>
      <c r="J52" s="747"/>
    </row>
    <row r="53" spans="1:11" ht="11.25" customHeight="1" x14ac:dyDescent="0.2">
      <c r="A53" s="751" t="s">
        <v>969</v>
      </c>
      <c r="B53" s="752" t="s">
        <v>1008</v>
      </c>
      <c r="C53" s="747"/>
      <c r="D53" s="738"/>
      <c r="E53" s="750" t="s">
        <v>518</v>
      </c>
      <c r="F53" s="2222"/>
      <c r="G53" s="2223"/>
      <c r="H53" s="737"/>
      <c r="I53" s="737"/>
      <c r="J53" s="747"/>
    </row>
    <row r="54" spans="1:11" ht="11.25" customHeight="1" x14ac:dyDescent="0.2">
      <c r="A54" s="753" t="s">
        <v>970</v>
      </c>
      <c r="B54" s="748" t="s">
        <v>1009</v>
      </c>
      <c r="C54" s="747"/>
      <c r="D54" s="738"/>
      <c r="E54" s="750" t="s">
        <v>519</v>
      </c>
      <c r="F54" s="2222"/>
      <c r="G54" s="222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37" sqref="J3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7" t="s">
        <v>911</v>
      </c>
      <c r="B1" s="2248"/>
      <c r="C1" s="2248"/>
      <c r="D1" s="2248"/>
      <c r="E1" s="2248"/>
      <c r="F1" s="2248"/>
      <c r="G1" s="2249"/>
      <c r="H1" s="1551"/>
      <c r="I1" s="761"/>
      <c r="J1" s="433"/>
    </row>
    <row r="2" spans="1:11" ht="26.25" x14ac:dyDescent="0.2">
      <c r="A2" s="2266" t="s">
        <v>1776</v>
      </c>
      <c r="B2" s="2267"/>
      <c r="C2" s="2267"/>
      <c r="D2" s="2267"/>
      <c r="E2" s="2268"/>
      <c r="F2" s="762" t="s">
        <v>960</v>
      </c>
      <c r="G2" s="763" t="s">
        <v>1773</v>
      </c>
      <c r="H2" s="763" t="s">
        <v>430</v>
      </c>
      <c r="I2" s="763" t="s">
        <v>1220</v>
      </c>
      <c r="J2" s="763" t="s">
        <v>1918</v>
      </c>
      <c r="K2" s="763" t="s">
        <v>140</v>
      </c>
    </row>
    <row r="3" spans="1:11" x14ac:dyDescent="0.2">
      <c r="A3" s="2269" t="s">
        <v>1698</v>
      </c>
      <c r="B3" s="2270"/>
      <c r="C3" s="2270"/>
      <c r="D3" s="2270"/>
      <c r="E3" s="2271"/>
      <c r="F3" s="764"/>
      <c r="G3" s="765"/>
      <c r="H3" s="765"/>
      <c r="I3" s="765"/>
      <c r="J3" s="766"/>
      <c r="K3" s="766"/>
    </row>
    <row r="4" spans="1:11" x14ac:dyDescent="0.2">
      <c r="A4" s="2272" t="s">
        <v>387</v>
      </c>
      <c r="B4" s="2273"/>
      <c r="C4" s="2273"/>
      <c r="D4" s="2273"/>
      <c r="E4" s="2219"/>
      <c r="F4" s="767"/>
      <c r="G4" s="768"/>
      <c r="H4" s="769"/>
      <c r="I4" s="768"/>
      <c r="J4" s="770"/>
      <c r="K4" s="770"/>
    </row>
    <row r="5" spans="1:11" x14ac:dyDescent="0.2">
      <c r="A5" s="2250" t="s">
        <v>1129</v>
      </c>
      <c r="B5" s="2251"/>
      <c r="C5" s="2251"/>
      <c r="D5" s="2251"/>
      <c r="E5" s="2252"/>
      <c r="F5" s="771" t="s">
        <v>903</v>
      </c>
      <c r="G5" s="772"/>
      <c r="H5" s="765">
        <v>29111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361362</v>
      </c>
      <c r="K8" s="770"/>
    </row>
    <row r="9" spans="1:11" x14ac:dyDescent="0.2">
      <c r="A9" s="779" t="s">
        <v>140</v>
      </c>
      <c r="B9" s="780"/>
      <c r="C9" s="780"/>
      <c r="D9" s="780"/>
      <c r="E9" s="781"/>
      <c r="F9" s="778" t="s">
        <v>908</v>
      </c>
      <c r="G9" s="783"/>
      <c r="H9" s="772"/>
      <c r="I9" s="772"/>
      <c r="J9" s="782"/>
      <c r="K9" s="766">
        <v>13370</v>
      </c>
    </row>
    <row r="10" spans="1:11" x14ac:dyDescent="0.2">
      <c r="A10" s="2250" t="s">
        <v>1919</v>
      </c>
      <c r="B10" s="2251"/>
      <c r="C10" s="2251"/>
      <c r="D10" s="2251"/>
      <c r="E10" s="2253"/>
      <c r="F10" s="784" t="s">
        <v>917</v>
      </c>
      <c r="G10" s="783"/>
      <c r="H10" s="785"/>
      <c r="I10" s="765"/>
      <c r="J10" s="766"/>
      <c r="K10" s="766"/>
    </row>
    <row r="11" spans="1:11" x14ac:dyDescent="0.2">
      <c r="A11" s="2250" t="s">
        <v>162</v>
      </c>
      <c r="B11" s="2251"/>
      <c r="C11" s="2251"/>
      <c r="D11" s="2251"/>
      <c r="E11" s="2252"/>
      <c r="F11" s="771" t="s">
        <v>907</v>
      </c>
      <c r="G11" s="772"/>
      <c r="H11" s="765"/>
      <c r="I11" s="765"/>
      <c r="J11" s="766"/>
      <c r="K11" s="774"/>
    </row>
    <row r="12" spans="1:11" ht="13.5" thickBot="1" x14ac:dyDescent="0.25">
      <c r="A12" s="2277" t="s">
        <v>961</v>
      </c>
      <c r="B12" s="2278"/>
      <c r="C12" s="2278"/>
      <c r="D12" s="2278"/>
      <c r="E12" s="2279"/>
      <c r="F12" s="1778"/>
      <c r="G12" s="1779">
        <f>SUM(G5:G11)</f>
        <v>0</v>
      </c>
      <c r="H12" s="1779">
        <f>SUM(H5:H11)</f>
        <v>29111</v>
      </c>
      <c r="I12" s="1779">
        <f>SUM(I5:I11)</f>
        <v>0</v>
      </c>
      <c r="J12" s="1779">
        <f>SUM(J5:J11)</f>
        <v>361362</v>
      </c>
      <c r="K12" s="1779">
        <f>SUM(K5:K11)</f>
        <v>13370</v>
      </c>
    </row>
    <row r="13" spans="1:11" ht="13.5" thickTop="1" x14ac:dyDescent="0.2">
      <c r="A13" s="2274" t="s">
        <v>388</v>
      </c>
      <c r="B13" s="2275"/>
      <c r="C13" s="2275"/>
      <c r="D13" s="2275"/>
      <c r="E13" s="2276"/>
      <c r="F13" s="786"/>
      <c r="G13" s="787"/>
      <c r="H13" s="788"/>
      <c r="I13" s="789"/>
      <c r="J13" s="789"/>
      <c r="K13" s="789"/>
    </row>
    <row r="14" spans="1:11" x14ac:dyDescent="0.2">
      <c r="A14" s="2257" t="s">
        <v>476</v>
      </c>
      <c r="B14" s="2257"/>
      <c r="C14" s="2257"/>
      <c r="D14" s="2257"/>
      <c r="E14" s="2258"/>
      <c r="F14" s="790" t="s">
        <v>909</v>
      </c>
      <c r="G14" s="783"/>
      <c r="H14" s="765">
        <v>29111</v>
      </c>
      <c r="I14" s="772"/>
      <c r="J14" s="774"/>
      <c r="K14" s="766">
        <v>13370</v>
      </c>
    </row>
    <row r="15" spans="1:11" x14ac:dyDescent="0.2">
      <c r="A15" s="2251" t="s">
        <v>4</v>
      </c>
      <c r="B15" s="2251"/>
      <c r="C15" s="2251"/>
      <c r="D15" s="2251"/>
      <c r="E15" s="2252"/>
      <c r="F15" s="790" t="s">
        <v>910</v>
      </c>
      <c r="G15" s="772"/>
      <c r="H15" s="765"/>
      <c r="I15" s="765"/>
      <c r="J15" s="766">
        <v>143518</v>
      </c>
      <c r="K15" s="766"/>
    </row>
    <row r="16" spans="1:11" x14ac:dyDescent="0.2">
      <c r="A16" s="2251" t="s">
        <v>316</v>
      </c>
      <c r="B16" s="2251"/>
      <c r="C16" s="2251"/>
      <c r="D16" s="2251"/>
      <c r="E16" s="2252"/>
      <c r="F16" s="790" t="s">
        <v>980</v>
      </c>
      <c r="G16" s="773"/>
      <c r="H16" s="768"/>
      <c r="I16" s="768"/>
      <c r="J16" s="770"/>
      <c r="K16" s="770"/>
    </row>
    <row r="17" spans="1:11" x14ac:dyDescent="0.2">
      <c r="A17" s="2282" t="s">
        <v>992</v>
      </c>
      <c r="B17" s="2282"/>
      <c r="C17" s="2282"/>
      <c r="D17" s="2282"/>
      <c r="E17" s="2283"/>
      <c r="F17" s="791"/>
      <c r="G17" s="792"/>
      <c r="H17" s="793"/>
      <c r="I17" s="793"/>
      <c r="J17" s="794"/>
      <c r="K17" s="795"/>
    </row>
    <row r="18" spans="1:11" x14ac:dyDescent="0.2">
      <c r="A18" s="2261" t="s">
        <v>386</v>
      </c>
      <c r="B18" s="2262"/>
      <c r="C18" s="2262"/>
      <c r="D18" s="2262"/>
      <c r="E18" s="2263"/>
      <c r="F18" s="790" t="s">
        <v>989</v>
      </c>
      <c r="G18" s="783"/>
      <c r="H18" s="783"/>
      <c r="I18" s="783"/>
      <c r="J18" s="766"/>
      <c r="K18" s="796"/>
    </row>
    <row r="19" spans="1:11" ht="21.75" customHeight="1" x14ac:dyDescent="0.2">
      <c r="A19" s="2259" t="s">
        <v>1915</v>
      </c>
      <c r="B19" s="2259"/>
      <c r="C19" s="2259"/>
      <c r="D19" s="2259"/>
      <c r="E19" s="2260"/>
      <c r="F19" s="790" t="s">
        <v>990</v>
      </c>
      <c r="G19" s="783"/>
      <c r="H19" s="783"/>
      <c r="I19" s="783"/>
      <c r="J19" s="766"/>
      <c r="K19" s="796"/>
    </row>
    <row r="20" spans="1:11" x14ac:dyDescent="0.2">
      <c r="A20" s="2261" t="s">
        <v>1920</v>
      </c>
      <c r="B20" s="2262"/>
      <c r="C20" s="2262"/>
      <c r="D20" s="2262"/>
      <c r="E20" s="2263"/>
      <c r="F20" s="790" t="s">
        <v>991</v>
      </c>
      <c r="G20" s="783"/>
      <c r="H20" s="783"/>
      <c r="I20" s="783"/>
      <c r="J20" s="766"/>
      <c r="K20" s="796"/>
    </row>
    <row r="21" spans="1:11" ht="13.5" thickBot="1" x14ac:dyDescent="0.25">
      <c r="A21" s="2280" t="s">
        <v>659</v>
      </c>
      <c r="B21" s="2280"/>
      <c r="C21" s="2280"/>
      <c r="D21" s="2280"/>
      <c r="E21" s="2280"/>
      <c r="F21" s="1780"/>
      <c r="G21" s="793"/>
      <c r="H21" s="797"/>
      <c r="I21" s="797"/>
      <c r="J21" s="1781">
        <f>SUM(J18:J20)</f>
        <v>0</v>
      </c>
      <c r="K21" s="794"/>
    </row>
    <row r="22" spans="1:11" ht="13.5" thickTop="1" x14ac:dyDescent="0.2">
      <c r="A22" s="2251" t="s">
        <v>1921</v>
      </c>
      <c r="B22" s="2251"/>
      <c r="C22" s="2251"/>
      <c r="D22" s="2251"/>
      <c r="E22" s="2252"/>
      <c r="F22" s="790" t="s">
        <v>917</v>
      </c>
      <c r="G22" s="783"/>
      <c r="H22" s="765"/>
      <c r="I22" s="765"/>
      <c r="J22" s="798"/>
      <c r="K22" s="766"/>
    </row>
    <row r="23" spans="1:11" ht="13.5" thickBot="1" x14ac:dyDescent="0.25">
      <c r="A23" s="2281" t="s">
        <v>962</v>
      </c>
      <c r="B23" s="2280"/>
      <c r="C23" s="2280"/>
      <c r="D23" s="2280"/>
      <c r="E23" s="2280"/>
      <c r="F23" s="1782"/>
      <c r="G23" s="1779">
        <f>SUM(G14:G16,G21,G22)</f>
        <v>0</v>
      </c>
      <c r="H23" s="1779">
        <f>SUM(H14:H16,H21,H22)</f>
        <v>29111</v>
      </c>
      <c r="I23" s="1779">
        <f>SUM(I14:I16,I21,I22)</f>
        <v>0</v>
      </c>
      <c r="J23" s="1779">
        <f>SUM(J14:J16,J21,J22)</f>
        <v>143518</v>
      </c>
      <c r="K23" s="1779">
        <f>SUM(K14:K16,K21,K22)</f>
        <v>13370</v>
      </c>
    </row>
    <row r="24" spans="1:11" ht="14.25" thickTop="1" thickBot="1" x14ac:dyDescent="0.25">
      <c r="A24" s="2281" t="s">
        <v>2025</v>
      </c>
      <c r="B24" s="2280"/>
      <c r="C24" s="2280"/>
      <c r="D24" s="2280"/>
      <c r="E24" s="2280"/>
      <c r="F24" s="1783"/>
      <c r="G24" s="1784">
        <f>SUM(G3,G12)-G23</f>
        <v>0</v>
      </c>
      <c r="H24" s="1784">
        <f>SUM(H3,H12)-H23</f>
        <v>0</v>
      </c>
      <c r="I24" s="1784">
        <f>SUM(I3,I12)-I23</f>
        <v>0</v>
      </c>
      <c r="J24" s="1784">
        <f>SUM(J3,J12)-J23</f>
        <v>217844</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217844</v>
      </c>
      <c r="K26" s="1779">
        <f>K24-K25</f>
        <v>0</v>
      </c>
    </row>
    <row r="27" spans="1:11" ht="5.25" customHeight="1" thickTop="1" x14ac:dyDescent="0.2">
      <c r="I27" s="202"/>
      <c r="J27" s="202"/>
    </row>
    <row r="28" spans="1:11" ht="29.25" customHeight="1" x14ac:dyDescent="0.2">
      <c r="A28" s="1904" t="s">
        <v>2035</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t="s">
        <v>2081</v>
      </c>
      <c r="E30" s="809" t="s">
        <v>792</v>
      </c>
      <c r="F30" s="202"/>
      <c r="G30" s="806"/>
    </row>
    <row r="31" spans="1:11" x14ac:dyDescent="0.2">
      <c r="A31" s="810"/>
      <c r="D31" s="237"/>
      <c r="E31" s="811" t="s">
        <v>793</v>
      </c>
      <c r="F31" s="812" t="s">
        <v>560</v>
      </c>
      <c r="G31" s="765"/>
      <c r="H31" s="2254"/>
      <c r="I31" s="2255"/>
      <c r="J31" s="2255"/>
      <c r="K31" s="2255"/>
    </row>
    <row r="32" spans="1:11" x14ac:dyDescent="0.2">
      <c r="A32" s="810"/>
      <c r="B32" s="237"/>
      <c r="C32" s="237"/>
      <c r="D32" s="237"/>
      <c r="E32" s="806"/>
      <c r="F32" s="812" t="s">
        <v>561</v>
      </c>
      <c r="G32" s="765"/>
      <c r="H32" s="2256"/>
      <c r="I32" s="2255"/>
      <c r="J32" s="2255"/>
      <c r="K32" s="2255"/>
    </row>
    <row r="33" spans="1:11" ht="1.5" customHeight="1" x14ac:dyDescent="0.2">
      <c r="A33" s="813" t="s">
        <v>1231</v>
      </c>
      <c r="B33" s="364"/>
      <c r="C33" s="364"/>
      <c r="D33" s="364"/>
      <c r="E33" s="364"/>
      <c r="F33" s="364"/>
      <c r="G33" s="814"/>
      <c r="H33" s="2256"/>
      <c r="I33" s="2255"/>
      <c r="J33" s="2255"/>
      <c r="K33" s="2255"/>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51" t="s">
        <v>562</v>
      </c>
      <c r="B41" s="2264"/>
      <c r="C41" s="2264"/>
      <c r="D41" s="2264"/>
      <c r="E41" s="2264"/>
      <c r="F41" s="226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1916</v>
      </c>
      <c r="B46" s="408" t="s">
        <v>1774</v>
      </c>
    </row>
    <row r="47" spans="1:11" s="824" customFormat="1" ht="12.75" customHeight="1" x14ac:dyDescent="0.2">
      <c r="A47" s="822"/>
      <c r="B47" s="823" t="s">
        <v>1775</v>
      </c>
      <c r="E47" s="823"/>
      <c r="K47" s="825"/>
    </row>
    <row r="48" spans="1:11" ht="12.75" customHeight="1" x14ac:dyDescent="0.2">
      <c r="A48" s="1553"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O14" sqref="O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6" t="s">
        <v>2034</v>
      </c>
      <c r="B1" s="2287"/>
      <c r="C1" s="2288"/>
      <c r="D1" s="827"/>
      <c r="E1" s="828"/>
      <c r="F1" s="828"/>
      <c r="G1" s="829"/>
      <c r="H1" s="830"/>
      <c r="I1" s="831"/>
      <c r="J1" s="2284"/>
      <c r="K1" s="2285"/>
      <c r="L1" s="2285"/>
    </row>
    <row r="2" spans="1:14" ht="69.75" customHeight="1" x14ac:dyDescent="0.2">
      <c r="A2" s="832" t="s">
        <v>1777</v>
      </c>
      <c r="B2" s="833" t="s">
        <v>396</v>
      </c>
      <c r="C2" s="834" t="s">
        <v>2029</v>
      </c>
      <c r="D2" s="834" t="s">
        <v>2026</v>
      </c>
      <c r="E2" s="834" t="s">
        <v>2027</v>
      </c>
      <c r="F2" s="834" t="s">
        <v>2028</v>
      </c>
      <c r="G2" s="834" t="s">
        <v>626</v>
      </c>
      <c r="H2" s="834" t="s">
        <v>2030</v>
      </c>
      <c r="I2" s="834" t="s">
        <v>2031</v>
      </c>
      <c r="J2" s="834" t="s">
        <v>2046</v>
      </c>
      <c r="K2" s="834" t="s">
        <v>2032</v>
      </c>
      <c r="L2" s="834" t="s">
        <v>2033</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625797</v>
      </c>
      <c r="D5" s="842"/>
      <c r="E5" s="842"/>
      <c r="F5" s="1781">
        <f>(C5+D5)-E5</f>
        <v>625797</v>
      </c>
      <c r="G5" s="838"/>
      <c r="H5" s="843"/>
      <c r="I5" s="843"/>
      <c r="J5" s="843"/>
      <c r="K5" s="794"/>
      <c r="L5" s="1790">
        <f>F5-K5</f>
        <v>625797</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23640654</v>
      </c>
      <c r="D8" s="845">
        <v>165443</v>
      </c>
      <c r="E8" s="845"/>
      <c r="F8" s="1781">
        <f>(C8+D8)-E8</f>
        <v>23806097</v>
      </c>
      <c r="G8" s="844">
        <v>50</v>
      </c>
      <c r="H8" s="766">
        <v>8093244</v>
      </c>
      <c r="I8" s="766">
        <v>443055</v>
      </c>
      <c r="J8" s="766"/>
      <c r="K8" s="1790">
        <f>(H8+I8)-J8</f>
        <v>8536299</v>
      </c>
      <c r="L8" s="1790">
        <f>F8-K8</f>
        <v>15269798</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934787</v>
      </c>
      <c r="D10" s="847"/>
      <c r="E10" s="847"/>
      <c r="F10" s="1785">
        <f>(C10+D10)-E10</f>
        <v>934787</v>
      </c>
      <c r="G10" s="844">
        <v>20</v>
      </c>
      <c r="H10" s="848">
        <v>739714</v>
      </c>
      <c r="I10" s="848">
        <v>34984</v>
      </c>
      <c r="J10" s="848"/>
      <c r="K10" s="1790">
        <f>(H10+I10)-J10</f>
        <v>774698</v>
      </c>
      <c r="L10" s="1790">
        <f>F10-K10</f>
        <v>160089</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1595377</v>
      </c>
      <c r="D12" s="845">
        <v>85090</v>
      </c>
      <c r="E12" s="845">
        <v>151515</v>
      </c>
      <c r="F12" s="1781">
        <f>(C12+D12)-E12</f>
        <v>1528952</v>
      </c>
      <c r="G12" s="844">
        <v>10</v>
      </c>
      <c r="H12" s="766">
        <v>1135306</v>
      </c>
      <c r="I12" s="766">
        <v>148755</v>
      </c>
      <c r="J12" s="766">
        <v>151515</v>
      </c>
      <c r="K12" s="1790">
        <f>(H12+I12)-J12</f>
        <v>1132546</v>
      </c>
      <c r="L12" s="1790">
        <f>F12-K12</f>
        <v>396406</v>
      </c>
    </row>
    <row r="13" spans="1:14" ht="14.25" thickTop="1" thickBot="1" x14ac:dyDescent="0.25">
      <c r="A13" s="849" t="s">
        <v>1184</v>
      </c>
      <c r="B13" s="841">
        <v>252</v>
      </c>
      <c r="C13" s="845"/>
      <c r="D13" s="845"/>
      <c r="E13" s="845"/>
      <c r="F13" s="1781">
        <f>(C13+D13)-E13</f>
        <v>0</v>
      </c>
      <c r="G13" s="844">
        <v>5</v>
      </c>
      <c r="H13" s="766"/>
      <c r="I13" s="766"/>
      <c r="J13" s="766"/>
      <c r="K13" s="1790">
        <f>(H13+I13)-J13</f>
        <v>0</v>
      </c>
      <c r="L13" s="1790">
        <f>F13-K13</f>
        <v>0</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v>15515</v>
      </c>
      <c r="D15" s="845"/>
      <c r="E15" s="845"/>
      <c r="F15" s="1781">
        <f>(C15+D15)-E15</f>
        <v>15515</v>
      </c>
      <c r="G15" s="850" t="s">
        <v>917</v>
      </c>
      <c r="H15" s="782"/>
      <c r="I15" s="782"/>
      <c r="J15" s="782"/>
      <c r="K15" s="782"/>
      <c r="L15" s="1790">
        <f>F15-K15</f>
        <v>15515</v>
      </c>
    </row>
    <row r="16" spans="1:14" ht="15" customHeight="1" thickTop="1" thickBot="1" x14ac:dyDescent="0.25">
      <c r="A16" s="1786" t="s">
        <v>664</v>
      </c>
      <c r="B16" s="1787">
        <v>200</v>
      </c>
      <c r="C16" s="1781">
        <f>SUM(C3,C5:C6,C8:C10,C12:C15)</f>
        <v>26812130</v>
      </c>
      <c r="D16" s="1781">
        <f>SUM(D3,D5:D6,D8:D10,D12:D15)</f>
        <v>250533</v>
      </c>
      <c r="E16" s="1781">
        <f>SUM(E3,E5:E6,E8:E10,E12:E15)</f>
        <v>151515</v>
      </c>
      <c r="F16" s="1781">
        <f>SUM(F3,F5:F6,F8:F10,F12:F15)</f>
        <v>26911148</v>
      </c>
      <c r="G16" s="844"/>
      <c r="H16" s="1781">
        <f>SUM(H3,H6,H8:H10,H12:H14,)</f>
        <v>9968264</v>
      </c>
      <c r="I16" s="1781">
        <f>SUM(I3,I6,I8:I10,I12:I14,)</f>
        <v>626794</v>
      </c>
      <c r="J16" s="1781">
        <f>SUM(J3,J6,J8:J10,J12:J14,)</f>
        <v>151515</v>
      </c>
      <c r="K16" s="1781">
        <f>(H16+I16)-J16</f>
        <v>10443543</v>
      </c>
      <c r="L16" s="1781">
        <f>F16-K16</f>
        <v>16467605</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626794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4" activePane="bottomLeft" state="frozen"/>
      <selection activeCell="A47" sqref="A47"/>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2" t="s">
        <v>1699</v>
      </c>
      <c r="B1" s="2293"/>
      <c r="C1" s="2293"/>
      <c r="D1" s="2293"/>
      <c r="E1" s="2293"/>
      <c r="F1" s="2294"/>
      <c r="G1" s="856"/>
    </row>
    <row r="2" spans="1:7" ht="15" customHeight="1" thickBot="1" x14ac:dyDescent="0.25">
      <c r="A2" s="2295" t="s">
        <v>498</v>
      </c>
      <c r="B2" s="2296"/>
      <c r="C2" s="2296"/>
      <c r="D2" s="2296"/>
      <c r="E2" s="2296"/>
      <c r="F2" s="229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8"/>
      <c r="B5" s="2299"/>
      <c r="C5" s="2299"/>
      <c r="D5" s="2299"/>
      <c r="E5" s="2299"/>
      <c r="F5" s="2299"/>
    </row>
    <row r="6" spans="1:7" ht="13.5" customHeight="1" thickBot="1" x14ac:dyDescent="0.25">
      <c r="A6" s="2289" t="s">
        <v>1166</v>
      </c>
      <c r="B6" s="2290"/>
      <c r="C6" s="2290"/>
      <c r="D6" s="2290"/>
      <c r="E6" s="2290"/>
      <c r="F6" s="2291"/>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9226617</v>
      </c>
      <c r="G8" s="866"/>
    </row>
    <row r="9" spans="1:7" x14ac:dyDescent="0.2">
      <c r="A9" s="870" t="s">
        <v>480</v>
      </c>
      <c r="B9" s="871" t="s">
        <v>1988</v>
      </c>
      <c r="C9" s="872"/>
      <c r="D9" s="870" t="s">
        <v>522</v>
      </c>
      <c r="E9" s="869"/>
      <c r="F9" s="1934">
        <f>'Expenditures 15-22'!K151</f>
        <v>1155844</v>
      </c>
      <c r="G9" s="873"/>
    </row>
    <row r="10" spans="1:7" x14ac:dyDescent="0.2">
      <c r="A10" s="870" t="s">
        <v>520</v>
      </c>
      <c r="B10" s="871" t="s">
        <v>1989</v>
      </c>
      <c r="C10" s="872"/>
      <c r="D10" s="870" t="s">
        <v>522</v>
      </c>
      <c r="E10" s="869"/>
      <c r="F10" s="1934">
        <f>'Expenditures 15-22'!K174</f>
        <v>549825</v>
      </c>
      <c r="G10" s="873"/>
    </row>
    <row r="11" spans="1:7" x14ac:dyDescent="0.2">
      <c r="A11" s="870" t="s">
        <v>481</v>
      </c>
      <c r="B11" s="871" t="s">
        <v>1990</v>
      </c>
      <c r="C11" s="872"/>
      <c r="D11" s="870" t="s">
        <v>522</v>
      </c>
      <c r="E11" s="869"/>
      <c r="F11" s="1934">
        <f>'Expenditures 15-22'!K210</f>
        <v>331016</v>
      </c>
      <c r="G11" s="873"/>
    </row>
    <row r="12" spans="1:7" x14ac:dyDescent="0.2">
      <c r="A12" s="870" t="s">
        <v>482</v>
      </c>
      <c r="B12" s="871" t="s">
        <v>1991</v>
      </c>
      <c r="C12" s="872"/>
      <c r="D12" s="870" t="s">
        <v>522</v>
      </c>
      <c r="E12" s="869"/>
      <c r="F12" s="1934">
        <f>'Expenditures 15-22'!K295</f>
        <v>352357</v>
      </c>
      <c r="G12" s="873"/>
    </row>
    <row r="13" spans="1:7" x14ac:dyDescent="0.2">
      <c r="A13" s="870" t="s">
        <v>108</v>
      </c>
      <c r="B13" s="871" t="s">
        <v>1992</v>
      </c>
      <c r="C13" s="872"/>
      <c r="D13" s="870" t="s">
        <v>522</v>
      </c>
      <c r="E13" s="869"/>
      <c r="F13" s="1934">
        <f>'Expenditures 15-22'!K342</f>
        <v>286654</v>
      </c>
      <c r="G13" s="874"/>
    </row>
    <row r="14" spans="1:7" ht="12" customHeight="1" thickBot="1" x14ac:dyDescent="0.25">
      <c r="A14" s="1791"/>
      <c r="B14" s="1792"/>
      <c r="C14" s="1793"/>
      <c r="D14" s="1794" t="s">
        <v>522</v>
      </c>
      <c r="E14" s="1795" t="s">
        <v>1015</v>
      </c>
      <c r="F14" s="1796">
        <f>SUM(F8:F13)</f>
        <v>11902313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39033</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45440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108787</v>
      </c>
      <c r="G52" s="866"/>
    </row>
    <row r="53" spans="1:7" x14ac:dyDescent="0.2">
      <c r="A53" s="870" t="s">
        <v>479</v>
      </c>
      <c r="B53" s="870" t="s">
        <v>1551</v>
      </c>
      <c r="C53" s="890">
        <f>'Expenditures 15-22'!B102</f>
        <v>4000</v>
      </c>
      <c r="D53" s="889" t="str">
        <f>'Expenditures 15-22'!A102</f>
        <v>Total Payments to Other Govt Units</v>
      </c>
      <c r="E53" s="869"/>
      <c r="F53" s="1938">
        <f>'Expenditures 15-22'!K102</f>
        <v>2230444</v>
      </c>
      <c r="G53" s="866"/>
    </row>
    <row r="54" spans="1:7" x14ac:dyDescent="0.2">
      <c r="A54" s="870" t="s">
        <v>479</v>
      </c>
      <c r="B54" s="870" t="s">
        <v>1552</v>
      </c>
      <c r="C54" s="890" t="s">
        <v>1039</v>
      </c>
      <c r="D54" s="886" t="s">
        <v>1157</v>
      </c>
      <c r="E54" s="869"/>
      <c r="F54" s="1938">
        <f>'Expenditures 15-22'!G114</f>
        <v>32141</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195000</v>
      </c>
      <c r="G57" s="866"/>
    </row>
    <row r="58" spans="1:7" x14ac:dyDescent="0.2">
      <c r="A58" s="870" t="s">
        <v>480</v>
      </c>
      <c r="B58" s="870" t="s">
        <v>1994</v>
      </c>
      <c r="C58" s="887" t="s">
        <v>1039</v>
      </c>
      <c r="D58" s="886" t="s">
        <v>1157</v>
      </c>
      <c r="E58" s="869"/>
      <c r="F58" s="1940">
        <f>'Expenditures 15-22'!G151</f>
        <v>87809</v>
      </c>
      <c r="G58" s="866"/>
    </row>
    <row r="59" spans="1:7" x14ac:dyDescent="0.2">
      <c r="A59" s="894" t="s">
        <v>480</v>
      </c>
      <c r="B59" s="857" t="s">
        <v>1995</v>
      </c>
      <c r="C59" s="895" t="s">
        <v>1039</v>
      </c>
      <c r="D59" s="857" t="s">
        <v>309</v>
      </c>
      <c r="F59" s="1941">
        <f>'Expenditures 15-22'!I151</f>
        <v>0</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300000</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36389</v>
      </c>
      <c r="G63" s="866"/>
    </row>
    <row r="64" spans="1:7" x14ac:dyDescent="0.2">
      <c r="A64" s="896" t="s">
        <v>481</v>
      </c>
      <c r="B64" s="896" t="s">
        <v>2000</v>
      </c>
      <c r="C64" s="897" t="str">
        <f>'Expenditures 15-22'!B206</f>
        <v>5300</v>
      </c>
      <c r="D64" s="893" t="s">
        <v>329</v>
      </c>
      <c r="E64" s="869"/>
      <c r="F64" s="1938">
        <f>'Expenditures 15-22'!K206</f>
        <v>1169</v>
      </c>
      <c r="G64" s="866"/>
    </row>
    <row r="65" spans="1:8" x14ac:dyDescent="0.2">
      <c r="A65" s="870" t="s">
        <v>481</v>
      </c>
      <c r="B65" s="870" t="s">
        <v>2001</v>
      </c>
      <c r="C65" s="887" t="s">
        <v>1039</v>
      </c>
      <c r="D65" s="886" t="s">
        <v>1157</v>
      </c>
      <c r="E65" s="869"/>
      <c r="F65" s="1938">
        <f>'Expenditures 15-22'!G210</f>
        <v>0</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373</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0</v>
      </c>
      <c r="G71" s="866"/>
    </row>
    <row r="72" spans="1:8" x14ac:dyDescent="0.2">
      <c r="A72" s="870" t="s">
        <v>482</v>
      </c>
      <c r="B72" s="870" t="s">
        <v>2007</v>
      </c>
      <c r="C72" s="887">
        <f>'Expenditures 15-22'!B280</f>
        <v>3000</v>
      </c>
      <c r="D72" s="877" t="s">
        <v>469</v>
      </c>
      <c r="E72" s="869"/>
      <c r="F72" s="1938">
        <f>'Expenditures 15-22'!K280</f>
        <v>8439</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56152</v>
      </c>
      <c r="G73" s="866"/>
    </row>
    <row r="74" spans="1:8" x14ac:dyDescent="0.2">
      <c r="A74" s="870" t="s">
        <v>456</v>
      </c>
      <c r="B74" s="870" t="s">
        <v>2009</v>
      </c>
      <c r="C74" s="887" t="s">
        <v>915</v>
      </c>
      <c r="D74" s="888" t="s">
        <v>1567</v>
      </c>
      <c r="E74" s="869"/>
      <c r="F74" s="1942">
        <f>'Expenditures 15-22'!K334</f>
        <v>61647</v>
      </c>
      <c r="G74" s="866"/>
    </row>
    <row r="75" spans="1:8" ht="5.25" customHeight="1" x14ac:dyDescent="0.2">
      <c r="A75" s="866"/>
      <c r="B75" s="876"/>
      <c r="C75" s="876"/>
      <c r="D75" s="866"/>
      <c r="E75" s="869"/>
      <c r="F75" s="883"/>
      <c r="G75" s="868"/>
    </row>
    <row r="76" spans="1:8" ht="12" thickBot="1" x14ac:dyDescent="0.25">
      <c r="A76" s="1791"/>
      <c r="B76" s="1797"/>
      <c r="C76" s="1793"/>
      <c r="D76" s="1798" t="s">
        <v>2010</v>
      </c>
      <c r="E76" s="1795" t="s">
        <v>1015</v>
      </c>
      <c r="F76" s="1799">
        <f>SUM(F18:F74)</f>
        <v>3202823</v>
      </c>
      <c r="G76" s="866"/>
    </row>
    <row r="77" spans="1:8" s="894" customFormat="1" ht="12" customHeight="1" thickTop="1" thickBot="1" x14ac:dyDescent="0.25">
      <c r="A77" s="1800"/>
      <c r="B77" s="1797"/>
      <c r="C77" s="1793"/>
      <c r="D77" s="1798" t="s">
        <v>2011</v>
      </c>
      <c r="E77" s="1795"/>
      <c r="F77" s="1801">
        <f>(F14-F76)</f>
        <v>8699490</v>
      </c>
      <c r="G77" s="870"/>
    </row>
    <row r="78" spans="1:8" s="894" customFormat="1" ht="12" customHeight="1" thickTop="1" x14ac:dyDescent="0.2">
      <c r="A78" s="1802"/>
      <c r="B78" s="1797"/>
      <c r="C78" s="1793"/>
      <c r="D78" s="1798" t="s">
        <v>2058</v>
      </c>
      <c r="E78" s="1795"/>
      <c r="F78" s="899">
        <v>818.53</v>
      </c>
      <c r="G78" s="900"/>
      <c r="H78" s="870"/>
    </row>
    <row r="79" spans="1:8" s="894" customFormat="1" ht="12" customHeight="1" thickBot="1" x14ac:dyDescent="0.25">
      <c r="A79" s="1803"/>
      <c r="B79" s="1797"/>
      <c r="C79" s="1793"/>
      <c r="D79" s="1798" t="s">
        <v>2012</v>
      </c>
      <c r="E79" s="1795" t="s">
        <v>1015</v>
      </c>
      <c r="F79" s="1804">
        <f>IF(F78&gt;0,F77/F78," Complete Line 78")</f>
        <v>10628.187115927334</v>
      </c>
      <c r="G79" s="870"/>
    </row>
    <row r="80" spans="1:8" s="894" customFormat="1" ht="8.25" customHeight="1" thickTop="1" x14ac:dyDescent="0.2">
      <c r="A80" s="901"/>
      <c r="B80" s="870"/>
      <c r="C80" s="872"/>
      <c r="D80" s="902"/>
      <c r="E80" s="869"/>
      <c r="F80" s="903"/>
      <c r="G80" s="870"/>
    </row>
    <row r="81" spans="1:7" s="894" customFormat="1" ht="12" thickBot="1" x14ac:dyDescent="0.25">
      <c r="A81" s="2289" t="s">
        <v>1167</v>
      </c>
      <c r="B81" s="2290"/>
      <c r="C81" s="2290"/>
      <c r="D81" s="2290"/>
      <c r="E81" s="2290"/>
      <c r="F81" s="229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87678</v>
      </c>
      <c r="G94" s="913"/>
    </row>
    <row r="95" spans="1:7" x14ac:dyDescent="0.2">
      <c r="A95" s="909" t="s">
        <v>142</v>
      </c>
      <c r="B95" s="909" t="s">
        <v>177</v>
      </c>
      <c r="C95" s="911">
        <v>1700</v>
      </c>
      <c r="D95" s="919" t="str">
        <f>'Revenues 9-14'!A82</f>
        <v>Total District/School Activity Income</v>
      </c>
      <c r="E95" s="907"/>
      <c r="F95" s="1810">
        <f>SUM('Revenues 9-14'!C82,'Revenues 9-14'!D82)</f>
        <v>36522</v>
      </c>
      <c r="G95" s="913"/>
    </row>
    <row r="96" spans="1:7" x14ac:dyDescent="0.2">
      <c r="A96" s="909" t="s">
        <v>479</v>
      </c>
      <c r="B96" s="909" t="s">
        <v>178</v>
      </c>
      <c r="C96" s="911">
        <f>'Revenues 9-14'!B84</f>
        <v>1811</v>
      </c>
      <c r="D96" s="912" t="str">
        <f>'Revenues 9-14'!A84</f>
        <v>Rentals - Regular Textbooks</v>
      </c>
      <c r="E96" s="907"/>
      <c r="F96" s="1810">
        <f>'Revenues 9-14'!C84</f>
        <v>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21600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121492</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240357</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2115</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3998</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13370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126873</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1500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69283</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258863</v>
      </c>
      <c r="G129" s="931"/>
    </row>
    <row r="130" spans="1:7" x14ac:dyDescent="0.2">
      <c r="A130" s="928" t="s">
        <v>689</v>
      </c>
      <c r="B130" s="928" t="s">
        <v>804</v>
      </c>
      <c r="C130" s="933">
        <v>4300</v>
      </c>
      <c r="D130" s="934" t="str">
        <f>'Revenues 9-14'!A211</f>
        <v>Total Title I</v>
      </c>
      <c r="E130" s="907"/>
      <c r="F130" s="1810">
        <f>SUM('Revenues 9-14'!C211,'Revenues 9-14'!D211,'Revenues 9-14'!F211,'Revenues 9-14'!G211)</f>
        <v>387458</v>
      </c>
      <c r="G130" s="931"/>
    </row>
    <row r="131" spans="1:7" x14ac:dyDescent="0.2">
      <c r="A131" s="928" t="s">
        <v>689</v>
      </c>
      <c r="B131" s="928" t="s">
        <v>805</v>
      </c>
      <c r="C131" s="933">
        <v>4400</v>
      </c>
      <c r="D131" s="934" t="str">
        <f>'Revenues 9-14'!A216</f>
        <v>Total Title IV</v>
      </c>
      <c r="E131" s="907"/>
      <c r="F131" s="1810">
        <f>SUM('Revenues 9-14'!C216,'Revenues 9-14'!D216,'Revenues 9-14'!F216,'Revenues 9-14'!G216)</f>
        <v>16238</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123310</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4792</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71908</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43276</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32202</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13910</v>
      </c>
      <c r="G174" s="928"/>
    </row>
    <row r="175" spans="1:7" x14ac:dyDescent="0.2">
      <c r="A175" s="1943" t="s">
        <v>5</v>
      </c>
      <c r="B175" s="1944" t="s">
        <v>2057</v>
      </c>
      <c r="C175" s="1945">
        <v>3100</v>
      </c>
      <c r="D175" s="1946" t="s">
        <v>2060</v>
      </c>
      <c r="E175" s="907"/>
      <c r="F175" s="1930">
        <v>437472</v>
      </c>
      <c r="G175" s="928"/>
    </row>
    <row r="176" spans="1:7" x14ac:dyDescent="0.2">
      <c r="A176" s="1943" t="s">
        <v>685</v>
      </c>
      <c r="B176" s="1944" t="s">
        <v>2057</v>
      </c>
      <c r="C176" s="1945">
        <v>3300</v>
      </c>
      <c r="D176" s="1946" t="s">
        <v>2061</v>
      </c>
      <c r="E176" s="907"/>
      <c r="F176" s="1930">
        <v>0</v>
      </c>
      <c r="G176" s="928"/>
    </row>
    <row r="177" spans="1:7" ht="6" customHeight="1" x14ac:dyDescent="0.2">
      <c r="A177" s="928"/>
      <c r="B177" s="928"/>
      <c r="C177" s="950"/>
      <c r="D177" s="928"/>
      <c r="E177" s="907"/>
      <c r="F177" s="951"/>
      <c r="G177" s="948"/>
    </row>
    <row r="178" spans="1:7" x14ac:dyDescent="0.2">
      <c r="A178" s="1791"/>
      <c r="B178" s="1805"/>
      <c r="C178" s="1806"/>
      <c r="D178" s="1807" t="s">
        <v>2013</v>
      </c>
      <c r="E178" s="1808" t="s">
        <v>1015</v>
      </c>
      <c r="F178" s="1809">
        <f>SUM(F84:F136,F161:F176)</f>
        <v>2114217</v>
      </c>
    </row>
    <row r="179" spans="1:7" ht="12" customHeight="1" x14ac:dyDescent="0.2">
      <c r="A179" s="1791"/>
      <c r="B179" s="1805"/>
      <c r="C179" s="1806"/>
      <c r="D179" s="1807" t="s">
        <v>2014</v>
      </c>
      <c r="E179" s="1808"/>
      <c r="F179" s="1810">
        <f>'PCTC-OEPP 27-28'!F77-F178</f>
        <v>6585273</v>
      </c>
    </row>
    <row r="180" spans="1:7" ht="12" customHeight="1" x14ac:dyDescent="0.2">
      <c r="A180" s="1791"/>
      <c r="B180" s="1805"/>
      <c r="C180" s="1806"/>
      <c r="D180" s="1807" t="s">
        <v>1923</v>
      </c>
      <c r="E180" s="1808"/>
      <c r="F180" s="1810">
        <f>'Cap Outlay Deprec 26'!I18</f>
        <v>626794</v>
      </c>
    </row>
    <row r="181" spans="1:7" ht="12" customHeight="1" x14ac:dyDescent="0.2">
      <c r="A181" s="1791"/>
      <c r="B181" s="1805"/>
      <c r="C181" s="1806"/>
      <c r="D181" s="1807" t="s">
        <v>2015</v>
      </c>
      <c r="E181" s="1808"/>
      <c r="F181" s="1810">
        <f>F179+F180</f>
        <v>7212067</v>
      </c>
    </row>
    <row r="182" spans="1:7" ht="12" customHeight="1" x14ac:dyDescent="0.2">
      <c r="A182" s="1791"/>
      <c r="B182" s="1811"/>
      <c r="C182" s="1806"/>
      <c r="D182" s="1807" t="str">
        <f>D78</f>
        <v>9 Month ADA from District Average Daily Attendance/Prior General State Aid Inquiry 2017-2018</v>
      </c>
      <c r="E182" s="1808"/>
      <c r="F182" s="1812">
        <f>'PCTC-OEPP 27-28'!F78</f>
        <v>818.53</v>
      </c>
      <c r="G182" s="931"/>
    </row>
    <row r="183" spans="1:7" ht="12" customHeight="1" thickBot="1" x14ac:dyDescent="0.25">
      <c r="A183" s="1791"/>
      <c r="B183" s="1811"/>
      <c r="C183" s="1806"/>
      <c r="D183" s="1807" t="s">
        <v>2016</v>
      </c>
      <c r="E183" s="1808" t="s">
        <v>1626</v>
      </c>
      <c r="F183" s="1813">
        <f>F181/F182</f>
        <v>8810.9989859870748</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7" customFormat="1" ht="12.2" customHeight="1" x14ac:dyDescent="0.2">
      <c r="A186" s="1947" t="s">
        <v>2064</v>
      </c>
      <c r="B186" s="1948"/>
      <c r="C186" s="1949"/>
      <c r="D186" s="1948"/>
      <c r="E186" s="1949"/>
      <c r="F186" s="1948"/>
      <c r="G186" s="1948"/>
    </row>
    <row r="187" spans="1:7" s="1947" customFormat="1" ht="12.2" customHeight="1" x14ac:dyDescent="0.2">
      <c r="A187" s="1950" t="s">
        <v>2065</v>
      </c>
      <c r="C187" s="1949"/>
      <c r="D187" s="1948"/>
      <c r="E187" s="1949"/>
      <c r="F187" s="1948"/>
      <c r="G187" s="1948"/>
    </row>
    <row r="188" spans="1:7" ht="12" customHeight="1" x14ac:dyDescent="0.2">
      <c r="C188" s="950"/>
      <c r="D188" s="931"/>
      <c r="E188" s="950"/>
      <c r="F188" s="931"/>
      <c r="G188" s="931"/>
    </row>
    <row r="189" spans="1:7" x14ac:dyDescent="0.2">
      <c r="A189" s="1951" t="s">
        <v>2063</v>
      </c>
      <c r="B189" s="1952"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D19" sqref="D19"/>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1939</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303" t="s">
        <v>1924</v>
      </c>
      <c r="B4" s="2304"/>
      <c r="C4" s="2304"/>
      <c r="D4" s="2304"/>
      <c r="E4" s="2304"/>
      <c r="F4" s="2304"/>
      <c r="G4" s="2305"/>
    </row>
    <row r="5" spans="1:7" x14ac:dyDescent="0.25">
      <c r="A5" s="2306"/>
      <c r="B5" s="2307"/>
      <c r="C5" s="2307"/>
      <c r="D5" s="2307"/>
      <c r="E5" s="2307"/>
      <c r="F5" s="2307"/>
      <c r="G5" s="2308"/>
    </row>
    <row r="6" spans="1:7" ht="18.75" x14ac:dyDescent="0.25">
      <c r="A6" s="1555" t="s">
        <v>1925</v>
      </c>
      <c r="B6" s="1556"/>
      <c r="C6" s="1556"/>
      <c r="D6" s="1556"/>
      <c r="E6" s="1556"/>
      <c r="F6" s="1556"/>
      <c r="G6" s="1557"/>
    </row>
    <row r="7" spans="1:7" ht="30.75" customHeight="1" x14ac:dyDescent="0.25">
      <c r="A7" s="2309" t="s">
        <v>2074</v>
      </c>
      <c r="B7" s="2310"/>
      <c r="C7" s="2310"/>
      <c r="D7" s="2310"/>
      <c r="E7" s="2310"/>
      <c r="F7" s="2310"/>
      <c r="G7" s="2311"/>
    </row>
    <row r="8" spans="1:7" ht="15.75" customHeight="1" x14ac:dyDescent="0.25">
      <c r="A8" s="2312" t="s">
        <v>2023</v>
      </c>
      <c r="B8" s="2313"/>
      <c r="C8" s="2313"/>
      <c r="D8" s="2313"/>
      <c r="E8" s="2313"/>
      <c r="F8" s="2313"/>
      <c r="G8" s="2314"/>
    </row>
    <row r="9" spans="1:7" ht="35.25" customHeight="1" x14ac:dyDescent="0.25">
      <c r="A9" s="2309" t="s">
        <v>2022</v>
      </c>
      <c r="B9" s="2310"/>
      <c r="C9" s="2310"/>
      <c r="D9" s="2310"/>
      <c r="E9" s="2310"/>
      <c r="F9" s="2310"/>
      <c r="G9" s="2311"/>
    </row>
    <row r="10" spans="1:7" ht="15" customHeight="1" x14ac:dyDescent="0.25">
      <c r="A10" s="1558" t="s">
        <v>1926</v>
      </c>
      <c r="B10" s="1559"/>
      <c r="C10" s="1559"/>
      <c r="D10" s="1559"/>
      <c r="E10" s="1559"/>
      <c r="F10" s="1559"/>
      <c r="G10" s="1560"/>
    </row>
    <row r="11" spans="1:7" ht="17.25" customHeight="1" x14ac:dyDescent="0.25">
      <c r="A11" s="2309" t="s">
        <v>1940</v>
      </c>
      <c r="B11" s="2310"/>
      <c r="C11" s="2310"/>
      <c r="D11" s="2310"/>
      <c r="E11" s="2310"/>
      <c r="F11" s="2310"/>
      <c r="G11" s="2311"/>
    </row>
    <row r="12" spans="1:7" ht="15" customHeight="1" x14ac:dyDescent="0.25">
      <c r="A12" s="1558" t="s">
        <v>1931</v>
      </c>
      <c r="B12" s="1559"/>
      <c r="C12" s="1559"/>
      <c r="D12" s="1559"/>
      <c r="E12" s="1559"/>
      <c r="F12" s="1559"/>
      <c r="G12" s="1560"/>
    </row>
    <row r="13" spans="1:7" ht="32.25" customHeight="1" x14ac:dyDescent="0.25">
      <c r="A13" s="2300" t="s">
        <v>1932</v>
      </c>
      <c r="B13" s="2301"/>
      <c r="C13" s="2301"/>
      <c r="D13" s="2301"/>
      <c r="E13" s="2301"/>
      <c r="F13" s="2301"/>
      <c r="G13" s="2302"/>
    </row>
    <row r="14" spans="1:7" x14ac:dyDescent="0.25">
      <c r="A14" s="1682" t="s">
        <v>1941</v>
      </c>
      <c r="B14" s="1683"/>
      <c r="C14" s="1683"/>
      <c r="D14" s="1683"/>
      <c r="E14" s="1683"/>
      <c r="F14" s="1683"/>
      <c r="G14" s="1684"/>
    </row>
    <row r="15" spans="1:7" ht="61.5" customHeight="1" x14ac:dyDescent="0.25">
      <c r="A15" s="1567" t="s">
        <v>1933</v>
      </c>
      <c r="B15" s="1567" t="s">
        <v>1934</v>
      </c>
      <c r="C15" s="1567" t="s">
        <v>1935</v>
      </c>
      <c r="D15" s="1568" t="s">
        <v>1936</v>
      </c>
      <c r="E15" s="1568" t="s">
        <v>1927</v>
      </c>
      <c r="F15" s="1568" t="s">
        <v>1937</v>
      </c>
      <c r="G15" s="1568" t="s">
        <v>1938</v>
      </c>
    </row>
    <row r="16" spans="1:7" x14ac:dyDescent="0.25">
      <c r="A16" s="1669" t="s">
        <v>1942</v>
      </c>
      <c r="B16" s="1670" t="s">
        <v>1930</v>
      </c>
      <c r="C16" s="1671" t="s">
        <v>1928</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68" t="s">
        <v>2209</v>
      </c>
      <c r="B17" s="1969" t="s">
        <v>2210</v>
      </c>
      <c r="C17" s="1970" t="s">
        <v>2211</v>
      </c>
      <c r="D17" s="1866">
        <v>208904</v>
      </c>
      <c r="E17" s="1561">
        <f t="shared" ref="E17:E141" si="1">IF(D17&lt;=25000,D17,IF(D17&gt;25000,25000,0))</f>
        <v>25000</v>
      </c>
      <c r="F17" s="1814">
        <f t="shared" si="0"/>
        <v>25000</v>
      </c>
      <c r="G17" s="1815">
        <f>IF(F17=0,0,D17-F17)</f>
        <v>183904</v>
      </c>
      <c r="H17" s="1668"/>
    </row>
    <row r="18" spans="1:8" x14ac:dyDescent="0.25">
      <c r="A18" s="1968" t="s">
        <v>2209</v>
      </c>
      <c r="B18" s="1969" t="s">
        <v>2210</v>
      </c>
      <c r="C18" s="1970" t="s">
        <v>2211</v>
      </c>
      <c r="D18" s="1866">
        <v>29496</v>
      </c>
      <c r="E18" s="1561">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4496</v>
      </c>
    </row>
    <row r="19" spans="1:8" x14ac:dyDescent="0.25">
      <c r="A19" s="1674"/>
      <c r="B19" s="1868"/>
      <c r="C19" s="1677"/>
      <c r="D19" s="1866"/>
      <c r="E19" s="1561">
        <f t="shared" si="2"/>
        <v>0</v>
      </c>
      <c r="F19" s="1814">
        <f t="shared" si="3"/>
        <v>0</v>
      </c>
      <c r="G19" s="1815">
        <f t="shared" si="4"/>
        <v>0</v>
      </c>
    </row>
    <row r="20" spans="1:8" x14ac:dyDescent="0.25">
      <c r="A20" s="1674"/>
      <c r="B20" s="1867"/>
      <c r="C20" s="1677"/>
      <c r="D20" s="1866"/>
      <c r="E20" s="1561">
        <f t="shared" si="2"/>
        <v>0</v>
      </c>
      <c r="F20" s="1814">
        <f t="shared" si="3"/>
        <v>0</v>
      </c>
      <c r="G20" s="1815">
        <f t="shared" si="4"/>
        <v>0</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968"/>
      <c r="B26" s="1969"/>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238400</v>
      </c>
      <c r="E141" s="1562">
        <f t="shared" si="1"/>
        <v>25000</v>
      </c>
      <c r="F141" s="1816">
        <f>SUM(F17:F140)</f>
        <v>50000</v>
      </c>
      <c r="G141" s="1817">
        <f>SUM(G17:G140)</f>
        <v>188400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&amp;L&amp;8Page 29&amp;R&amp;8Page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J15" sqref="J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5" t="s">
        <v>1778</v>
      </c>
      <c r="B5" s="2316"/>
      <c r="C5" s="2316"/>
      <c r="D5" s="2316"/>
      <c r="E5" s="2316"/>
      <c r="F5" s="2316"/>
      <c r="G5" s="2317"/>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f>'Expenditures 15-22'!E63+'Expenditures 15-22'!F63</f>
        <v>220846</v>
      </c>
      <c r="F10" s="975"/>
      <c r="G10" s="976"/>
      <c r="H10" s="162"/>
      <c r="I10" s="162"/>
    </row>
    <row r="11" spans="1:9" s="669" customFormat="1" ht="22.5" customHeight="1" x14ac:dyDescent="0.2">
      <c r="A11" s="2320" t="s">
        <v>1944</v>
      </c>
      <c r="B11" s="2321"/>
      <c r="C11" s="2321"/>
      <c r="D11" s="2322"/>
      <c r="E11" s="978">
        <v>34150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5311285</v>
      </c>
      <c r="F19" s="1821"/>
      <c r="G19" s="1823">
        <f>'Expenditures 15-22'!K33-SUM('Expenditures 15-22'!G33,'Expenditures 15-22'!I33)+'Expenditures 15-22'!D229</f>
        <v>5311285</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350878</v>
      </c>
      <c r="F21" s="1824"/>
      <c r="G21" s="1827">
        <f>'Expenditures 15-22'!K42-SUM('Expenditures 15-22'!G42,'Expenditures 15-22'!I42)+'Expenditures 15-22'!K120-SUM('Expenditures 15-22'!G120,'Expenditures 15-22'!I120)+'Expenditures 15-22'!K180-SUM('Expenditures 15-22'!G180,'Expenditures 15-22'!I180)+'Expenditures 15-22'!D238</f>
        <v>350878</v>
      </c>
      <c r="H21" s="988"/>
      <c r="I21" s="162"/>
    </row>
    <row r="22" spans="1:9" s="669" customFormat="1" ht="12" customHeight="1" x14ac:dyDescent="0.2">
      <c r="A22" s="995" t="s">
        <v>585</v>
      </c>
      <c r="B22" s="996"/>
      <c r="C22" s="994">
        <v>2200</v>
      </c>
      <c r="D22" s="1824"/>
      <c r="E22" s="1826">
        <f>'Expenditures 15-22'!K47-SUM('Expenditures 15-22'!G47,'Expenditures 15-22'!I47)+'Expenditures 15-22'!D243</f>
        <v>193754</v>
      </c>
      <c r="F22" s="1824"/>
      <c r="G22" s="1827">
        <f>'Expenditures 15-22'!K47-SUM('Expenditures 15-22'!G47,'Expenditures 15-22'!I47)+'Expenditures 15-22'!D243</f>
        <v>193754</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403293</v>
      </c>
      <c r="F23" s="1824"/>
      <c r="G23" s="1826">
        <f>'Expenditures 15-22'!K53-SUM('Expenditures 15-22'!G53,'Expenditures 15-22'!I53)+'Expenditures 15-22'!D257+'Expenditures 15-22'!K330-SUM('Expenditures 15-22'!G330,'Expenditures 15-22'!I330)</f>
        <v>403293</v>
      </c>
      <c r="H23" s="988"/>
      <c r="I23" s="162"/>
    </row>
    <row r="24" spans="1:9" s="669" customFormat="1" ht="12" customHeight="1" x14ac:dyDescent="0.2">
      <c r="A24" s="995" t="s">
        <v>587</v>
      </c>
      <c r="B24" s="996"/>
      <c r="C24" s="994">
        <v>2400</v>
      </c>
      <c r="D24" s="1824"/>
      <c r="E24" s="1826">
        <f>'Expenditures 15-22'!K57-SUM('Expenditures 15-22'!G57,'Expenditures 15-22'!I57)+'Expenditures 15-22'!D261</f>
        <v>497981</v>
      </c>
      <c r="F24" s="1824"/>
      <c r="G24" s="1827">
        <f>'Expenditures 15-22'!K57-SUM('Expenditures 15-22'!G57,'Expenditures 15-22'!I57)+'Expenditures 15-22'!D261</f>
        <v>497981</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136524</v>
      </c>
      <c r="E27" s="1826">
        <f>E8</f>
        <v>0</v>
      </c>
      <c r="F27" s="1826">
        <f>'Expenditures 15-22'!K60-SUM('Expenditures 15-22'!G60,'Expenditures 15-22'!I60)+'Expenditures 15-22'!D264-E8</f>
        <v>136524</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937415</v>
      </c>
      <c r="F28" s="1828">
        <f>'Expenditures 15-22'!K61-SUM('Expenditures 15-22'!G61,'Expenditures 15-22'!I61)+'Expenditures 15-22'!K124-SUM('Expenditures 15-22'!G124,'Expenditures 15-22'!I124)+'Expenditures 15-22'!D266-E9</f>
        <v>937415</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295207</v>
      </c>
      <c r="F29" s="1824"/>
      <c r="G29" s="1827">
        <f>'Expenditures 15-22'!K62-SUM('Expenditures 15-22'!G62,'Expenditures 15-22'!I62)+'Expenditures 15-22'!K125-SUM('Expenditures 15-22'!G125,'Expenditures 15-22'!I125)+'Expenditures 15-22'!K182-SUM('Expenditures 15-22'!G182,'Expenditures 15-22'!I182)+'Expenditures 15-22'!D267</f>
        <v>295207</v>
      </c>
      <c r="H29" s="986"/>
    </row>
    <row r="30" spans="1:9" ht="12" customHeight="1" x14ac:dyDescent="0.2">
      <c r="A30" s="995" t="s">
        <v>102</v>
      </c>
      <c r="B30" s="998"/>
      <c r="C30" s="994">
        <v>2560</v>
      </c>
      <c r="D30" s="1824"/>
      <c r="E30" s="1826">
        <f>'Expenditures 15-22'!K63-SUM('Expenditures 15-22'!G63,'Expenditures 15-22'!I63)+'Expenditures 15-22'!D268-E10</f>
        <v>158536</v>
      </c>
      <c r="F30" s="1824"/>
      <c r="G30" s="1826">
        <f>'Expenditures 15-22'!K63-SUM('Expenditures 15-22'!G63,'Expenditures 15-22'!I63)+'Expenditures 15-22'!D268-E10</f>
        <v>158536</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28643</v>
      </c>
      <c r="E37" s="1826">
        <f>E14</f>
        <v>0</v>
      </c>
      <c r="F37" s="1826">
        <f>'Expenditures 15-22'!K71-SUM('Expenditures 15-22'!G71,'Expenditures 15-22'!I71)+'Expenditures 15-22'!D276-E14</f>
        <v>28643</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117226</v>
      </c>
      <c r="F39" s="1824"/>
      <c r="G39" s="1826">
        <f>'Expenditures 15-22'!K75-SUM('Expenditures 15-22'!G75,'Expenditures 15-22'!I75)+'Expenditures 15-22'!K130-SUM('Expenditures 15-22'!G130,'Expenditures 15-22'!I130)+'Expenditures 15-22'!K185-SUM('Expenditures 15-22'!G185,'Expenditures 15-22'!I185)+'Expenditures 15-22'!D280</f>
        <v>117226</v>
      </c>
    </row>
    <row r="40" spans="1:7" ht="12" customHeight="1" x14ac:dyDescent="0.2">
      <c r="A40" s="991" t="s">
        <v>1929</v>
      </c>
      <c r="B40" s="992"/>
      <c r="C40" s="994"/>
      <c r="D40" s="1824"/>
      <c r="E40" s="1828">
        <f>-'Contracts Paid in CY 29'!G141</f>
        <v>-188400</v>
      </c>
      <c r="F40" s="1824"/>
      <c r="G40" s="1828">
        <f>-'Contracts Paid in CY 29'!G141</f>
        <v>-188400</v>
      </c>
    </row>
    <row r="41" spans="1:7" ht="12" customHeight="1" x14ac:dyDescent="0.2">
      <c r="A41" s="999" t="s">
        <v>158</v>
      </c>
      <c r="B41" s="1000"/>
      <c r="C41" s="1001"/>
      <c r="D41" s="1828">
        <f>SUM(D19:D39)</f>
        <v>165167</v>
      </c>
      <c r="E41" s="1828">
        <f>SUM(E19:E40)</f>
        <v>8077175</v>
      </c>
      <c r="F41" s="1828">
        <f>SUM(F19:F39)</f>
        <v>1102582</v>
      </c>
      <c r="G41" s="1828">
        <f>SUM(G19:G40)</f>
        <v>7139760</v>
      </c>
    </row>
    <row r="42" spans="1:7" x14ac:dyDescent="0.2">
      <c r="A42" s="988"/>
      <c r="B42" s="162"/>
      <c r="C42" s="1002"/>
      <c r="D42" s="2318" t="s">
        <v>543</v>
      </c>
      <c r="E42" s="2319"/>
      <c r="F42" s="1003" t="s">
        <v>544</v>
      </c>
      <c r="G42" s="1004"/>
    </row>
    <row r="43" spans="1:7" ht="12" customHeight="1" x14ac:dyDescent="0.2">
      <c r="A43" s="988"/>
      <c r="B43" s="162"/>
      <c r="C43" s="1002"/>
      <c r="D43" s="1829" t="s">
        <v>493</v>
      </c>
      <c r="E43" s="1830">
        <f>D41</f>
        <v>165167</v>
      </c>
      <c r="F43" s="1829" t="s">
        <v>495</v>
      </c>
      <c r="G43" s="1830">
        <f>F41</f>
        <v>1102582</v>
      </c>
    </row>
    <row r="44" spans="1:7" ht="12" customHeight="1" x14ac:dyDescent="0.2">
      <c r="A44" s="988"/>
      <c r="B44" s="162"/>
      <c r="C44" s="1002"/>
      <c r="D44" s="1829" t="s">
        <v>494</v>
      </c>
      <c r="E44" s="1830">
        <f>E41</f>
        <v>8077175</v>
      </c>
      <c r="F44" s="1829" t="s">
        <v>494</v>
      </c>
      <c r="G44" s="1830">
        <f>G41</f>
        <v>7139760</v>
      </c>
    </row>
    <row r="45" spans="1:7" ht="12" customHeight="1" x14ac:dyDescent="0.2">
      <c r="A45" s="988"/>
      <c r="B45" s="162"/>
      <c r="C45" s="162"/>
      <c r="D45" s="1831" t="s">
        <v>1063</v>
      </c>
      <c r="E45" s="1832">
        <f>(E43/E44)</f>
        <v>2.0448609817169987E-2</v>
      </c>
      <c r="F45" s="1831" t="s">
        <v>1063</v>
      </c>
      <c r="G45" s="1832">
        <f>(G43/G44)</f>
        <v>0.15442844017165844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27" sqref="F27"/>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37" t="s">
        <v>1446</v>
      </c>
      <c r="B1" s="2337"/>
      <c r="C1" s="2337"/>
      <c r="D1" s="2337"/>
      <c r="E1" s="2337"/>
      <c r="F1" s="2337"/>
    </row>
    <row r="2" spans="1:10" x14ac:dyDescent="0.2">
      <c r="A2" s="1911" t="s">
        <v>2047</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38" t="s">
        <v>1627</v>
      </c>
      <c r="B5" s="2339"/>
      <c r="C5" s="2340"/>
      <c r="D5" s="2340"/>
      <c r="E5" s="2340"/>
      <c r="F5" s="2340"/>
    </row>
    <row r="6" spans="1:10" ht="12" customHeight="1" x14ac:dyDescent="0.25">
      <c r="A6" s="1874"/>
      <c r="B6" s="1875"/>
      <c r="C6" s="2341" t="str">
        <f>COVER!A17</f>
        <v>Paris-Union SD 95</v>
      </c>
      <c r="D6" s="2341"/>
      <c r="E6" s="2341"/>
      <c r="F6" s="1876"/>
    </row>
    <row r="7" spans="1:10" ht="11.25" customHeight="1" thickBot="1" x14ac:dyDescent="0.3">
      <c r="A7" s="1874"/>
      <c r="B7" s="1875"/>
      <c r="C7" s="2342">
        <f>COVER!A13</f>
        <v>11023095025</v>
      </c>
      <c r="D7" s="2342"/>
      <c r="E7" s="2342"/>
      <c r="F7" s="1876"/>
    </row>
    <row r="8" spans="1:10" ht="25.5" customHeight="1" thickBot="1" x14ac:dyDescent="0.25">
      <c r="A8" s="1917" t="s">
        <v>2024</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t="s">
        <v>2081</v>
      </c>
      <c r="D14" s="1889" t="s">
        <v>2081</v>
      </c>
      <c r="E14" s="1892" t="s">
        <v>2081</v>
      </c>
      <c r="F14" s="1891" t="s">
        <v>2082</v>
      </c>
      <c r="H14" s="1902">
        <f t="shared" si="0"/>
        <v>5</v>
      </c>
      <c r="I14" s="1902">
        <f t="shared" si="1"/>
        <v>5</v>
      </c>
      <c r="J14" s="1902">
        <f t="shared" si="2"/>
        <v>5</v>
      </c>
    </row>
    <row r="15" spans="1:10" ht="12" customHeight="1" x14ac:dyDescent="0.2">
      <c r="A15" s="1887" t="s">
        <v>1454</v>
      </c>
      <c r="B15" s="1888"/>
      <c r="C15" s="1889" t="s">
        <v>2081</v>
      </c>
      <c r="D15" s="1889" t="s">
        <v>2081</v>
      </c>
      <c r="E15" s="1892" t="s">
        <v>2081</v>
      </c>
      <c r="F15" s="1891" t="s">
        <v>2082</v>
      </c>
      <c r="H15" s="1902">
        <f t="shared" si="0"/>
        <v>5</v>
      </c>
      <c r="I15" s="1902">
        <f t="shared" si="1"/>
        <v>5</v>
      </c>
      <c r="J15" s="1902">
        <f t="shared" si="2"/>
        <v>5</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2081</v>
      </c>
      <c r="D19" s="1889" t="s">
        <v>2081</v>
      </c>
      <c r="E19" s="1892" t="s">
        <v>2081</v>
      </c>
      <c r="F19" s="1891" t="s">
        <v>2082</v>
      </c>
      <c r="H19" s="1902">
        <f t="shared" si="0"/>
        <v>5</v>
      </c>
      <c r="I19" s="1902">
        <f t="shared" si="1"/>
        <v>5</v>
      </c>
      <c r="J19" s="1902">
        <f t="shared" si="2"/>
        <v>5</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t="s">
        <v>2081</v>
      </c>
      <c r="D25" s="1889" t="s">
        <v>2081</v>
      </c>
      <c r="E25" s="1892" t="s">
        <v>2081</v>
      </c>
      <c r="F25" s="1891" t="s">
        <v>2082</v>
      </c>
      <c r="H25" s="1902">
        <f t="shared" si="0"/>
        <v>5</v>
      </c>
      <c r="I25" s="1902">
        <f t="shared" si="1"/>
        <v>5</v>
      </c>
      <c r="J25" s="1902">
        <f t="shared" si="2"/>
        <v>5</v>
      </c>
    </row>
    <row r="26" spans="1:12" ht="12" customHeight="1" x14ac:dyDescent="0.2">
      <c r="A26" s="1887" t="s">
        <v>1615</v>
      </c>
      <c r="B26" s="1888"/>
      <c r="C26" s="1889" t="s">
        <v>2081</v>
      </c>
      <c r="D26" s="1889" t="s">
        <v>2081</v>
      </c>
      <c r="E26" s="1892" t="s">
        <v>2081</v>
      </c>
      <c r="F26" s="1891" t="s">
        <v>2083</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t="s">
        <v>2081</v>
      </c>
      <c r="D29" s="1889" t="s">
        <v>2081</v>
      </c>
      <c r="E29" s="1892" t="s">
        <v>2081</v>
      </c>
      <c r="F29" s="1891" t="s">
        <v>2082</v>
      </c>
      <c r="H29" s="1902">
        <f t="shared" si="0"/>
        <v>5</v>
      </c>
      <c r="I29" s="1902">
        <f t="shared" si="1"/>
        <v>5</v>
      </c>
      <c r="J29" s="1902">
        <f t="shared" si="2"/>
        <v>5</v>
      </c>
    </row>
    <row r="30" spans="1:12" ht="12" customHeight="1" x14ac:dyDescent="0.2">
      <c r="A30" s="1887" t="s">
        <v>1619</v>
      </c>
      <c r="B30" s="1888"/>
      <c r="C30" s="1889" t="s">
        <v>2081</v>
      </c>
      <c r="D30" s="1889" t="s">
        <v>2081</v>
      </c>
      <c r="E30" s="1892" t="s">
        <v>2081</v>
      </c>
      <c r="F30" s="1891" t="s">
        <v>2082</v>
      </c>
      <c r="H30" s="1902">
        <f t="shared" si="0"/>
        <v>5</v>
      </c>
      <c r="I30" s="1902">
        <f t="shared" si="1"/>
        <v>5</v>
      </c>
      <c r="J30" s="1902">
        <f t="shared" si="2"/>
        <v>5</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t="s">
        <v>2081</v>
      </c>
      <c r="D32" s="1889" t="s">
        <v>2081</v>
      </c>
      <c r="E32" s="1892" t="s">
        <v>2081</v>
      </c>
      <c r="F32" s="1891" t="s">
        <v>2082</v>
      </c>
      <c r="H32" s="1902">
        <f t="shared" si="0"/>
        <v>5</v>
      </c>
      <c r="I32" s="1902">
        <f t="shared" si="1"/>
        <v>5</v>
      </c>
      <c r="J32" s="1902">
        <f t="shared" si="2"/>
        <v>5</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40</v>
      </c>
      <c r="I34" s="1902">
        <f>SUM(I11:I32)</f>
        <v>40</v>
      </c>
      <c r="J34" s="1902">
        <f>SUM(J11:J32)</f>
        <v>40</v>
      </c>
      <c r="K34" s="1902">
        <f>SUM(H34:J34)</f>
        <v>120</v>
      </c>
    </row>
    <row r="35" spans="1:11" ht="12" customHeight="1" x14ac:dyDescent="0.2">
      <c r="A35" s="1895" t="s">
        <v>1459</v>
      </c>
      <c r="B35" s="1896"/>
      <c r="C35" s="2343"/>
      <c r="D35" s="2343"/>
      <c r="E35" s="2343"/>
      <c r="F35" s="2344"/>
    </row>
    <row r="36" spans="1:11" ht="12" customHeight="1" x14ac:dyDescent="0.2">
      <c r="A36" s="2326"/>
      <c r="B36" s="2327"/>
      <c r="C36" s="2327"/>
      <c r="D36" s="2327"/>
      <c r="E36" s="2327"/>
      <c r="F36" s="2328"/>
    </row>
    <row r="37" spans="1:11" ht="12" customHeight="1" x14ac:dyDescent="0.2">
      <c r="A37" s="2326"/>
      <c r="B37" s="2327"/>
      <c r="C37" s="2327"/>
      <c r="D37" s="2327"/>
      <c r="E37" s="2327"/>
      <c r="F37" s="2328"/>
    </row>
    <row r="38" spans="1:11" ht="12" customHeight="1" x14ac:dyDescent="0.2">
      <c r="A38" s="2329"/>
      <c r="B38" s="2330"/>
      <c r="C38" s="2330"/>
      <c r="D38" s="2330"/>
      <c r="E38" s="2330"/>
      <c r="F38" s="2331"/>
    </row>
    <row r="39" spans="1:11" ht="4.5" hidden="1" customHeight="1" x14ac:dyDescent="0.2">
      <c r="A39" s="1897"/>
      <c r="B39" s="1897"/>
      <c r="C39" s="1897"/>
      <c r="D39" s="1897"/>
      <c r="E39" s="1897"/>
      <c r="F39" s="1897"/>
    </row>
    <row r="40" spans="1:11" s="1894" customFormat="1" ht="12" customHeight="1" x14ac:dyDescent="0.25">
      <c r="A40" s="1898" t="s">
        <v>1458</v>
      </c>
      <c r="B40" s="1899"/>
      <c r="C40" s="2332"/>
      <c r="D40" s="2332"/>
      <c r="E40" s="2332"/>
      <c r="F40" s="2333"/>
      <c r="H40" s="1903"/>
      <c r="I40" s="1903"/>
      <c r="J40" s="1903"/>
      <c r="K40" s="1903"/>
    </row>
    <row r="41" spans="1:11" s="1894" customFormat="1" ht="12" customHeight="1" x14ac:dyDescent="0.25">
      <c r="A41" s="2334"/>
      <c r="B41" s="2335"/>
      <c r="C41" s="2335"/>
      <c r="D41" s="2335"/>
      <c r="E41" s="2335"/>
      <c r="F41" s="2336"/>
      <c r="H41" s="1903"/>
      <c r="I41" s="1903"/>
      <c r="J41" s="1903"/>
      <c r="K41" s="1903"/>
    </row>
    <row r="42" spans="1:11" s="1894" customFormat="1" ht="12" customHeight="1" x14ac:dyDescent="0.25">
      <c r="A42" s="2334"/>
      <c r="B42" s="2335"/>
      <c r="C42" s="2335"/>
      <c r="D42" s="2335"/>
      <c r="E42" s="2335"/>
      <c r="F42" s="2336"/>
      <c r="H42" s="1903"/>
      <c r="I42" s="1903"/>
      <c r="J42" s="1903"/>
      <c r="K42" s="1903"/>
    </row>
    <row r="43" spans="1:11" s="1894" customFormat="1" ht="15" x14ac:dyDescent="0.25">
      <c r="A43" s="2323"/>
      <c r="B43" s="2324"/>
      <c r="C43" s="2324"/>
      <c r="D43" s="2324"/>
      <c r="E43" s="2324"/>
      <c r="F43" s="2325"/>
      <c r="H43" s="1903"/>
      <c r="I43" s="1903"/>
      <c r="J43" s="1903"/>
      <c r="K43" s="1903"/>
    </row>
    <row r="44" spans="1:11" s="1894" customFormat="1" ht="12" hidden="1" customHeight="1" x14ac:dyDescent="0.25">
      <c r="A44" s="2323"/>
      <c r="B44" s="2324"/>
      <c r="C44" s="2324"/>
      <c r="D44" s="2324"/>
      <c r="E44" s="2324"/>
      <c r="F44" s="2325"/>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21" colorId="8" zoomScale="110" zoomScaleNormal="110" workbookViewId="0">
      <selection activeCell="B40" sqref="B40"/>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50" t="str">
        <f>COVER!A17</f>
        <v>Paris-Union SD 95</v>
      </c>
      <c r="J6" s="2351"/>
      <c r="Q6" s="1685"/>
    </row>
    <row r="7" spans="1:17" x14ac:dyDescent="0.2">
      <c r="A7" s="2352" t="s">
        <v>924</v>
      </c>
      <c r="B7" s="2353"/>
      <c r="C7" s="2353"/>
      <c r="D7" s="2353"/>
      <c r="E7" s="2354"/>
      <c r="F7" s="1018"/>
      <c r="G7" s="1010"/>
      <c r="H7" s="1017" t="s">
        <v>390</v>
      </c>
      <c r="I7" s="2355">
        <f>COVER!A13</f>
        <v>11023095025</v>
      </c>
      <c r="J7" s="2355"/>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6" t="s">
        <v>502</v>
      </c>
      <c r="B11" s="2357"/>
      <c r="C11" s="235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70079</v>
      </c>
      <c r="F12" s="1040"/>
      <c r="G12" s="1833">
        <f t="shared" ref="G12:G18" si="0">SUM(E12:F12)</f>
        <v>70079</v>
      </c>
      <c r="H12" s="1041">
        <v>172100</v>
      </c>
      <c r="I12" s="1040"/>
      <c r="J12" s="1833">
        <f t="shared" ref="J12:J18" si="1">SUM(H12:I12)</f>
        <v>172100</v>
      </c>
    </row>
    <row r="13" spans="1:17" ht="15" customHeight="1" x14ac:dyDescent="0.2">
      <c r="A13" s="1036">
        <v>2</v>
      </c>
      <c r="B13" s="1037" t="s">
        <v>44</v>
      </c>
      <c r="C13" s="1038"/>
      <c r="D13" s="1039">
        <v>2330</v>
      </c>
      <c r="E13" s="1833">
        <f>'Expenditures 15-22'!K51</f>
        <v>1074</v>
      </c>
      <c r="F13" s="1040"/>
      <c r="G13" s="1833">
        <f t="shared" si="0"/>
        <v>1074</v>
      </c>
      <c r="H13" s="1041">
        <v>0</v>
      </c>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59" t="s">
        <v>7</v>
      </c>
      <c r="C18" s="2360"/>
      <c r="D18" s="2361"/>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71153</v>
      </c>
      <c r="F19" s="1835">
        <f t="shared" si="2"/>
        <v>0</v>
      </c>
      <c r="G19" s="1835">
        <f t="shared" si="2"/>
        <v>71153</v>
      </c>
      <c r="H19" s="1835">
        <f t="shared" si="2"/>
        <v>172100</v>
      </c>
      <c r="I19" s="1835">
        <f t="shared" si="2"/>
        <v>0</v>
      </c>
      <c r="J19" s="1835">
        <f t="shared" si="2"/>
        <v>172100</v>
      </c>
    </row>
    <row r="20" spans="1:10" ht="13.5" thickTop="1" x14ac:dyDescent="0.2">
      <c r="A20" s="1036">
        <v>9</v>
      </c>
      <c r="B20" s="2362" t="s">
        <v>1703</v>
      </c>
      <c r="C20" s="2362"/>
      <c r="D20" s="2363"/>
      <c r="E20" s="1047"/>
      <c r="F20" s="1047"/>
      <c r="G20" s="1047"/>
      <c r="H20" s="1047"/>
      <c r="I20" s="1047"/>
      <c r="J20" s="1836">
        <f>IF(AND(G19&gt;0,J19&gt;0),(((J19-G19)/G19)),"Enter Budget Data")</f>
        <v>1.4187314659958119</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8"/>
      <c r="D26" s="2368"/>
      <c r="E26" s="1051"/>
      <c r="F26" s="2367"/>
      <c r="G26" s="2367"/>
    </row>
    <row r="27" spans="1:10" x14ac:dyDescent="0.2">
      <c r="B27" s="1048"/>
      <c r="C27" s="1052" t="s">
        <v>1093</v>
      </c>
      <c r="D27" s="1053"/>
      <c r="E27" s="1054"/>
      <c r="F27" s="2364" t="s">
        <v>1589</v>
      </c>
      <c r="G27" s="2364"/>
    </row>
    <row r="28" spans="1:10" ht="28.5" customHeight="1" x14ac:dyDescent="0.2">
      <c r="B28" s="1048"/>
      <c r="C28" s="2366"/>
      <c r="D28" s="2366"/>
      <c r="E28" s="1055"/>
      <c r="F28" s="2366"/>
      <c r="G28" s="2366"/>
    </row>
    <row r="29" spans="1:10" x14ac:dyDescent="0.2">
      <c r="B29" s="1048"/>
      <c r="C29" s="1056" t="s">
        <v>1642</v>
      </c>
      <c r="E29" s="1057"/>
      <c r="F29" s="2365" t="s">
        <v>1590</v>
      </c>
      <c r="G29" s="236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7" t="s">
        <v>134</v>
      </c>
      <c r="D33" s="2348"/>
      <c r="E33" s="2348"/>
      <c r="F33" s="2348"/>
      <c r="G33" s="2348"/>
      <c r="H33" s="2348"/>
      <c r="I33" s="2348"/>
    </row>
    <row r="34" spans="1:10" ht="10.35" customHeight="1" x14ac:dyDescent="0.2">
      <c r="C34" s="2348"/>
      <c r="D34" s="2348"/>
      <c r="E34" s="2348"/>
      <c r="F34" s="2348"/>
      <c r="G34" s="2348"/>
      <c r="H34" s="2348"/>
      <c r="I34" s="2348"/>
    </row>
    <row r="35" spans="1:10" ht="7.5" customHeight="1" x14ac:dyDescent="0.2">
      <c r="C35" s="1063"/>
    </row>
    <row r="36" spans="1:10" ht="13.5" customHeight="1" x14ac:dyDescent="0.2">
      <c r="B36" s="1062"/>
      <c r="C36" s="2349" t="s">
        <v>1943</v>
      </c>
      <c r="D36" s="2348"/>
      <c r="E36" s="2348"/>
      <c r="F36" s="2348"/>
      <c r="G36" s="2348"/>
      <c r="H36" s="2348"/>
      <c r="I36" s="2348"/>
      <c r="J36" s="1064"/>
    </row>
    <row r="37" spans="1:10" ht="22.5" customHeight="1" x14ac:dyDescent="0.2">
      <c r="C37" s="2348"/>
      <c r="D37" s="2348"/>
      <c r="E37" s="2348"/>
      <c r="F37" s="2348"/>
      <c r="G37" s="2348"/>
      <c r="H37" s="2348"/>
      <c r="I37" s="2348"/>
      <c r="J37" s="1064"/>
    </row>
    <row r="38" spans="1:10" ht="7.5" customHeight="1" x14ac:dyDescent="0.2">
      <c r="C38" s="1063"/>
      <c r="D38" s="1065"/>
      <c r="E38" s="1066"/>
      <c r="F38" s="1067"/>
      <c r="G38" s="1066"/>
    </row>
    <row r="39" spans="1:10" ht="13.5" customHeight="1" x14ac:dyDescent="0.2">
      <c r="B39" s="1062" t="s">
        <v>2133</v>
      </c>
      <c r="C39" s="2345" t="s">
        <v>937</v>
      </c>
      <c r="D39" s="2346"/>
      <c r="E39" s="2346"/>
      <c r="F39" s="2346"/>
      <c r="G39" s="2346"/>
      <c r="H39" s="2346"/>
      <c r="I39" s="234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3"/>
  <sheetViews>
    <sheetView showGridLines="0" zoomScale="110" zoomScaleNormal="110" workbookViewId="0">
      <selection activeCell="B20" sqref="B2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s="675" customFormat="1" ht="25.5" x14ac:dyDescent="0.2">
      <c r="A5" s="1971">
        <v>1</v>
      </c>
      <c r="B5" s="1972" t="s">
        <v>2213</v>
      </c>
    </row>
    <row r="6" spans="1:2" s="675" customFormat="1" x14ac:dyDescent="0.2">
      <c r="A6" s="1971">
        <v>2</v>
      </c>
      <c r="B6" s="1973" t="s">
        <v>2212</v>
      </c>
    </row>
    <row r="7" spans="1:2" s="675" customFormat="1" x14ac:dyDescent="0.2">
      <c r="A7" s="1971">
        <v>3</v>
      </c>
      <c r="B7" s="1972" t="s">
        <v>2214</v>
      </c>
    </row>
    <row r="8" spans="1:2" s="675" customFormat="1" x14ac:dyDescent="0.2">
      <c r="A8" s="1971">
        <v>4</v>
      </c>
      <c r="B8" s="1973" t="s">
        <v>2215</v>
      </c>
    </row>
    <row r="9" spans="1:2" s="675" customFormat="1" x14ac:dyDescent="0.2">
      <c r="A9" s="1971">
        <v>5</v>
      </c>
      <c r="B9" s="1973" t="s">
        <v>2216</v>
      </c>
    </row>
    <row r="10" spans="1:2" s="675" customFormat="1" x14ac:dyDescent="0.2">
      <c r="A10" s="1971">
        <v>6</v>
      </c>
      <c r="B10" s="1973" t="s">
        <v>2217</v>
      </c>
    </row>
    <row r="11" spans="1:2" s="675" customFormat="1" x14ac:dyDescent="0.2">
      <c r="A11" s="1971">
        <v>7</v>
      </c>
      <c r="B11" s="1973" t="s">
        <v>2218</v>
      </c>
    </row>
    <row r="12" spans="1:2" s="675" customFormat="1" x14ac:dyDescent="0.2">
      <c r="A12" s="1971">
        <v>8</v>
      </c>
      <c r="B12" s="1973" t="s">
        <v>2219</v>
      </c>
    </row>
    <row r="13" spans="1:2" x14ac:dyDescent="0.2">
      <c r="A13" s="1971">
        <v>9</v>
      </c>
      <c r="B13" s="1956" t="s">
        <v>2080</v>
      </c>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c r="B62" s="258" t="str">
        <f>COVER!A17</f>
        <v>Paris-Union SD 95</v>
      </c>
    </row>
    <row r="63" spans="1:2" x14ac:dyDescent="0.2">
      <c r="B63" s="1070">
        <f>COVER!A13</f>
        <v>11023095025</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8" t="s">
        <v>1709</v>
      </c>
    </row>
    <row r="23" spans="1:5" x14ac:dyDescent="0.2">
      <c r="A23" s="168"/>
      <c r="B23" s="162" t="s">
        <v>1968</v>
      </c>
      <c r="D23" s="167" t="s">
        <v>658</v>
      </c>
      <c r="E23" s="1858"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6" t="s">
        <v>1125</v>
      </c>
      <c r="B35" s="2086"/>
      <c r="C35" s="2086"/>
      <c r="D35" s="2086"/>
      <c r="E35" s="208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3" t="s">
        <v>715</v>
      </c>
      <c r="B40" s="2083"/>
      <c r="C40" s="2083"/>
      <c r="D40" s="2083"/>
      <c r="E40" s="2083"/>
    </row>
    <row r="41" spans="1:5" x14ac:dyDescent="0.2">
      <c r="A41" s="2084" t="s">
        <v>1706</v>
      </c>
      <c r="B41" s="2084"/>
      <c r="C41" s="2084"/>
      <c r="D41" s="2084"/>
      <c r="E41" s="2084"/>
    </row>
    <row r="42" spans="1:5" ht="12.75" customHeight="1" x14ac:dyDescent="0.2">
      <c r="A42" s="2085" t="s">
        <v>1080</v>
      </c>
      <c r="B42" s="2085"/>
      <c r="C42" s="2085"/>
      <c r="D42" s="2085"/>
      <c r="E42" s="2085"/>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6" t="s">
        <v>1878</v>
      </c>
    </row>
    <row r="60" spans="1:3" x14ac:dyDescent="0.2">
      <c r="A60" s="196"/>
      <c r="B60" s="1506"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8"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7"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9" t="s">
        <v>1784</v>
      </c>
      <c r="B18" s="236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41986"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Document.2015" dvAspect="DVASPECT_ICON" shapeId="41986" r:id="rId4"/>
      </mc:Fallback>
    </mc:AlternateContent>
    <mc:AlternateContent xmlns:mc="http://schemas.openxmlformats.org/markup-compatibility/2006">
      <mc:Choice Requires="x14">
        <oleObject progId="Acrobat.Document.2015" dvAspect="DVASPECT_ICON" shapeId="41987" r:id="rId6">
          <objectPr defaultSize="0" r:id="rId7">
            <anchor moveWithCells="1">
              <from>
                <xdr:col>1</xdr:col>
                <xdr:colOff>1095375</xdr:colOff>
                <xdr:row>1</xdr:row>
                <xdr:rowOff>19050</xdr:rowOff>
              </from>
              <to>
                <xdr:col>1</xdr:col>
                <xdr:colOff>2009775</xdr:colOff>
                <xdr:row>5</xdr:row>
                <xdr:rowOff>57150</xdr:rowOff>
              </to>
            </anchor>
          </objectPr>
        </oleObject>
      </mc:Choice>
      <mc:Fallback>
        <oleObject progId="Acrobat.Document.2015" dvAspect="DVASPECT_ICON" shapeId="41987" r:id="rId6"/>
      </mc:Fallback>
    </mc:AlternateContent>
    <mc:AlternateContent xmlns:mc="http://schemas.openxmlformats.org/markup-compatibility/2006">
      <mc:Choice Requires="x14">
        <oleObject progId="Acrobat.Document.2015" dvAspect="DVASPECT_ICON" shapeId="41988" r:id="rId8">
          <objectPr defaultSize="0" r:id="rId9">
            <anchor moveWithCells="1">
              <from>
                <xdr:col>1</xdr:col>
                <xdr:colOff>2228850</xdr:colOff>
                <xdr:row>1</xdr:row>
                <xdr:rowOff>28575</xdr:rowOff>
              </from>
              <to>
                <xdr:col>1</xdr:col>
                <xdr:colOff>3143250</xdr:colOff>
                <xdr:row>5</xdr:row>
                <xdr:rowOff>66675</xdr:rowOff>
              </to>
            </anchor>
          </objectPr>
        </oleObject>
      </mc:Choice>
      <mc:Fallback>
        <oleObject progId="Acrobat.Document.2015" dvAspect="DVASPECT_ICON" shapeId="41988" r:id="rId8"/>
      </mc:Fallback>
    </mc:AlternateContent>
    <mc:AlternateContent xmlns:mc="http://schemas.openxmlformats.org/markup-compatibility/2006">
      <mc:Choice Requires="x14">
        <oleObject progId="Acrobat.Document.2015" dvAspect="DVASPECT_ICON" shapeId="41989" r:id="rId10">
          <objectPr defaultSize="0" r:id="rId11">
            <anchor moveWithCells="1">
              <from>
                <xdr:col>1</xdr:col>
                <xdr:colOff>28575</xdr:colOff>
                <xdr:row>6</xdr:row>
                <xdr:rowOff>47625</xdr:rowOff>
              </from>
              <to>
                <xdr:col>1</xdr:col>
                <xdr:colOff>942975</xdr:colOff>
                <xdr:row>10</xdr:row>
                <xdr:rowOff>85725</xdr:rowOff>
              </to>
            </anchor>
          </objectPr>
        </oleObject>
      </mc:Choice>
      <mc:Fallback>
        <oleObject progId="Acrobat.Document.2015" dvAspect="DVASPECT_ICON" shapeId="41989" r:id="rId10"/>
      </mc:Fallback>
    </mc:AlternateContent>
    <mc:AlternateContent xmlns:mc="http://schemas.openxmlformats.org/markup-compatibility/2006">
      <mc:Choice Requires="x14">
        <oleObject progId="Acrobat.Document.2015" dvAspect="DVASPECT_ICON" shapeId="41990" r:id="rId12">
          <objectPr defaultSize="0" r:id="rId13">
            <anchor moveWithCells="1">
              <from>
                <xdr:col>1</xdr:col>
                <xdr:colOff>1114425</xdr:colOff>
                <xdr:row>6</xdr:row>
                <xdr:rowOff>47625</xdr:rowOff>
              </from>
              <to>
                <xdr:col>1</xdr:col>
                <xdr:colOff>2028825</xdr:colOff>
                <xdr:row>10</xdr:row>
                <xdr:rowOff>85725</xdr:rowOff>
              </to>
            </anchor>
          </objectPr>
        </oleObject>
      </mc:Choice>
      <mc:Fallback>
        <oleObject progId="Acrobat.Document.2015" dvAspect="DVASPECT_ICON" shapeId="41990" r:id="rId12"/>
      </mc:Fallback>
    </mc:AlternateContent>
    <mc:AlternateContent xmlns:mc="http://schemas.openxmlformats.org/markup-compatibility/2006">
      <mc:Choice Requires="x14">
        <oleObject progId="Acrobat.Document.2015" dvAspect="DVASPECT_ICON" shapeId="41991" r:id="rId14">
          <objectPr defaultSize="0" r:id="rId15">
            <anchor moveWithCells="1">
              <from>
                <xdr:col>1</xdr:col>
                <xdr:colOff>2228850</xdr:colOff>
                <xdr:row>6</xdr:row>
                <xdr:rowOff>47625</xdr:rowOff>
              </from>
              <to>
                <xdr:col>1</xdr:col>
                <xdr:colOff>3143250</xdr:colOff>
                <xdr:row>10</xdr:row>
                <xdr:rowOff>85725</xdr:rowOff>
              </to>
            </anchor>
          </objectPr>
        </oleObject>
      </mc:Choice>
      <mc:Fallback>
        <oleObject progId="Acrobat.Document.2015" dvAspect="DVASPECT_ICON" shapeId="41991"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0" t="s">
        <v>1790</v>
      </c>
      <c r="B1" s="2371"/>
      <c r="C1" s="2371"/>
      <c r="D1" s="2371"/>
      <c r="E1" s="2371"/>
      <c r="F1" s="2372"/>
    </row>
    <row r="2" spans="1:8" ht="45" customHeight="1" x14ac:dyDescent="0.2">
      <c r="A2" s="2380" t="s">
        <v>1791</v>
      </c>
      <c r="B2" s="2381"/>
      <c r="C2" s="2381"/>
      <c r="D2" s="2381"/>
      <c r="E2" s="2381"/>
      <c r="F2" s="2382"/>
      <c r="G2" s="1074"/>
      <c r="H2" s="1074"/>
    </row>
    <row r="3" spans="1:8" ht="57" customHeight="1" x14ac:dyDescent="0.2">
      <c r="A3" s="2383" t="s">
        <v>1786</v>
      </c>
      <c r="B3" s="2384"/>
      <c r="C3" s="2384"/>
      <c r="D3" s="2384"/>
      <c r="E3" s="2384"/>
      <c r="F3" s="2385"/>
      <c r="G3" s="1074"/>
      <c r="H3" s="1074"/>
    </row>
    <row r="4" spans="1:8" ht="14.25" customHeight="1" x14ac:dyDescent="0.2">
      <c r="A4" s="2389" t="s">
        <v>2055</v>
      </c>
      <c r="B4" s="2390"/>
      <c r="C4" s="2390"/>
      <c r="D4" s="2390"/>
      <c r="E4" s="2390"/>
      <c r="F4" s="2391"/>
      <c r="G4" s="1074"/>
      <c r="H4" s="1074"/>
    </row>
    <row r="5" spans="1:8" ht="14.25" customHeight="1" x14ac:dyDescent="0.2">
      <c r="A5" s="2392" t="s">
        <v>2056</v>
      </c>
      <c r="B5" s="2393"/>
      <c r="C5" s="2393"/>
      <c r="D5" s="2393"/>
      <c r="E5" s="2393"/>
      <c r="F5" s="2394"/>
      <c r="G5" s="1074"/>
      <c r="H5" s="1074"/>
    </row>
    <row r="6" spans="1:8" s="1075" customFormat="1" ht="41.25" customHeight="1" x14ac:dyDescent="0.2">
      <c r="A6" s="2386" t="s">
        <v>1792</v>
      </c>
      <c r="B6" s="2387"/>
      <c r="C6" s="2387"/>
      <c r="D6" s="2387"/>
      <c r="E6" s="2387"/>
      <c r="F6" s="2388"/>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9928782</v>
      </c>
      <c r="C8" s="1837">
        <f>'Acct Summary 7-8'!D8</f>
        <v>1325455</v>
      </c>
      <c r="D8" s="1837">
        <f>'Acct Summary 7-8'!F8</f>
        <v>284069</v>
      </c>
      <c r="E8" s="1837">
        <f>'Acct Summary 7-8'!I8</f>
        <v>36389</v>
      </c>
      <c r="F8" s="1837">
        <f>SUM(B8:E8)</f>
        <v>11574695</v>
      </c>
    </row>
    <row r="9" spans="1:8" s="1079" customFormat="1" ht="14.25" customHeight="1" thickBot="1" x14ac:dyDescent="0.25">
      <c r="A9" s="1078" t="s">
        <v>1436</v>
      </c>
      <c r="B9" s="1838">
        <f>'Acct Summary 7-8'!C17</f>
        <v>9226617</v>
      </c>
      <c r="C9" s="1838">
        <f>'Acct Summary 7-8'!D17</f>
        <v>1155844</v>
      </c>
      <c r="D9" s="1838">
        <f>'Acct Summary 7-8'!F17</f>
        <v>331016</v>
      </c>
      <c r="E9" s="1837"/>
      <c r="F9" s="1837">
        <f>SUM(B9:E9)</f>
        <v>10713477</v>
      </c>
    </row>
    <row r="10" spans="1:8" s="1079" customFormat="1" ht="14.25" thickTop="1" thickBot="1" x14ac:dyDescent="0.25">
      <c r="A10" s="1080" t="s">
        <v>1437</v>
      </c>
      <c r="B10" s="1839">
        <f>(B8-B9)</f>
        <v>702165</v>
      </c>
      <c r="C10" s="1839">
        <f>(C8-C9)</f>
        <v>169611</v>
      </c>
      <c r="D10" s="1839">
        <f>(D8-D9)</f>
        <v>-46947</v>
      </c>
      <c r="E10" s="1838">
        <f>(E8-E9)</f>
        <v>36389</v>
      </c>
      <c r="F10" s="1840">
        <f>SUM(F8-F9)</f>
        <v>861218</v>
      </c>
    </row>
    <row r="11" spans="1:8" s="1079" customFormat="1" ht="14.25" thickTop="1" thickBot="1" x14ac:dyDescent="0.25">
      <c r="A11" s="1081" t="s">
        <v>1785</v>
      </c>
      <c r="B11" s="1841">
        <f>'Acct Summary 7-8'!C81</f>
        <v>1930102</v>
      </c>
      <c r="C11" s="1841">
        <f>'Acct Summary 7-8'!D81</f>
        <v>2257439</v>
      </c>
      <c r="D11" s="1841">
        <f>'Acct Summary 7-8'!F81</f>
        <v>857241</v>
      </c>
      <c r="E11" s="1841">
        <f>'Acct Summary 7-8'!I81</f>
        <v>0</v>
      </c>
      <c r="F11" s="1842">
        <f>SUM(B11:E11)</f>
        <v>5044782</v>
      </c>
    </row>
    <row r="12" spans="1:8" ht="16.5" customHeight="1" thickTop="1" x14ac:dyDescent="0.2">
      <c r="A12" s="1082"/>
      <c r="B12" s="1083"/>
      <c r="C12" s="2374" t="str">
        <f>IF(AND(F10&lt;0,F11&gt;=0,ABS(F10*3)&gt;ABS(F11)),A16,IF(AND(F10&lt;0,F11&gt;0,ABS(F10*3)&lt;=ABS(F11)),A17,IF(AND(F10&lt;0,F11&lt;0),A16,IF(F11=0,A19,A18))))</f>
        <v>Balanced - no deficit reduction plan is required.</v>
      </c>
      <c r="D12" s="2375"/>
      <c r="E12" s="2375"/>
      <c r="F12" s="2376"/>
    </row>
    <row r="13" spans="1:8" ht="19.5" customHeight="1" x14ac:dyDescent="0.2">
      <c r="A13" s="1084"/>
      <c r="B13" s="1085"/>
      <c r="C13" s="2374"/>
      <c r="D13" s="2375"/>
      <c r="E13" s="2375"/>
      <c r="F13" s="2376"/>
      <c r="H13" s="1074"/>
    </row>
    <row r="14" spans="1:8" ht="19.5" customHeight="1" x14ac:dyDescent="0.2">
      <c r="A14" s="1084"/>
      <c r="B14" s="1085"/>
      <c r="C14" s="2374"/>
      <c r="D14" s="2375"/>
      <c r="E14" s="2375"/>
      <c r="F14" s="2376"/>
      <c r="H14" s="1074"/>
    </row>
    <row r="15" spans="1:8" ht="17.25" customHeight="1" x14ac:dyDescent="0.2">
      <c r="A15" s="1084"/>
      <c r="B15" s="1085"/>
      <c r="C15" s="2377"/>
      <c r="D15" s="2378"/>
      <c r="E15" s="2378"/>
      <c r="F15" s="2379"/>
      <c r="H15" s="1074"/>
    </row>
    <row r="16" spans="1:8" s="310" customFormat="1" ht="51.75" hidden="1" customHeight="1" x14ac:dyDescent="0.2">
      <c r="A16" s="2373" t="s">
        <v>1787</v>
      </c>
      <c r="B16" s="2373"/>
      <c r="C16" s="2373"/>
      <c r="D16" s="2373"/>
      <c r="E16" s="2373"/>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95" t="s">
        <v>686</v>
      </c>
      <c r="B3" s="2396"/>
      <c r="C3" s="2396"/>
      <c r="D3" s="2397"/>
    </row>
    <row r="4" spans="1:4" x14ac:dyDescent="0.2">
      <c r="A4" s="1152" t="s">
        <v>1793</v>
      </c>
      <c r="B4" s="1153"/>
      <c r="C4" s="1154"/>
      <c r="D4" s="1155"/>
    </row>
    <row r="5" spans="1:4" ht="21" customHeight="1" x14ac:dyDescent="0.2">
      <c r="A5" s="1148"/>
      <c r="B5" s="1149">
        <v>1</v>
      </c>
      <c r="C5" s="1150" t="s">
        <v>1945</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06" t="s">
        <v>1584</v>
      </c>
      <c r="D7" s="2407"/>
    </row>
    <row r="8" spans="1:4" s="669" customFormat="1" ht="12.75" x14ac:dyDescent="0.2">
      <c r="A8" s="1138"/>
      <c r="B8" s="1093"/>
      <c r="C8" s="1096" t="s">
        <v>1583</v>
      </c>
      <c r="D8" s="1097"/>
    </row>
    <row r="9" spans="1:4" s="669" customFormat="1" ht="14.25" customHeight="1" x14ac:dyDescent="0.2">
      <c r="A9" s="1138"/>
      <c r="B9" s="1093">
        <f>B7+1</f>
        <v>4</v>
      </c>
      <c r="C9" s="1094" t="s">
        <v>2048</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98" t="s">
        <v>1065</v>
      </c>
      <c r="B15" s="2399"/>
      <c r="C15" s="2399"/>
      <c r="D15" s="2400"/>
    </row>
    <row r="16" spans="1:4" s="669" customFormat="1" ht="24" customHeight="1" x14ac:dyDescent="0.2">
      <c r="A16" s="2401" t="s">
        <v>684</v>
      </c>
      <c r="B16" s="2402"/>
      <c r="C16" s="2402"/>
      <c r="D16" s="2403"/>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10" t="s">
        <v>332</v>
      </c>
      <c r="D21" s="2411"/>
    </row>
    <row r="22" spans="1:10" ht="12.75" x14ac:dyDescent="0.2">
      <c r="A22" s="1139"/>
      <c r="B22" s="1140">
        <v>2</v>
      </c>
      <c r="C22" s="2408" t="s">
        <v>1605</v>
      </c>
      <c r="D22" s="2409"/>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12" t="s">
        <v>557</v>
      </c>
      <c r="D43" s="2413"/>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04" t="s">
        <v>817</v>
      </c>
      <c r="D56" s="2405"/>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2049</v>
      </c>
      <c r="D66" s="1125"/>
    </row>
    <row r="67" spans="1:4" x14ac:dyDescent="0.2">
      <c r="A67" s="1119"/>
      <c r="B67" s="1140"/>
      <c r="C67" s="1147" t="s">
        <v>1079</v>
      </c>
      <c r="D67" s="1125"/>
    </row>
    <row r="68" spans="1:4" x14ac:dyDescent="0.2">
      <c r="A68" s="1100"/>
      <c r="B68" s="1110"/>
      <c r="C68" s="1102" t="s">
        <v>2050</v>
      </c>
      <c r="D68" s="1124" t="str">
        <f>IF('Short-Term Long-Term Debt 24'!F49=SUM(,'Acct Summary 7-8'!C33:K33),"OK","ERROR!")</f>
        <v>OK</v>
      </c>
    </row>
    <row r="69" spans="1:4" x14ac:dyDescent="0.2">
      <c r="A69" s="1100"/>
      <c r="B69" s="1110"/>
      <c r="C69" s="1102" t="s">
        <v>2051</v>
      </c>
      <c r="D69" s="1124" t="str">
        <f>IF('Expenditures 15-22'!H170&lt;&gt;'Short-Term Long-Term Debt 24'!H49,"ERROR!","OK")</f>
        <v>OK</v>
      </c>
    </row>
    <row r="70" spans="1:4" x14ac:dyDescent="0.2">
      <c r="A70" s="1098"/>
      <c r="B70" s="1120">
        <f>B66+1</f>
        <v>9</v>
      </c>
      <c r="C70" s="2404" t="s">
        <v>1797</v>
      </c>
      <c r="D70" s="2405"/>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2052</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2053</v>
      </c>
      <c r="D78" s="1124" t="str">
        <f>IF(ISNUMBER('Acct Summary 7-8'!C9),"OK","ENTRY IS REQUIRED!")</f>
        <v>OK</v>
      </c>
    </row>
    <row r="79" spans="1:4" x14ac:dyDescent="0.2">
      <c r="A79" s="1119"/>
      <c r="B79" s="1120">
        <f>B74+1+1</f>
        <v>12</v>
      </c>
      <c r="C79" s="1130" t="s">
        <v>2018</v>
      </c>
      <c r="D79" s="1131" t="str">
        <f>IF(OR(COVER!$B$6="X",'PCTC-OEPP 27-28'!F78&gt;0),"OK","PLEASE ENTER 9 MO ADA.")</f>
        <v>OK</v>
      </c>
    </row>
    <row r="80" spans="1:4" x14ac:dyDescent="0.2">
      <c r="A80" s="1098"/>
      <c r="B80" s="1120">
        <v>13</v>
      </c>
      <c r="C80" s="1130" t="s">
        <v>2054</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11023095025</v>
      </c>
    </row>
    <row r="3" spans="1:2" x14ac:dyDescent="0.2">
      <c r="A3" t="s">
        <v>1013</v>
      </c>
      <c r="B3" s="138" t="str">
        <f>COVER!A15</f>
        <v>Edgar</v>
      </c>
    </row>
    <row r="4" spans="1:2" x14ac:dyDescent="0.2">
      <c r="A4" t="s">
        <v>1064</v>
      </c>
      <c r="B4" s="138" t="str">
        <f>COVER!A17</f>
        <v>Paris-Union SD 95</v>
      </c>
    </row>
    <row r="5" spans="1:2" x14ac:dyDescent="0.2">
      <c r="A5" t="s">
        <v>728</v>
      </c>
      <c r="B5" s="138" t="str">
        <f>COVER!A38</f>
        <v>Jeremy Larson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006-003072</v>
      </c>
    </row>
    <row r="16" spans="1:2" x14ac:dyDescent="0.2">
      <c r="A16" t="s">
        <v>442</v>
      </c>
      <c r="B16" s="138" t="str">
        <f>COVER!T13</f>
        <v>Larsson, Woodyard &amp; Henson, LLP</v>
      </c>
    </row>
    <row r="17" spans="1:2" x14ac:dyDescent="0.2">
      <c r="A17" t="s">
        <v>939</v>
      </c>
      <c r="B17" s="138" t="str">
        <f>COVER!T15</f>
        <v xml:space="preserve">Curtis O. Root, CPA </v>
      </c>
    </row>
    <row r="18" spans="1:2" x14ac:dyDescent="0.2">
      <c r="A18" t="s">
        <v>1212</v>
      </c>
      <c r="B18" s="138" t="str">
        <f>COVER!T17</f>
        <v>129 W. Sale Street; P.O. Box 407</v>
      </c>
    </row>
    <row r="19" spans="1:2" x14ac:dyDescent="0.2">
      <c r="A19" t="s">
        <v>941</v>
      </c>
      <c r="B19" s="138" t="str">
        <f>COVER!T25</f>
        <v>CROOT@LWHCPA.COM</v>
      </c>
    </row>
    <row r="20" spans="1:2" x14ac:dyDescent="0.2">
      <c r="A20" t="s">
        <v>942</v>
      </c>
      <c r="B20" s="138" t="str">
        <f>COVER!T19</f>
        <v>Tuscola</v>
      </c>
    </row>
    <row r="21" spans="1:2" x14ac:dyDescent="0.2">
      <c r="A21" t="s">
        <v>500</v>
      </c>
      <c r="B21" s="138" t="str">
        <f>COVER!X19</f>
        <v>IL</v>
      </c>
    </row>
    <row r="22" spans="1:2" x14ac:dyDescent="0.2">
      <c r="A22" t="s">
        <v>943</v>
      </c>
      <c r="B22" s="138">
        <f>COVER!Z19</f>
        <v>61953</v>
      </c>
    </row>
    <row r="23" spans="1:2" x14ac:dyDescent="0.2">
      <c r="A23" t="s">
        <v>1214</v>
      </c>
      <c r="B23" s="138" t="str">
        <f>COVER!T21</f>
        <v>217-253-5146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578705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1965558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35456</v>
      </c>
      <c r="C91" s="2" t="s">
        <v>594</v>
      </c>
      <c r="D91" s="2" t="str">
        <f t="shared" si="0"/>
        <v>Error?</v>
      </c>
    </row>
    <row r="92" spans="1:4" x14ac:dyDescent="0.2">
      <c r="A92" s="5">
        <v>31</v>
      </c>
      <c r="B92" s="138">
        <f>'Assets-Liab 5-6'!C39</f>
        <v>1930102</v>
      </c>
      <c r="D92" s="2" t="str">
        <f t="shared" si="0"/>
        <v>Error?</v>
      </c>
    </row>
    <row r="93" spans="1:4" x14ac:dyDescent="0.2">
      <c r="A93" s="5">
        <v>32</v>
      </c>
      <c r="B93" s="138">
        <f>'Assets-Liab 5-6'!C41</f>
        <v>1965558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2257439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2257439</v>
      </c>
      <c r="D123" s="2" t="str">
        <f t="shared" si="0"/>
        <v>Error?</v>
      </c>
    </row>
    <row r="124" spans="1:4" x14ac:dyDescent="0.2">
      <c r="A124" s="5">
        <v>63</v>
      </c>
      <c r="B124" s="138">
        <f>'Assets-Liab 5-6'!D41</f>
        <v>2257439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11325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11325</v>
      </c>
      <c r="D140" s="2" t="str">
        <f t="shared" si="1"/>
        <v>Error?</v>
      </c>
    </row>
    <row r="141" spans="1:4" x14ac:dyDescent="0.2">
      <c r="A141" s="5">
        <v>80</v>
      </c>
      <c r="B141" s="138">
        <f>'Assets-Liab 5-6'!E41</f>
        <v>11325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857241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857241</v>
      </c>
      <c r="D170" s="2" t="str">
        <f t="shared" si="1"/>
        <v>Error?</v>
      </c>
    </row>
    <row r="171" spans="1:4" x14ac:dyDescent="0.2">
      <c r="A171" s="5">
        <v>110</v>
      </c>
      <c r="B171" s="138">
        <f>'Assets-Liab 5-6'!F41</f>
        <v>857241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40000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354106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185256</v>
      </c>
      <c r="D189" s="2" t="str">
        <f t="shared" si="1"/>
        <v>Error?</v>
      </c>
    </row>
    <row r="190" spans="1:4" x14ac:dyDescent="0.2">
      <c r="A190" s="5">
        <v>129</v>
      </c>
      <c r="B190" s="138">
        <f>'Assets-Liab 5-6'!G41</f>
        <v>354106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229344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229344</v>
      </c>
      <c r="D212" s="2" t="str">
        <f t="shared" si="2"/>
        <v>Error?</v>
      </c>
    </row>
    <row r="213" spans="1:4" x14ac:dyDescent="0.2">
      <c r="A213" s="12">
        <v>152</v>
      </c>
      <c r="B213" s="138">
        <f>'Assets-Liab 5-6'!H41</f>
        <v>229344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625797</v>
      </c>
      <c r="D273" s="2" t="str">
        <f t="shared" si="3"/>
        <v>Error?</v>
      </c>
    </row>
    <row r="274" spans="1:4" x14ac:dyDescent="0.2">
      <c r="A274" s="5">
        <v>213</v>
      </c>
      <c r="B274" s="138">
        <f>'Assets-Liab 5-6'!M17</f>
        <v>15269798</v>
      </c>
      <c r="D274" s="2" t="str">
        <f t="shared" si="3"/>
        <v>Error?</v>
      </c>
    </row>
    <row r="275" spans="1:4" x14ac:dyDescent="0.2">
      <c r="A275" s="5">
        <v>214</v>
      </c>
      <c r="B275" s="138">
        <f>'Assets-Liab 5-6'!M18</f>
        <v>160089</v>
      </c>
      <c r="D275" s="2" t="str">
        <f t="shared" si="3"/>
        <v>Error?</v>
      </c>
    </row>
    <row r="276" spans="1:4" x14ac:dyDescent="0.2">
      <c r="A276" s="5">
        <v>215</v>
      </c>
      <c r="B276" s="138">
        <f>'Assets-Liab 5-6'!M19</f>
        <v>396406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16452090</v>
      </c>
      <c r="C279" s="2" t="s">
        <v>594</v>
      </c>
      <c r="D279" s="2" t="str">
        <f t="shared" si="3"/>
        <v>Error?</v>
      </c>
    </row>
    <row r="280" spans="1:4" x14ac:dyDescent="0.2">
      <c r="A280" s="5">
        <v>219</v>
      </c>
      <c r="B280" s="138">
        <f>'Assets-Liab 5-6'!M40</f>
        <v>16452090</v>
      </c>
      <c r="D280" s="2" t="str">
        <f t="shared" si="3"/>
        <v>Error?</v>
      </c>
    </row>
    <row r="281" spans="1:4" x14ac:dyDescent="0.2">
      <c r="A281" s="5">
        <v>220</v>
      </c>
      <c r="B281" s="138">
        <f>'Assets-Liab 5-6'!M41</f>
        <v>16452090</v>
      </c>
      <c r="C281" s="2" t="s">
        <v>594</v>
      </c>
      <c r="D281" s="2" t="str">
        <f t="shared" si="3"/>
        <v>Error?</v>
      </c>
    </row>
    <row r="282" spans="1:4" x14ac:dyDescent="0.2">
      <c r="A282" s="5">
        <v>221</v>
      </c>
      <c r="B282" s="138">
        <f>'Assets-Liab 5-6'!N21</f>
        <v>11325</v>
      </c>
      <c r="D282" s="2" t="str">
        <f t="shared" si="3"/>
        <v>Error?</v>
      </c>
    </row>
    <row r="283" spans="1:4" x14ac:dyDescent="0.2">
      <c r="A283" s="5">
        <v>222</v>
      </c>
      <c r="B283" s="138">
        <f>'Assets-Liab 5-6'!N22</f>
        <v>7418074</v>
      </c>
      <c r="D283" s="2" t="str">
        <f t="shared" si="3"/>
        <v>Error?</v>
      </c>
    </row>
    <row r="284" spans="1:4" x14ac:dyDescent="0.2">
      <c r="A284" s="5">
        <v>223</v>
      </c>
      <c r="B284" s="138">
        <f>'Assets-Liab 5-6'!N23</f>
        <v>7429399</v>
      </c>
      <c r="C284" s="2" t="s">
        <v>594</v>
      </c>
      <c r="D284" s="2" t="str">
        <f t="shared" si="3"/>
        <v>Error?</v>
      </c>
    </row>
    <row r="285" spans="1:4" x14ac:dyDescent="0.2">
      <c r="A285" s="5">
        <v>224</v>
      </c>
      <c r="B285" s="138">
        <f>'Assets-Liab 5-6'!N36</f>
        <v>7429399</v>
      </c>
      <c r="D285" s="2" t="str">
        <f t="shared" si="3"/>
        <v>Error?</v>
      </c>
    </row>
    <row r="286" spans="1:4" x14ac:dyDescent="0.2">
      <c r="A286" s="10">
        <v>225</v>
      </c>
      <c r="D286" s="2" t="str">
        <f t="shared" si="3"/>
        <v>OK</v>
      </c>
    </row>
    <row r="287" spans="1:4" x14ac:dyDescent="0.2">
      <c r="A287" s="5">
        <v>226</v>
      </c>
      <c r="B287" s="138">
        <f>'Assets-Liab 5-6'!N37</f>
        <v>7429399</v>
      </c>
      <c r="C287" s="2" t="s">
        <v>594</v>
      </c>
      <c r="D287" s="2" t="str">
        <f t="shared" si="3"/>
        <v>Error?</v>
      </c>
    </row>
    <row r="288" spans="1:4" x14ac:dyDescent="0.2">
      <c r="A288" s="5">
        <v>227</v>
      </c>
      <c r="B288" s="138">
        <f>'Assets-Liab 5-6'!N41</f>
        <v>7429399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2556239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35006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3891188</v>
      </c>
      <c r="C720" s="2" t="s">
        <v>594</v>
      </c>
      <c r="D720" s="2" t="str">
        <f t="shared" si="10"/>
        <v>Error?</v>
      </c>
    </row>
    <row r="721" spans="1:4" x14ac:dyDescent="0.2">
      <c r="A721" s="5">
        <v>660</v>
      </c>
      <c r="B721" s="138">
        <f>'Expenditures 15-22'!C36</f>
        <v>64976</v>
      </c>
      <c r="D721" s="2" t="str">
        <f t="shared" si="10"/>
        <v>Error?</v>
      </c>
    </row>
    <row r="722" spans="1:4" x14ac:dyDescent="0.2">
      <c r="A722" s="5">
        <v>661</v>
      </c>
      <c r="B722" s="138">
        <f>'Expenditures 15-22'!C37</f>
        <v>57894</v>
      </c>
      <c r="D722" s="2" t="str">
        <f t="shared" si="10"/>
        <v>Error?</v>
      </c>
    </row>
    <row r="723" spans="1:4" x14ac:dyDescent="0.2">
      <c r="A723" s="5">
        <v>662</v>
      </c>
      <c r="B723" s="138">
        <f>'Expenditures 15-22'!C38</f>
        <v>54445</v>
      </c>
      <c r="D723" s="2" t="str">
        <f t="shared" si="10"/>
        <v>Error?</v>
      </c>
    </row>
    <row r="724" spans="1:4" x14ac:dyDescent="0.2">
      <c r="A724" s="5">
        <v>663</v>
      </c>
      <c r="B724" s="138">
        <f>'Expenditures 15-22'!C39</f>
        <v>89110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266425</v>
      </c>
      <c r="C727" s="2" t="s">
        <v>594</v>
      </c>
      <c r="D727" s="2" t="str">
        <f t="shared" si="10"/>
        <v>Error?</v>
      </c>
    </row>
    <row r="728" spans="1:4" x14ac:dyDescent="0.2">
      <c r="A728" s="5">
        <v>667</v>
      </c>
      <c r="B728" s="138">
        <f>'Expenditures 15-22'!C44</f>
        <v>112116</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112116</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57356</v>
      </c>
      <c r="D733" s="2" t="str">
        <f t="shared" si="10"/>
        <v>Error?</v>
      </c>
    </row>
    <row r="734" spans="1:4" x14ac:dyDescent="0.2">
      <c r="A734" s="5">
        <v>673</v>
      </c>
      <c r="B734" s="138">
        <f>'Expenditures 15-22'!C53</f>
        <v>57356</v>
      </c>
      <c r="C734" s="2" t="s">
        <v>594</v>
      </c>
      <c r="D734" s="2" t="str">
        <f t="shared" si="10"/>
        <v>Error?</v>
      </c>
    </row>
    <row r="735" spans="1:4" x14ac:dyDescent="0.2">
      <c r="A735" s="5">
        <v>674</v>
      </c>
      <c r="B735" s="138">
        <f>'Expenditures 15-22'!C55</f>
        <v>342243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342243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110061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118980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229041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1007181</v>
      </c>
      <c r="C755" s="2" t="s">
        <v>594</v>
      </c>
      <c r="D755" s="2" t="str">
        <f t="shared" si="10"/>
        <v>Error?</v>
      </c>
    </row>
    <row r="756" spans="1:4" x14ac:dyDescent="0.2">
      <c r="A756" s="5">
        <v>695</v>
      </c>
      <c r="B756" s="138">
        <f>'Expenditures 15-22'!C75</f>
        <v>62048</v>
      </c>
      <c r="D756" s="2" t="str">
        <f t="shared" si="10"/>
        <v>Error?</v>
      </c>
    </row>
    <row r="757" spans="1:4" x14ac:dyDescent="0.2">
      <c r="A757" s="5">
        <v>696</v>
      </c>
      <c r="B757" s="138">
        <f>'Expenditures 15-22'!C114</f>
        <v>4960417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575111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3468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870773</v>
      </c>
      <c r="C778" s="2" t="s">
        <v>594</v>
      </c>
      <c r="D778" s="2" t="str">
        <f t="shared" si="11"/>
        <v>Error?</v>
      </c>
    </row>
    <row r="779" spans="1:4" x14ac:dyDescent="0.2">
      <c r="A779" s="5">
        <v>718</v>
      </c>
      <c r="B779" s="138">
        <f>'Expenditures 15-22'!D36</f>
        <v>13066</v>
      </c>
      <c r="D779" s="2" t="str">
        <f t="shared" si="11"/>
        <v>Error?</v>
      </c>
    </row>
    <row r="780" spans="1:4" x14ac:dyDescent="0.2">
      <c r="A780" s="5">
        <v>719</v>
      </c>
      <c r="B780" s="138">
        <f>'Expenditures 15-22'!D37</f>
        <v>11672</v>
      </c>
      <c r="D780" s="2" t="str">
        <f t="shared" si="11"/>
        <v>Error?</v>
      </c>
    </row>
    <row r="781" spans="1:4" x14ac:dyDescent="0.2">
      <c r="A781" s="5">
        <v>720</v>
      </c>
      <c r="B781" s="138">
        <f>'Expenditures 15-22'!D38</f>
        <v>12406</v>
      </c>
      <c r="D781" s="2" t="str">
        <f t="shared" si="11"/>
        <v>Error?</v>
      </c>
    </row>
    <row r="782" spans="1:4" x14ac:dyDescent="0.2">
      <c r="A782" s="5">
        <v>721</v>
      </c>
      <c r="B782" s="138">
        <f>'Expenditures 15-22'!D39</f>
        <v>22939</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60083</v>
      </c>
      <c r="C785" s="2" t="s">
        <v>594</v>
      </c>
      <c r="D785" s="2" t="str">
        <f t="shared" si="11"/>
        <v>Error?</v>
      </c>
    </row>
    <row r="786" spans="1:4" x14ac:dyDescent="0.2">
      <c r="A786" s="5">
        <v>725</v>
      </c>
      <c r="B786" s="138">
        <f>'Expenditures 15-22'!D44</f>
        <v>16308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16308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4715</v>
      </c>
      <c r="D791" s="2" t="str">
        <f t="shared" si="11"/>
        <v>Error?</v>
      </c>
    </row>
    <row r="792" spans="1:4" x14ac:dyDescent="0.2">
      <c r="A792" s="5">
        <v>731</v>
      </c>
      <c r="B792" s="138">
        <f>'Expenditures 15-22'!D53</f>
        <v>4715</v>
      </c>
      <c r="C792" s="2" t="s">
        <v>594</v>
      </c>
      <c r="D792" s="2" t="str">
        <f t="shared" si="11"/>
        <v>Error?</v>
      </c>
    </row>
    <row r="793" spans="1:4" x14ac:dyDescent="0.2">
      <c r="A793" s="5">
        <v>732</v>
      </c>
      <c r="B793" s="138">
        <f>'Expenditures 15-22'!D55</f>
        <v>68050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68050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22079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22111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171267</v>
      </c>
      <c r="C813" s="2" t="s">
        <v>594</v>
      </c>
      <c r="D813" s="2" t="str">
        <f t="shared" si="11"/>
        <v>Error?</v>
      </c>
    </row>
    <row r="814" spans="1:4" x14ac:dyDescent="0.2">
      <c r="A814" s="5">
        <v>753</v>
      </c>
      <c r="B814" s="138">
        <f>'Expenditures 15-22'!D75</f>
        <v>6201</v>
      </c>
      <c r="D814" s="2" t="str">
        <f t="shared" si="11"/>
        <v>Error?</v>
      </c>
    </row>
    <row r="815" spans="1:4" x14ac:dyDescent="0.2">
      <c r="A815" s="5">
        <v>754</v>
      </c>
      <c r="B815" s="138">
        <f>'Expenditures 15-22'!D114</f>
        <v>1048241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1975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7044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43352</v>
      </c>
      <c r="C836" s="2" t="s">
        <v>594</v>
      </c>
      <c r="D836" s="2" t="str">
        <f t="shared" si="12"/>
        <v>Error?</v>
      </c>
    </row>
    <row r="837" spans="1:4" x14ac:dyDescent="0.2">
      <c r="A837" s="5">
        <v>776</v>
      </c>
      <c r="B837" s="138">
        <f>'Expenditures 15-22'!E36</f>
        <v>164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4460</v>
      </c>
      <c r="D839" s="2" t="str">
        <f t="shared" si="12"/>
        <v>Error?</v>
      </c>
    </row>
    <row r="840" spans="1:4" x14ac:dyDescent="0.2">
      <c r="A840" s="5">
        <v>779</v>
      </c>
      <c r="B840" s="138">
        <f>'Expenditures 15-22'!E39</f>
        <v>1730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6354</v>
      </c>
      <c r="C843" s="2" t="s">
        <v>594</v>
      </c>
      <c r="D843" s="2" t="str">
        <f t="shared" si="12"/>
        <v>Error?</v>
      </c>
    </row>
    <row r="844" spans="1:4" x14ac:dyDescent="0.2">
      <c r="A844" s="5">
        <v>783</v>
      </c>
      <c r="B844" s="138">
        <f>'Expenditures 15-22'!E44</f>
        <v>35865</v>
      </c>
      <c r="D844" s="2" t="str">
        <f t="shared" si="12"/>
        <v>Error?</v>
      </c>
    </row>
    <row r="845" spans="1:4" x14ac:dyDescent="0.2">
      <c r="A845" s="5">
        <v>784</v>
      </c>
      <c r="B845" s="138">
        <f>'Expenditures 15-22'!E45</f>
        <v>14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35879</v>
      </c>
      <c r="C847" s="2" t="s">
        <v>594</v>
      </c>
      <c r="D847" s="2" t="str">
        <f t="shared" si="12"/>
        <v>Error?</v>
      </c>
    </row>
    <row r="848" spans="1:4" x14ac:dyDescent="0.2">
      <c r="A848" s="5">
        <v>787</v>
      </c>
      <c r="B848" s="138">
        <f>'Expenditures 15-22'!E49</f>
        <v>89251</v>
      </c>
      <c r="D848" s="2" t="str">
        <f t="shared" si="12"/>
        <v>Error?</v>
      </c>
    </row>
    <row r="849" spans="1:4" x14ac:dyDescent="0.2">
      <c r="A849" s="5">
        <v>788</v>
      </c>
      <c r="B849" s="138">
        <f>'Expenditures 15-22'!E50</f>
        <v>3758</v>
      </c>
      <c r="D849" s="2" t="str">
        <f t="shared" si="12"/>
        <v>Error?</v>
      </c>
    </row>
    <row r="850" spans="1:4" x14ac:dyDescent="0.2">
      <c r="A850" s="5">
        <v>789</v>
      </c>
      <c r="B850" s="138">
        <f>'Expenditures 15-22'!E53</f>
        <v>93516</v>
      </c>
      <c r="C850" s="2" t="s">
        <v>594</v>
      </c>
      <c r="D850" s="2" t="str">
        <f t="shared" si="12"/>
        <v>Error?</v>
      </c>
    </row>
    <row r="851" spans="1:4" x14ac:dyDescent="0.2">
      <c r="A851" s="5">
        <v>790</v>
      </c>
      <c r="B851" s="138">
        <f>'Expenditures 15-22'!E55</f>
        <v>40491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40491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7263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25856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33119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21226</v>
      </c>
      <c r="D867" s="2" t="str">
        <f t="shared" si="12"/>
        <v>Error?</v>
      </c>
    </row>
    <row r="868" spans="1:4" x14ac:dyDescent="0.2">
      <c r="A868" s="10">
        <v>807</v>
      </c>
      <c r="D868" s="2" t="str">
        <f t="shared" si="12"/>
        <v>OK</v>
      </c>
    </row>
    <row r="869" spans="1:4" x14ac:dyDescent="0.2">
      <c r="A869" s="5">
        <v>808</v>
      </c>
      <c r="B869" s="138">
        <f>'Expenditures 15-22'!E72</f>
        <v>21226</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230585</v>
      </c>
      <c r="C871" s="2" t="s">
        <v>594</v>
      </c>
      <c r="D871" s="2" t="str">
        <f t="shared" si="12"/>
        <v>Error?</v>
      </c>
    </row>
    <row r="872" spans="1:4" x14ac:dyDescent="0.2">
      <c r="A872" s="5">
        <v>811</v>
      </c>
      <c r="B872" s="138">
        <f>'Expenditures 15-22'!E75</f>
        <v>19953</v>
      </c>
      <c r="D872" s="2" t="str">
        <f t="shared" si="12"/>
        <v>Error?</v>
      </c>
    </row>
    <row r="873" spans="1:4" x14ac:dyDescent="0.2">
      <c r="A873" s="5">
        <v>812</v>
      </c>
      <c r="B873" s="138">
        <f>'Expenditures 15-22'!E114</f>
        <v>2466198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224719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13526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360473</v>
      </c>
      <c r="C894" s="2" t="s">
        <v>594</v>
      </c>
      <c r="D894" s="2" t="str">
        <f t="shared" si="12"/>
        <v>Error?</v>
      </c>
    </row>
    <row r="895" spans="1:4" x14ac:dyDescent="0.2">
      <c r="A895" s="5">
        <v>834</v>
      </c>
      <c r="B895" s="138">
        <f>'Expenditures 15-22'!F36</f>
        <v>201</v>
      </c>
      <c r="D895" s="2" t="str">
        <f t="shared" ref="D895:D958" si="13">IF(ISBLANK(B895),"OK",IF(A895-B895=0,"OK","Error?"))</f>
        <v>Error?</v>
      </c>
    </row>
    <row r="896" spans="1:4" x14ac:dyDescent="0.2">
      <c r="A896" s="5">
        <v>835</v>
      </c>
      <c r="B896" s="138">
        <f>'Expenditures 15-22'!F37</f>
        <v>209</v>
      </c>
      <c r="D896" s="2" t="str">
        <f t="shared" si="13"/>
        <v>Error?</v>
      </c>
    </row>
    <row r="897" spans="1:4" x14ac:dyDescent="0.2">
      <c r="A897" s="5">
        <v>836</v>
      </c>
      <c r="B897" s="138">
        <f>'Expenditures 15-22'!F38</f>
        <v>1979</v>
      </c>
      <c r="D897" s="2" t="str">
        <f t="shared" si="13"/>
        <v>Error?</v>
      </c>
    </row>
    <row r="898" spans="1:4" x14ac:dyDescent="0.2">
      <c r="A898" s="5">
        <v>837</v>
      </c>
      <c r="B898" s="138">
        <f>'Expenditures 15-22'!F39</f>
        <v>3365</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5754</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1541</v>
      </c>
      <c r="D903" s="2" t="str">
        <f t="shared" si="13"/>
        <v>Error?</v>
      </c>
    </row>
    <row r="904" spans="1:4" x14ac:dyDescent="0.2">
      <c r="A904" s="5">
        <v>843</v>
      </c>
      <c r="B904" s="138">
        <f>'Expenditures 15-22'!F46</f>
        <v>25177</v>
      </c>
      <c r="D904" s="2" t="str">
        <f t="shared" si="13"/>
        <v>Error?</v>
      </c>
    </row>
    <row r="905" spans="1:4" x14ac:dyDescent="0.2">
      <c r="A905" s="5">
        <v>844</v>
      </c>
      <c r="B905" s="138">
        <f>'Expenditures 15-22'!F47</f>
        <v>26718</v>
      </c>
      <c r="C905" s="2" t="s">
        <v>594</v>
      </c>
      <c r="D905" s="2" t="str">
        <f t="shared" si="13"/>
        <v>Error?</v>
      </c>
    </row>
    <row r="906" spans="1:4" x14ac:dyDescent="0.2">
      <c r="A906" s="5">
        <v>845</v>
      </c>
      <c r="B906" s="138">
        <f>'Expenditures 15-22'!F49</f>
        <v>51</v>
      </c>
      <c r="D906" s="2" t="str">
        <f t="shared" si="13"/>
        <v>Error?</v>
      </c>
    </row>
    <row r="907" spans="1:4" x14ac:dyDescent="0.2">
      <c r="A907" s="5">
        <v>846</v>
      </c>
      <c r="B907" s="138">
        <f>'Expenditures 15-22'!F50</f>
        <v>1127</v>
      </c>
      <c r="D907" s="2" t="str">
        <f t="shared" si="13"/>
        <v>Error?</v>
      </c>
    </row>
    <row r="908" spans="1:4" x14ac:dyDescent="0.2">
      <c r="A908" s="5">
        <v>847</v>
      </c>
      <c r="B908" s="138">
        <f>'Expenditures 15-22'!F53</f>
        <v>1745</v>
      </c>
      <c r="C908" s="2" t="s">
        <v>594</v>
      </c>
      <c r="D908" s="2" t="str">
        <f t="shared" si="13"/>
        <v>Error?</v>
      </c>
    </row>
    <row r="909" spans="1:4" x14ac:dyDescent="0.2">
      <c r="A909" s="5">
        <v>848</v>
      </c>
      <c r="B909" s="138">
        <f>'Expenditures 15-22'!F55</f>
        <v>27358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27358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194990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195134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7417</v>
      </c>
      <c r="D925" s="2" t="str">
        <f t="shared" si="13"/>
        <v>Error?</v>
      </c>
    </row>
    <row r="926" spans="1:4" x14ac:dyDescent="0.2">
      <c r="A926" s="10">
        <v>865</v>
      </c>
      <c r="D926" s="2" t="str">
        <f t="shared" si="13"/>
        <v>OK</v>
      </c>
    </row>
    <row r="927" spans="1:4" x14ac:dyDescent="0.2">
      <c r="A927" s="5">
        <v>866</v>
      </c>
      <c r="B927" s="138">
        <f>'Expenditures 15-22'!F72</f>
        <v>7417</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264126</v>
      </c>
      <c r="C929" s="2" t="s">
        <v>594</v>
      </c>
      <c r="D929" s="2" t="str">
        <f t="shared" si="13"/>
        <v>Error?</v>
      </c>
    </row>
    <row r="930" spans="1:4" x14ac:dyDescent="0.2">
      <c r="A930" s="5">
        <v>869</v>
      </c>
      <c r="B930" s="138">
        <f>'Expenditures 15-22'!F75</f>
        <v>20585</v>
      </c>
      <c r="D930" s="2" t="str">
        <f t="shared" si="13"/>
        <v>Error?</v>
      </c>
    </row>
    <row r="931" spans="1:4" x14ac:dyDescent="0.2">
      <c r="A931" s="5">
        <v>870</v>
      </c>
      <c r="B931" s="138">
        <f>'Expenditures 15-22'!F114</f>
        <v>645184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17023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1854</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1854</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6121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6121</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434</v>
      </c>
      <c r="D965" s="2" t="str">
        <f t="shared" si="14"/>
        <v>Error?</v>
      </c>
    </row>
    <row r="966" spans="1:4" x14ac:dyDescent="0.2">
      <c r="A966" s="5">
        <v>905</v>
      </c>
      <c r="B966" s="138">
        <f>'Expenditures 15-22'!G53</f>
        <v>434</v>
      </c>
      <c r="C966" s="2" t="s">
        <v>594</v>
      </c>
      <c r="D966" s="2" t="str">
        <f t="shared" si="14"/>
        <v>Error?</v>
      </c>
    </row>
    <row r="967" spans="1:4" x14ac:dyDescent="0.2">
      <c r="A967" s="5">
        <v>906</v>
      </c>
      <c r="B967" s="138">
        <f>'Expenditures 15-22'!G55</f>
        <v>1774</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1774</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4935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4935</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15118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32141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1139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1035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2174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8693</v>
      </c>
      <c r="D1022" s="2" t="str">
        <f t="shared" si="14"/>
        <v>Error?</v>
      </c>
    </row>
    <row r="1023" spans="1:4" x14ac:dyDescent="0.2">
      <c r="A1023" s="5">
        <v>962</v>
      </c>
      <c r="B1023" s="138">
        <f>'Expenditures 15-22'!H50</f>
        <v>2689</v>
      </c>
      <c r="D1023" s="2" t="str">
        <f t="shared" ref="D1023:D1086" si="15">IF(ISBLANK(B1023),"OK",IF(A1023-B1023=0,"OK","Error?"))</f>
        <v>Error?</v>
      </c>
    </row>
    <row r="1024" spans="1:4" x14ac:dyDescent="0.2">
      <c r="A1024" s="5">
        <v>963</v>
      </c>
      <c r="B1024" s="138">
        <f>'Expenditures 15-22'!H53</f>
        <v>11382</v>
      </c>
      <c r="C1024" s="2" t="s">
        <v>594</v>
      </c>
      <c r="D1024" s="2" t="str">
        <f t="shared" si="15"/>
        <v>Error?</v>
      </c>
    </row>
    <row r="1025" spans="1:4" x14ac:dyDescent="0.2">
      <c r="A1025" s="5">
        <v>964</v>
      </c>
      <c r="B1025" s="138">
        <f>'Expenditures 15-22'!H55</f>
        <v>2744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2744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14126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58136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74436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3359183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60079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5184983</v>
      </c>
      <c r="C1108" s="2" t="s">
        <v>594</v>
      </c>
      <c r="D1108" s="2" t="str">
        <f t="shared" si="16"/>
        <v>Error?</v>
      </c>
    </row>
    <row r="1109" spans="1:4" x14ac:dyDescent="0.2">
      <c r="A1109" s="5">
        <v>1048</v>
      </c>
      <c r="B1109" s="138">
        <f>'Expenditures 15-22'!K36</f>
        <v>78407</v>
      </c>
      <c r="C1109" s="2" t="s">
        <v>594</v>
      </c>
      <c r="D1109" s="2" t="str">
        <f t="shared" si="16"/>
        <v>Error?</v>
      </c>
    </row>
    <row r="1110" spans="1:4" x14ac:dyDescent="0.2">
      <c r="A1110" s="5">
        <v>1049</v>
      </c>
      <c r="B1110" s="138">
        <f>'Expenditures 15-22'!K37</f>
        <v>69775</v>
      </c>
      <c r="C1110" s="2" t="s">
        <v>594</v>
      </c>
      <c r="D1110" s="2" t="str">
        <f t="shared" si="16"/>
        <v>Error?</v>
      </c>
    </row>
    <row r="1111" spans="1:4" x14ac:dyDescent="0.2">
      <c r="A1111" s="5">
        <v>1050</v>
      </c>
      <c r="B1111" s="138">
        <f>'Expenditures 15-22'!K38</f>
        <v>75144</v>
      </c>
      <c r="C1111" s="2" t="s">
        <v>594</v>
      </c>
      <c r="D1111" s="2" t="str">
        <f t="shared" si="16"/>
        <v>Error?</v>
      </c>
    </row>
    <row r="1112" spans="1:4" x14ac:dyDescent="0.2">
      <c r="A1112" s="5">
        <v>1051</v>
      </c>
      <c r="B1112" s="138">
        <f>'Expenditures 15-22'!K39</f>
        <v>117144</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340470</v>
      </c>
      <c r="C1115" s="2" t="s">
        <v>594</v>
      </c>
      <c r="D1115" s="2" t="str">
        <f t="shared" si="16"/>
        <v>Error?</v>
      </c>
    </row>
    <row r="1116" spans="1:4" x14ac:dyDescent="0.2">
      <c r="A1116" s="5">
        <v>1055</v>
      </c>
      <c r="B1116" s="138">
        <f>'Expenditures 15-22'!K44</f>
        <v>164289</v>
      </c>
      <c r="C1116" s="2" t="s">
        <v>594</v>
      </c>
      <c r="D1116" s="2" t="str">
        <f t="shared" si="16"/>
        <v>Error?</v>
      </c>
    </row>
    <row r="1117" spans="1:4" x14ac:dyDescent="0.2">
      <c r="A1117" s="5">
        <v>1056</v>
      </c>
      <c r="B1117" s="138">
        <f>'Expenditures 15-22'!K45</f>
        <v>7676</v>
      </c>
      <c r="C1117" s="2" t="s">
        <v>594</v>
      </c>
      <c r="D1117" s="2" t="str">
        <f t="shared" si="16"/>
        <v>Error?</v>
      </c>
    </row>
    <row r="1118" spans="1:4" x14ac:dyDescent="0.2">
      <c r="A1118" s="5">
        <v>1057</v>
      </c>
      <c r="B1118" s="138">
        <f>'Expenditures 15-22'!K46</f>
        <v>25177</v>
      </c>
      <c r="C1118" s="2" t="s">
        <v>594</v>
      </c>
      <c r="D1118" s="2" t="str">
        <f t="shared" si="16"/>
        <v>Error?</v>
      </c>
    </row>
    <row r="1119" spans="1:4" x14ac:dyDescent="0.2">
      <c r="A1119" s="5">
        <v>1058</v>
      </c>
      <c r="B1119" s="138">
        <f>'Expenditures 15-22'!K47</f>
        <v>197142</v>
      </c>
      <c r="C1119" s="2" t="s">
        <v>594</v>
      </c>
      <c r="D1119" s="2" t="str">
        <f t="shared" si="16"/>
        <v>Error?</v>
      </c>
    </row>
    <row r="1120" spans="1:4" x14ac:dyDescent="0.2">
      <c r="A1120" s="5">
        <v>1059</v>
      </c>
      <c r="B1120" s="138">
        <f>'Expenditures 15-22'!K49</f>
        <v>97995</v>
      </c>
      <c r="C1120" s="2" t="s">
        <v>594</v>
      </c>
      <c r="D1120" s="2" t="str">
        <f t="shared" si="16"/>
        <v>Error?</v>
      </c>
    </row>
    <row r="1121" spans="1:4" x14ac:dyDescent="0.2">
      <c r="A1121" s="5">
        <v>1060</v>
      </c>
      <c r="B1121" s="138">
        <f>'Expenditures 15-22'!K50</f>
        <v>70079</v>
      </c>
      <c r="C1121" s="2" t="s">
        <v>594</v>
      </c>
      <c r="D1121" s="2" t="str">
        <f t="shared" si="16"/>
        <v>Error?</v>
      </c>
    </row>
    <row r="1122" spans="1:4" x14ac:dyDescent="0.2">
      <c r="A1122" s="5">
        <v>1061</v>
      </c>
      <c r="B1122" s="138">
        <f>'Expenditures 15-22'!K53</f>
        <v>169148</v>
      </c>
      <c r="C1122" s="2" t="s">
        <v>594</v>
      </c>
      <c r="D1122" s="2" t="str">
        <f t="shared" si="16"/>
        <v>Error?</v>
      </c>
    </row>
    <row r="1123" spans="1:4" x14ac:dyDescent="0.2">
      <c r="A1123" s="5">
        <v>1062</v>
      </c>
      <c r="B1123" s="138">
        <f>'Expenditures 15-22'!K55</f>
        <v>482660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482660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117500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366840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484340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28643</v>
      </c>
      <c r="C1139" s="2" t="s">
        <v>594</v>
      </c>
      <c r="D1139" s="2" t="str">
        <f t="shared" si="16"/>
        <v>Error?</v>
      </c>
    </row>
    <row r="1140" spans="1:4" x14ac:dyDescent="0.2">
      <c r="A1140" s="10">
        <v>1079</v>
      </c>
      <c r="D1140" s="2" t="str">
        <f t="shared" si="16"/>
        <v>OK</v>
      </c>
    </row>
    <row r="1141" spans="1:4" x14ac:dyDescent="0.2">
      <c r="A1141" s="5">
        <v>1080</v>
      </c>
      <c r="B1141" s="138">
        <f>'Expenditures 15-22'!K72</f>
        <v>28643</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1702403</v>
      </c>
      <c r="C1143" s="2" t="s">
        <v>594</v>
      </c>
      <c r="D1143" s="2" t="str">
        <f t="shared" si="16"/>
        <v>Error?</v>
      </c>
    </row>
    <row r="1144" spans="1:4" x14ac:dyDescent="0.2">
      <c r="A1144" s="5">
        <v>1083</v>
      </c>
      <c r="B1144" s="138">
        <f>'Expenditures 15-22'!K75</f>
        <v>108787</v>
      </c>
      <c r="C1144" s="2" t="s">
        <v>594</v>
      </c>
      <c r="D1144" s="2" t="str">
        <f t="shared" si="16"/>
        <v>Error?</v>
      </c>
    </row>
    <row r="1145" spans="1:4" x14ac:dyDescent="0.2">
      <c r="A1145" s="5">
        <v>1084</v>
      </c>
      <c r="B1145" s="138">
        <f>'Expenditures 15-22'!K102</f>
        <v>2230444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9226617</v>
      </c>
      <c r="C1152" s="2" t="s">
        <v>594</v>
      </c>
      <c r="D1152" s="2" t="str">
        <f t="shared" si="17"/>
        <v>Error?</v>
      </c>
    </row>
    <row r="1153" spans="1:4" x14ac:dyDescent="0.2">
      <c r="A1153" s="5">
        <v>1092</v>
      </c>
      <c r="B1153" s="138">
        <f>'Expenditures 15-22'!K115</f>
        <v>702165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385905</v>
      </c>
      <c r="D1221" s="2" t="str">
        <f t="shared" si="18"/>
        <v>Error?</v>
      </c>
    </row>
    <row r="1222" spans="1:4" x14ac:dyDescent="0.2">
      <c r="A1222" s="10">
        <v>1161</v>
      </c>
      <c r="D1222" s="2" t="str">
        <f t="shared" si="18"/>
        <v>OK</v>
      </c>
    </row>
    <row r="1223" spans="1:4" x14ac:dyDescent="0.2">
      <c r="A1223" s="5">
        <v>1162</v>
      </c>
      <c r="B1223" s="138">
        <f>'Expenditures 15-22'!C127</f>
        <v>385905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385905</v>
      </c>
      <c r="C1225" s="2" t="s">
        <v>594</v>
      </c>
      <c r="D1225" s="2" t="str">
        <f t="shared" si="18"/>
        <v>Error?</v>
      </c>
    </row>
    <row r="1226" spans="1:4" x14ac:dyDescent="0.2">
      <c r="A1226" s="5">
        <v>1165</v>
      </c>
      <c r="B1226" s="138">
        <f>'Expenditures 15-22'!C151</f>
        <v>385905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36333</v>
      </c>
      <c r="D1229" s="2" t="str">
        <f t="shared" si="18"/>
        <v>Error?</v>
      </c>
    </row>
    <row r="1230" spans="1:4" x14ac:dyDescent="0.2">
      <c r="A1230" s="10">
        <v>1169</v>
      </c>
      <c r="D1230" s="2" t="str">
        <f t="shared" si="18"/>
        <v>OK</v>
      </c>
    </row>
    <row r="1231" spans="1:4" x14ac:dyDescent="0.2">
      <c r="A1231" s="5">
        <v>1170</v>
      </c>
      <c r="B1231" s="138">
        <f>'Expenditures 15-22'!D127</f>
        <v>36333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36333</v>
      </c>
      <c r="C1233" s="2" t="s">
        <v>594</v>
      </c>
      <c r="D1233" s="2" t="str">
        <f t="shared" si="18"/>
        <v>Error?</v>
      </c>
    </row>
    <row r="1234" spans="1:4" x14ac:dyDescent="0.2">
      <c r="A1234" s="5">
        <v>1173</v>
      </c>
      <c r="B1234" s="138">
        <f>'Expenditures 15-22'!D151</f>
        <v>36333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356474</v>
      </c>
      <c r="D1237" s="2" t="str">
        <f t="shared" si="18"/>
        <v>Error?</v>
      </c>
    </row>
    <row r="1238" spans="1:4" x14ac:dyDescent="0.2">
      <c r="A1238" s="10">
        <v>1177</v>
      </c>
      <c r="D1238" s="2" t="str">
        <f t="shared" si="18"/>
        <v>OK</v>
      </c>
    </row>
    <row r="1239" spans="1:4" x14ac:dyDescent="0.2">
      <c r="A1239" s="5">
        <v>1178</v>
      </c>
      <c r="B1239" s="138">
        <f>'Expenditures 15-22'!E127</f>
        <v>356474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356474</v>
      </c>
      <c r="C1241" s="2" t="s">
        <v>594</v>
      </c>
      <c r="D1241" s="2" t="str">
        <f t="shared" si="18"/>
        <v>Error?</v>
      </c>
    </row>
    <row r="1242" spans="1:4" x14ac:dyDescent="0.2">
      <c r="A1242" s="5">
        <v>1181</v>
      </c>
      <c r="B1242" s="138">
        <f>'Expenditures 15-22'!E151</f>
        <v>551474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94323</v>
      </c>
      <c r="D1245" s="2" t="str">
        <f t="shared" si="18"/>
        <v>Error?</v>
      </c>
    </row>
    <row r="1246" spans="1:4" x14ac:dyDescent="0.2">
      <c r="A1246" s="10">
        <v>1185</v>
      </c>
      <c r="D1246" s="2" t="str">
        <f t="shared" si="18"/>
        <v>OK</v>
      </c>
    </row>
    <row r="1247" spans="1:4" x14ac:dyDescent="0.2">
      <c r="A1247" s="5">
        <v>1186</v>
      </c>
      <c r="B1247" s="138">
        <f>'Expenditures 15-22'!F127</f>
        <v>94323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94323</v>
      </c>
      <c r="C1249" s="2" t="s">
        <v>594</v>
      </c>
      <c r="D1249" s="2" t="str">
        <f t="shared" si="18"/>
        <v>Error?</v>
      </c>
    </row>
    <row r="1250" spans="1:4" x14ac:dyDescent="0.2">
      <c r="A1250" s="5">
        <v>1189</v>
      </c>
      <c r="B1250" s="138">
        <f>'Expenditures 15-22'!F151</f>
        <v>94323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87809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87809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87809</v>
      </c>
      <c r="C1258" s="2" t="s">
        <v>594</v>
      </c>
      <c r="D1258" s="2" t="str">
        <f t="shared" si="18"/>
        <v>Error?</v>
      </c>
    </row>
    <row r="1259" spans="1:4" x14ac:dyDescent="0.2">
      <c r="A1259" s="5">
        <v>1198</v>
      </c>
      <c r="B1259" s="138">
        <f>'Expenditures 15-22'!G151</f>
        <v>87809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960844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960844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960844</v>
      </c>
      <c r="C1281" s="2" t="s">
        <v>594</v>
      </c>
      <c r="D1281" s="2" t="str">
        <f t="shared" si="19"/>
        <v>Error?</v>
      </c>
    </row>
    <row r="1282" spans="1:4" x14ac:dyDescent="0.2">
      <c r="A1282" s="5">
        <v>1221</v>
      </c>
      <c r="B1282" s="138">
        <f>'Expenditures 15-22'!K139</f>
        <v>195000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1155844</v>
      </c>
      <c r="C1288" s="2" t="s">
        <v>594</v>
      </c>
      <c r="D1288" s="2" t="str">
        <f t="shared" si="19"/>
        <v>Error?</v>
      </c>
    </row>
    <row r="1289" spans="1:4" x14ac:dyDescent="0.2">
      <c r="A1289" s="5">
        <v>1228</v>
      </c>
      <c r="B1289" s="138">
        <f>'Expenditures 15-22'!K152</f>
        <v>169611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249825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300000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549825</v>
      </c>
      <c r="C1317" s="2" t="s">
        <v>594</v>
      </c>
      <c r="D1317" s="2" t="str">
        <f t="shared" si="19"/>
        <v>Error?</v>
      </c>
    </row>
    <row r="1318" spans="1:4" x14ac:dyDescent="0.2">
      <c r="A1318" s="5">
        <v>1257</v>
      </c>
      <c r="B1318" s="138">
        <f>'Expenditures 15-22'!H174</f>
        <v>549825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249825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300000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549825</v>
      </c>
      <c r="C1331" s="2" t="s">
        <v>594</v>
      </c>
      <c r="D1331" s="2" t="str">
        <f t="shared" si="19"/>
        <v>Error?</v>
      </c>
    </row>
    <row r="1332" spans="1:4" x14ac:dyDescent="0.2">
      <c r="A1332" s="5">
        <v>1271</v>
      </c>
      <c r="B1332" s="138">
        <f>'Expenditures 15-22'!K174</f>
        <v>549825</v>
      </c>
      <c r="C1332" s="2" t="s">
        <v>594</v>
      </c>
      <c r="D1332" s="2" t="str">
        <f t="shared" si="19"/>
        <v>Error?</v>
      </c>
    </row>
    <row r="1333" spans="1:4" x14ac:dyDescent="0.2">
      <c r="A1333" s="5">
        <v>1272</v>
      </c>
      <c r="B1333" s="138">
        <f>'Expenditures 15-22'!K175</f>
        <v>-31796</v>
      </c>
      <c r="C1333" s="2" t="s">
        <v>594</v>
      </c>
      <c r="D1333" s="2" t="str">
        <f t="shared" si="19"/>
        <v>Error?</v>
      </c>
    </row>
    <row r="1334" spans="1:4" x14ac:dyDescent="0.2">
      <c r="A1334" s="10">
        <v>1273</v>
      </c>
      <c r="D1334" s="2" t="str">
        <f t="shared" si="19"/>
        <v>OK</v>
      </c>
    </row>
    <row r="1335" spans="1:4" x14ac:dyDescent="0.2">
      <c r="A1335" s="5">
        <v>1274</v>
      </c>
      <c r="B1335" s="138">
        <f>'Expenditures 15-22'!C182</f>
        <v>17045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17045</v>
      </c>
      <c r="C1339" s="2" t="s">
        <v>594</v>
      </c>
      <c r="D1339" s="2" t="str">
        <f t="shared" si="19"/>
        <v>Error?</v>
      </c>
    </row>
    <row r="1340" spans="1:4" x14ac:dyDescent="0.2">
      <c r="A1340" s="5">
        <v>1279</v>
      </c>
      <c r="B1340" s="138">
        <f>'Expenditures 15-22'!C210</f>
        <v>17045</v>
      </c>
      <c r="C1340" s="2" t="s">
        <v>594</v>
      </c>
      <c r="D1340" s="2" t="str">
        <f t="shared" si="19"/>
        <v>Error?</v>
      </c>
    </row>
    <row r="1341" spans="1:4" x14ac:dyDescent="0.2">
      <c r="A1341" s="5">
        <v>1280</v>
      </c>
      <c r="B1341" s="138">
        <f>'Expenditures 15-22'!D182</f>
        <v>482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482</v>
      </c>
      <c r="C1345" s="2" t="s">
        <v>594</v>
      </c>
      <c r="D1345" s="2" t="str">
        <f t="shared" si="20"/>
        <v>Error?</v>
      </c>
    </row>
    <row r="1346" spans="1:4" x14ac:dyDescent="0.2">
      <c r="A1346" s="5">
        <v>1285</v>
      </c>
      <c r="B1346" s="138">
        <f>'Expenditures 15-22'!D210</f>
        <v>482</v>
      </c>
      <c r="C1346" s="2" t="s">
        <v>594</v>
      </c>
      <c r="D1346" s="2" t="str">
        <f t="shared" si="20"/>
        <v>Error?</v>
      </c>
    </row>
    <row r="1347" spans="1:4" x14ac:dyDescent="0.2">
      <c r="A1347" s="5">
        <v>1286</v>
      </c>
      <c r="B1347" s="138">
        <f>'Expenditures 15-22'!E182</f>
        <v>275782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275782</v>
      </c>
      <c r="C1351" s="2" t="s">
        <v>594</v>
      </c>
      <c r="D1351" s="2" t="str">
        <f t="shared" si="20"/>
        <v>Error?</v>
      </c>
    </row>
    <row r="1352" spans="1:4" x14ac:dyDescent="0.2">
      <c r="A1352" s="5">
        <v>1291</v>
      </c>
      <c r="B1352" s="138">
        <f>'Expenditures 15-22'!E196</f>
        <v>36389</v>
      </c>
      <c r="C1352" s="2" t="s">
        <v>594</v>
      </c>
      <c r="D1352" s="2" t="str">
        <f t="shared" si="20"/>
        <v>Error?</v>
      </c>
    </row>
    <row r="1353" spans="1:4" x14ac:dyDescent="0.2">
      <c r="A1353" s="5">
        <v>1292</v>
      </c>
      <c r="B1353" s="138">
        <f>'Expenditures 15-22'!E210</f>
        <v>312171</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1318</v>
      </c>
      <c r="C1375" s="2" t="s">
        <v>594</v>
      </c>
      <c r="D1375" s="2" t="str">
        <f t="shared" si="20"/>
        <v>Error?</v>
      </c>
    </row>
    <row r="1376" spans="1:4" x14ac:dyDescent="0.2">
      <c r="A1376" s="5">
        <v>1315</v>
      </c>
      <c r="B1376" s="138">
        <f>'Expenditures 15-22'!H210</f>
        <v>1318</v>
      </c>
      <c r="C1376" s="2" t="s">
        <v>594</v>
      </c>
      <c r="D1376" s="2" t="str">
        <f t="shared" si="20"/>
        <v>Error?</v>
      </c>
    </row>
    <row r="1377" spans="1:4" x14ac:dyDescent="0.2">
      <c r="A1377" s="5">
        <v>1316</v>
      </c>
      <c r="B1377" s="138">
        <f>'Expenditures 15-22'!K182</f>
        <v>293309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293309</v>
      </c>
      <c r="C1381" s="2" t="s">
        <v>594</v>
      </c>
      <c r="D1381" s="2" t="str">
        <f t="shared" si="20"/>
        <v>Error?</v>
      </c>
    </row>
    <row r="1382" spans="1:4" x14ac:dyDescent="0.2">
      <c r="A1382" s="5">
        <v>1321</v>
      </c>
      <c r="B1382" s="138">
        <f>'Expenditures 15-22'!K196</f>
        <v>36389</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1318</v>
      </c>
      <c r="C1387" s="2" t="s">
        <v>594</v>
      </c>
      <c r="D1387" s="2" t="str">
        <f t="shared" si="20"/>
        <v>Error?</v>
      </c>
    </row>
    <row r="1388" spans="1:4" x14ac:dyDescent="0.2">
      <c r="A1388" s="5">
        <v>1327</v>
      </c>
      <c r="B1388" s="138">
        <f>'Expenditures 15-22'!K210</f>
        <v>331016</v>
      </c>
      <c r="C1388" s="2" t="s">
        <v>594</v>
      </c>
      <c r="D1388" s="2" t="str">
        <f t="shared" si="20"/>
        <v>Error?</v>
      </c>
    </row>
    <row r="1389" spans="1:4" x14ac:dyDescent="0.2">
      <c r="A1389" s="5">
        <v>1328</v>
      </c>
      <c r="B1389" s="138">
        <f>'Expenditures 15-22'!K211</f>
        <v>-46947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1772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143325</v>
      </c>
      <c r="C1410" s="2" t="s">
        <v>594</v>
      </c>
      <c r="D1410" s="2" t="str">
        <f t="shared" si="21"/>
        <v>Error?</v>
      </c>
    </row>
    <row r="1411" spans="1:4" x14ac:dyDescent="0.2">
      <c r="A1411" s="5">
        <v>1350</v>
      </c>
      <c r="B1411" s="138">
        <f>'Expenditures 15-22'!D232</f>
        <v>927</v>
      </c>
      <c r="D1411" s="2" t="str">
        <f t="shared" si="21"/>
        <v>Error?</v>
      </c>
    </row>
    <row r="1412" spans="1:4" x14ac:dyDescent="0.2">
      <c r="A1412" s="5">
        <v>1351</v>
      </c>
      <c r="B1412" s="138">
        <f>'Expenditures 15-22'!D233</f>
        <v>821</v>
      </c>
      <c r="D1412" s="2" t="str">
        <f t="shared" si="21"/>
        <v>Error?</v>
      </c>
    </row>
    <row r="1413" spans="1:4" x14ac:dyDescent="0.2">
      <c r="A1413" s="5">
        <v>1352</v>
      </c>
      <c r="B1413" s="138">
        <f>'Expenditures 15-22'!D234</f>
        <v>9254</v>
      </c>
      <c r="D1413" s="2" t="str">
        <f t="shared" si="21"/>
        <v>Error?</v>
      </c>
    </row>
    <row r="1414" spans="1:4" x14ac:dyDescent="0.2">
      <c r="A1414" s="5">
        <v>1353</v>
      </c>
      <c r="B1414" s="138">
        <f>'Expenditures 15-22'!D235</f>
        <v>1260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12262</v>
      </c>
      <c r="C1417" s="2" t="s">
        <v>594</v>
      </c>
      <c r="D1417" s="2" t="str">
        <f t="shared" si="21"/>
        <v>Error?</v>
      </c>
    </row>
    <row r="1418" spans="1:4" x14ac:dyDescent="0.2">
      <c r="A1418" s="5">
        <v>1357</v>
      </c>
      <c r="B1418" s="138">
        <f>'Expenditures 15-22'!D240</f>
        <v>2733</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2733</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9572</v>
      </c>
      <c r="D1423" s="2" t="str">
        <f t="shared" si="21"/>
        <v>Error?</v>
      </c>
    </row>
    <row r="1424" spans="1:4" x14ac:dyDescent="0.2">
      <c r="A1424" s="5">
        <v>1363</v>
      </c>
      <c r="B1424" s="138">
        <f>'Expenditures 15-22'!D257</f>
        <v>9572</v>
      </c>
      <c r="C1424" s="2" t="s">
        <v>594</v>
      </c>
      <c r="D1424" s="2" t="str">
        <f t="shared" si="21"/>
        <v>Error?</v>
      </c>
    </row>
    <row r="1425" spans="1:4" x14ac:dyDescent="0.2">
      <c r="A1425" s="5">
        <v>1364</v>
      </c>
      <c r="B1425" s="138">
        <f>'Expenditures 15-22'!D259</f>
        <v>17095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17095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19024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64380</v>
      </c>
      <c r="D1431" s="2" t="str">
        <f t="shared" si="21"/>
        <v>Error?</v>
      </c>
    </row>
    <row r="1432" spans="1:4" x14ac:dyDescent="0.2">
      <c r="A1432" s="5">
        <v>1371</v>
      </c>
      <c r="B1432" s="138">
        <f>'Expenditures 15-22'!D267</f>
        <v>1898</v>
      </c>
      <c r="D1432" s="2" t="str">
        <f t="shared" si="21"/>
        <v>Error?</v>
      </c>
    </row>
    <row r="1433" spans="1:4" x14ac:dyDescent="0.2">
      <c r="A1433" s="5">
        <v>1372</v>
      </c>
      <c r="B1433" s="138">
        <f>'Expenditures 15-22'!D268</f>
        <v>17477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102779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144441</v>
      </c>
      <c r="C1446" s="2" t="s">
        <v>594</v>
      </c>
      <c r="D1446" s="2" t="str">
        <f t="shared" si="21"/>
        <v>Error?</v>
      </c>
    </row>
    <row r="1447" spans="1:4" x14ac:dyDescent="0.2">
      <c r="A1447" s="5">
        <v>1386</v>
      </c>
      <c r="B1447" s="138">
        <f>'Expenditures 15-22'!D280</f>
        <v>8439</v>
      </c>
      <c r="D1447" s="2" t="str">
        <f t="shared" si="21"/>
        <v>Error?</v>
      </c>
    </row>
    <row r="1448" spans="1:4" x14ac:dyDescent="0.2">
      <c r="A1448" s="5">
        <v>1387</v>
      </c>
      <c r="B1448" s="138">
        <f>'Expenditures 15-22'!D295</f>
        <v>352357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1772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143325</v>
      </c>
      <c r="C1474" s="2" t="s">
        <v>594</v>
      </c>
      <c r="D1474" s="2" t="str">
        <f t="shared" si="22"/>
        <v>Error?</v>
      </c>
    </row>
    <row r="1475" spans="1:4" x14ac:dyDescent="0.2">
      <c r="A1475" s="5">
        <v>1414</v>
      </c>
      <c r="B1475" s="138">
        <f>'Expenditures 15-22'!K232</f>
        <v>927</v>
      </c>
      <c r="C1475" s="2" t="s">
        <v>594</v>
      </c>
      <c r="D1475" s="2" t="str">
        <f t="shared" si="22"/>
        <v>Error?</v>
      </c>
    </row>
    <row r="1476" spans="1:4" x14ac:dyDescent="0.2">
      <c r="A1476" s="5">
        <v>1415</v>
      </c>
      <c r="B1476" s="138">
        <f>'Expenditures 15-22'!K233</f>
        <v>821</v>
      </c>
      <c r="C1476" s="2" t="s">
        <v>594</v>
      </c>
      <c r="D1476" s="2" t="str">
        <f t="shared" si="22"/>
        <v>Error?</v>
      </c>
    </row>
    <row r="1477" spans="1:4" x14ac:dyDescent="0.2">
      <c r="A1477" s="5">
        <v>1416</v>
      </c>
      <c r="B1477" s="138">
        <f>'Expenditures 15-22'!K234</f>
        <v>9254</v>
      </c>
      <c r="C1477" s="2" t="s">
        <v>594</v>
      </c>
      <c r="D1477" s="2" t="str">
        <f t="shared" si="22"/>
        <v>Error?</v>
      </c>
    </row>
    <row r="1478" spans="1:4" x14ac:dyDescent="0.2">
      <c r="A1478" s="5">
        <v>1417</v>
      </c>
      <c r="B1478" s="138">
        <f>'Expenditures 15-22'!K235</f>
        <v>1260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12262</v>
      </c>
      <c r="C1481" s="2" t="s">
        <v>594</v>
      </c>
      <c r="D1481" s="2" t="str">
        <f t="shared" si="22"/>
        <v>Error?</v>
      </c>
    </row>
    <row r="1482" spans="1:4" x14ac:dyDescent="0.2">
      <c r="A1482" s="5">
        <v>1421</v>
      </c>
      <c r="B1482" s="138">
        <f>'Expenditures 15-22'!K240</f>
        <v>2733</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2733</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9572</v>
      </c>
      <c r="C1487" s="2" t="s">
        <v>594</v>
      </c>
      <c r="D1487" s="2" t="str">
        <f t="shared" si="22"/>
        <v>Error?</v>
      </c>
    </row>
    <row r="1488" spans="1:4" x14ac:dyDescent="0.2">
      <c r="A1488" s="5">
        <v>1427</v>
      </c>
      <c r="B1488" s="138">
        <f>'Expenditures 15-22'!K257</f>
        <v>9572</v>
      </c>
      <c r="C1488" s="2" t="s">
        <v>594</v>
      </c>
      <c r="D1488" s="2" t="str">
        <f t="shared" si="22"/>
        <v>Error?</v>
      </c>
    </row>
    <row r="1489" spans="1:4" x14ac:dyDescent="0.2">
      <c r="A1489" s="5">
        <v>1428</v>
      </c>
      <c r="B1489" s="138">
        <f>'Expenditures 15-22'!K259</f>
        <v>17095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17095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19024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64380</v>
      </c>
      <c r="C1495" s="2" t="s">
        <v>594</v>
      </c>
      <c r="D1495" s="2" t="str">
        <f t="shared" si="22"/>
        <v>Error?</v>
      </c>
    </row>
    <row r="1496" spans="1:4" x14ac:dyDescent="0.2">
      <c r="A1496" s="5">
        <v>1435</v>
      </c>
      <c r="B1496" s="138">
        <f>'Expenditures 15-22'!K267</f>
        <v>1898</v>
      </c>
      <c r="C1496" s="2" t="s">
        <v>594</v>
      </c>
      <c r="D1496" s="2" t="str">
        <f t="shared" si="22"/>
        <v>Error?</v>
      </c>
    </row>
    <row r="1497" spans="1:4" x14ac:dyDescent="0.2">
      <c r="A1497" s="5">
        <v>1436</v>
      </c>
      <c r="B1497" s="138">
        <f>'Expenditures 15-22'!K268</f>
        <v>17477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102779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144441</v>
      </c>
      <c r="C1510" s="2" t="s">
        <v>594</v>
      </c>
      <c r="D1510" s="2" t="str">
        <f t="shared" si="22"/>
        <v>Error?</v>
      </c>
    </row>
    <row r="1511" spans="1:4" x14ac:dyDescent="0.2">
      <c r="A1511" s="5">
        <v>1450</v>
      </c>
      <c r="B1511" s="138">
        <f>'Expenditures 15-22'!K280</f>
        <v>8439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352357</v>
      </c>
      <c r="C1517" s="2" t="s">
        <v>594</v>
      </c>
      <c r="D1517" s="2" t="str">
        <f t="shared" si="22"/>
        <v>Error?</v>
      </c>
    </row>
    <row r="1518" spans="1:4" x14ac:dyDescent="0.2">
      <c r="A1518" s="5">
        <v>1457</v>
      </c>
      <c r="B1518" s="138">
        <f>'Expenditures 15-22'!K296</f>
        <v>51286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818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818</v>
      </c>
      <c r="C1535" s="2" t="s">
        <v>594</v>
      </c>
      <c r="D1535" s="2" t="str">
        <f t="shared" ref="D1535:D1598" si="23">IF(ISBLANK(B1535),"OK",IF(A1535-B1535=0,"OK","Error?"))</f>
        <v>Error?</v>
      </c>
    </row>
    <row r="1536" spans="1:4" x14ac:dyDescent="0.2">
      <c r="A1536" s="5">
        <v>1475</v>
      </c>
      <c r="B1536" s="138">
        <f>'Expenditures 15-22'!E312</f>
        <v>818</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142700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142700</v>
      </c>
      <c r="C1547" s="2" t="s">
        <v>594</v>
      </c>
      <c r="D1547" s="2" t="str">
        <f t="shared" si="23"/>
        <v>Error?</v>
      </c>
    </row>
    <row r="1548" spans="1:4" x14ac:dyDescent="0.2">
      <c r="A1548" s="5">
        <v>1487</v>
      </c>
      <c r="B1548" s="138">
        <f>'Expenditures 15-22'!G312</f>
        <v>142700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143518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143518</v>
      </c>
      <c r="C1559" s="2" t="s">
        <v>594</v>
      </c>
      <c r="D1559" s="2" t="str">
        <f t="shared" si="23"/>
        <v>Error?</v>
      </c>
    </row>
    <row r="1560" spans="1:4" x14ac:dyDescent="0.2">
      <c r="A1560" s="5">
        <v>1499</v>
      </c>
      <c r="B1560" s="138">
        <f>'Expenditures 15-22'!K312</f>
        <v>143518</v>
      </c>
      <c r="C1560" s="2" t="s">
        <v>594</v>
      </c>
      <c r="D1560" s="2" t="str">
        <f t="shared" si="23"/>
        <v>Error?</v>
      </c>
    </row>
    <row r="1561" spans="1:4" x14ac:dyDescent="0.2">
      <c r="A1561" s="5">
        <v>1500</v>
      </c>
      <c r="B1561" s="138">
        <f>'Expenditures 15-22'!K313</f>
        <v>229344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1191548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1930102</v>
      </c>
      <c r="C1630" s="2" t="s">
        <v>594</v>
      </c>
      <c r="D1630" s="2" t="str">
        <f t="shared" si="24"/>
        <v>Error?</v>
      </c>
    </row>
    <row r="1631" spans="1:4" x14ac:dyDescent="0.2">
      <c r="A1631" s="5">
        <v>1570</v>
      </c>
      <c r="B1631" s="138">
        <f>'Acct Summary 7-8'!D79</f>
        <v>2087828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2257439</v>
      </c>
      <c r="C1644" s="2" t="s">
        <v>594</v>
      </c>
      <c r="D1644" s="2" t="str">
        <f t="shared" si="24"/>
        <v>Error?</v>
      </c>
    </row>
    <row r="1645" spans="1:4" x14ac:dyDescent="0.2">
      <c r="A1645" s="5">
        <v>1584</v>
      </c>
      <c r="B1645" s="138">
        <f>'Acct Summary 7-8'!E79</f>
        <v>43121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11325</v>
      </c>
      <c r="C1658" s="2" t="s">
        <v>594</v>
      </c>
      <c r="D1658" s="2" t="str">
        <f t="shared" si="24"/>
        <v>Error?</v>
      </c>
    </row>
    <row r="1659" spans="1:4" x14ac:dyDescent="0.2">
      <c r="A1659" s="5">
        <v>1598</v>
      </c>
      <c r="B1659" s="138">
        <f>'Acct Summary 7-8'!F79</f>
        <v>904188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857241</v>
      </c>
      <c r="C1672" s="2" t="s">
        <v>594</v>
      </c>
      <c r="D1672" s="2" t="str">
        <f t="shared" si="25"/>
        <v>Error?</v>
      </c>
    </row>
    <row r="1673" spans="1:4" x14ac:dyDescent="0.2">
      <c r="A1673" s="5">
        <v>1612</v>
      </c>
      <c r="B1673" s="138">
        <f>'Acct Summary 7-8'!G79</f>
        <v>302820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354106</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229344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1339120</v>
      </c>
      <c r="C1744" s="2" t="s">
        <v>594</v>
      </c>
      <c r="D1744" s="2" t="str">
        <f t="shared" si="26"/>
        <v>Error?</v>
      </c>
    </row>
    <row r="1745" spans="1:5" x14ac:dyDescent="0.2">
      <c r="A1745" s="5">
        <v>1684</v>
      </c>
      <c r="B1745" s="138">
        <f>'Tax Sched 23'!B5</f>
        <v>363891</v>
      </c>
      <c r="C1745" s="2" t="s">
        <v>594</v>
      </c>
      <c r="D1745" s="2" t="str">
        <f t="shared" si="26"/>
        <v>Error?</v>
      </c>
    </row>
    <row r="1746" spans="1:5" x14ac:dyDescent="0.2">
      <c r="A1746" s="5">
        <v>1685</v>
      </c>
      <c r="B1746" s="138">
        <f>'Tax Sched 23'!B6</f>
        <v>508029</v>
      </c>
      <c r="C1746" s="2" t="s">
        <v>594</v>
      </c>
      <c r="D1746" s="2" t="str">
        <f t="shared" si="26"/>
        <v>Error?</v>
      </c>
    </row>
    <row r="1747" spans="1:5" x14ac:dyDescent="0.2">
      <c r="A1747" s="5">
        <v>1686</v>
      </c>
      <c r="B1747" s="138">
        <f>'Tax Sched 23'!B7</f>
        <v>145557</v>
      </c>
      <c r="C1747" s="2" t="s">
        <v>594</v>
      </c>
      <c r="D1747" s="2" t="str">
        <f t="shared" si="26"/>
        <v>Error?</v>
      </c>
    </row>
    <row r="1748" spans="1:5" x14ac:dyDescent="0.2">
      <c r="A1748" s="5">
        <v>1687</v>
      </c>
      <c r="B1748" s="138">
        <f>'Tax Sched 23'!B8</f>
        <v>197608</v>
      </c>
      <c r="C1748" s="2" t="s">
        <v>594</v>
      </c>
      <c r="D1748" s="2" t="str">
        <f t="shared" si="26"/>
        <v>Error?</v>
      </c>
    </row>
    <row r="1749" spans="1:5" x14ac:dyDescent="0.2">
      <c r="A1749" s="5">
        <v>1688</v>
      </c>
      <c r="B1749" s="138">
        <f>'Tax Sched 23'!B10</f>
        <v>36389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59467</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29111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2913169</v>
      </c>
      <c r="C1759" s="2" t="s">
        <v>594</v>
      </c>
      <c r="D1759" s="2" t="str">
        <f t="shared" si="26"/>
        <v>Error?</v>
      </c>
    </row>
    <row r="1760" spans="1:5" x14ac:dyDescent="0.2">
      <c r="A1760" s="5">
        <v>1699</v>
      </c>
      <c r="B1760" s="138">
        <f>'Tax Sched 23'!D4</f>
        <v>1339120</v>
      </c>
      <c r="C1760" s="2" t="s">
        <v>594</v>
      </c>
      <c r="D1760" s="2" t="str">
        <f t="shared" si="26"/>
        <v>Error?</v>
      </c>
    </row>
    <row r="1761" spans="1:5" x14ac:dyDescent="0.2">
      <c r="A1761" s="5">
        <v>1700</v>
      </c>
      <c r="B1761" s="138">
        <f>'Tax Sched 23'!D5</f>
        <v>363891</v>
      </c>
      <c r="C1761" s="2" t="s">
        <v>594</v>
      </c>
      <c r="D1761" s="2" t="str">
        <f t="shared" si="26"/>
        <v>Error?</v>
      </c>
    </row>
    <row r="1762" spans="1:5" s="8" customFormat="1" x14ac:dyDescent="0.2">
      <c r="A1762" s="5">
        <v>1701</v>
      </c>
      <c r="B1762" s="138">
        <f>'Tax Sched 23'!D6</f>
        <v>508029</v>
      </c>
      <c r="C1762" s="2" t="s">
        <v>594</v>
      </c>
      <c r="D1762" s="2" t="str">
        <f t="shared" si="26"/>
        <v>Error?</v>
      </c>
      <c r="E1762" s="9"/>
    </row>
    <row r="1763" spans="1:5" x14ac:dyDescent="0.2">
      <c r="A1763" s="5">
        <v>1702</v>
      </c>
      <c r="B1763" s="138">
        <f>'Tax Sched 23'!D7</f>
        <v>145557</v>
      </c>
      <c r="C1763" s="2" t="s">
        <v>594</v>
      </c>
      <c r="D1763" s="2" t="str">
        <f t="shared" si="26"/>
        <v>Error?</v>
      </c>
    </row>
    <row r="1764" spans="1:5" x14ac:dyDescent="0.2">
      <c r="A1764" s="5">
        <v>1703</v>
      </c>
      <c r="B1764" s="138">
        <f>'Tax Sched 23'!D8</f>
        <v>197608</v>
      </c>
      <c r="C1764" s="2" t="s">
        <v>594</v>
      </c>
      <c r="D1764" s="2" t="str">
        <f t="shared" si="26"/>
        <v>Error?</v>
      </c>
    </row>
    <row r="1765" spans="1:5" x14ac:dyDescent="0.2">
      <c r="A1765" s="5">
        <v>1704</v>
      </c>
      <c r="B1765" s="138">
        <f>'Tax Sched 23'!D10</f>
        <v>36389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59467</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29111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2913169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1503283</v>
      </c>
      <c r="C1792" s="2" t="s">
        <v>594</v>
      </c>
      <c r="D1792" s="2" t="str">
        <f t="shared" si="27"/>
        <v>Error?</v>
      </c>
    </row>
    <row r="1793" spans="1:4" x14ac:dyDescent="0.2">
      <c r="A1793" s="5">
        <v>1732</v>
      </c>
      <c r="B1793" s="138">
        <f>'Tax Sched 23'!F5</f>
        <v>408501</v>
      </c>
      <c r="C1793" s="2" t="s">
        <v>594</v>
      </c>
      <c r="D1793" s="2" t="str">
        <f t="shared" si="27"/>
        <v>Error?</v>
      </c>
    </row>
    <row r="1794" spans="1:4" x14ac:dyDescent="0.2">
      <c r="A1794" s="5">
        <v>1733</v>
      </c>
      <c r="B1794" s="138">
        <f>'Tax Sched 23'!F6</f>
        <v>564989</v>
      </c>
      <c r="C1794" s="2" t="s">
        <v>594</v>
      </c>
      <c r="D1794" s="2" t="str">
        <f t="shared" si="27"/>
        <v>Error?</v>
      </c>
    </row>
    <row r="1795" spans="1:4" x14ac:dyDescent="0.2">
      <c r="A1795" s="5">
        <v>1734</v>
      </c>
      <c r="B1795" s="138">
        <f>'Tax Sched 23'!F7</f>
        <v>163400</v>
      </c>
      <c r="C1795" s="2" t="s">
        <v>594</v>
      </c>
      <c r="D1795" s="2" t="str">
        <f t="shared" si="27"/>
        <v>Error?</v>
      </c>
    </row>
    <row r="1796" spans="1:4" x14ac:dyDescent="0.2">
      <c r="A1796" s="5">
        <v>1735</v>
      </c>
      <c r="B1796" s="138">
        <f>'Tax Sched 23'!F8</f>
        <v>200002</v>
      </c>
      <c r="C1796" s="2" t="s">
        <v>594</v>
      </c>
      <c r="D1796" s="2" t="str">
        <f t="shared" si="27"/>
        <v>Error?</v>
      </c>
    </row>
    <row r="1797" spans="1:4" x14ac:dyDescent="0.2">
      <c r="A1797" s="5">
        <v>1736</v>
      </c>
      <c r="B1797" s="138">
        <f>'Tax Sched 23'!F10</f>
        <v>40850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100001</v>
      </c>
      <c r="C1800" s="2" t="s">
        <v>594</v>
      </c>
      <c r="D1800" s="2" t="str">
        <f t="shared" si="27"/>
        <v>Error?</v>
      </c>
    </row>
    <row r="1801" spans="1:4" x14ac:dyDescent="0.2">
      <c r="A1801" s="5">
        <v>1740</v>
      </c>
      <c r="B1801" s="138">
        <f>'Tax Sched 23'!F12</f>
        <v>40850</v>
      </c>
      <c r="C1801" s="2" t="s">
        <v>594</v>
      </c>
      <c r="D1801" s="2" t="str">
        <f t="shared" si="27"/>
        <v>Error?</v>
      </c>
    </row>
    <row r="1802" spans="1:4" x14ac:dyDescent="0.2">
      <c r="A1802" s="5">
        <v>1741</v>
      </c>
      <c r="B1802" s="138">
        <f>'Tax Sched 23'!F14</f>
        <v>32680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3295408</v>
      </c>
      <c r="C1807" s="2" t="s">
        <v>594</v>
      </c>
      <c r="D1807" s="2" t="str">
        <f t="shared" si="27"/>
        <v>Error?</v>
      </c>
    </row>
    <row r="1808" spans="1:4" x14ac:dyDescent="0.2">
      <c r="A1808" s="5">
        <v>1747</v>
      </c>
      <c r="B1808" s="138">
        <f>'Tax Sched 23'!E4</f>
        <v>1503283</v>
      </c>
      <c r="D1808" s="2" t="str">
        <f t="shared" si="27"/>
        <v>Error?</v>
      </c>
    </row>
    <row r="1809" spans="1:4" x14ac:dyDescent="0.2">
      <c r="A1809" s="5">
        <v>1748</v>
      </c>
      <c r="B1809" s="138">
        <f>'Tax Sched 23'!E5</f>
        <v>408501</v>
      </c>
      <c r="D1809" s="2" t="str">
        <f t="shared" si="27"/>
        <v>Error?</v>
      </c>
    </row>
    <row r="1810" spans="1:4" x14ac:dyDescent="0.2">
      <c r="A1810" s="5">
        <v>1749</v>
      </c>
      <c r="B1810" s="138">
        <f>'Tax Sched 23'!E6</f>
        <v>564989</v>
      </c>
      <c r="D1810" s="2" t="str">
        <f t="shared" si="27"/>
        <v>Error?</v>
      </c>
    </row>
    <row r="1811" spans="1:4" x14ac:dyDescent="0.2">
      <c r="A1811" s="5">
        <v>1750</v>
      </c>
      <c r="B1811" s="138">
        <f>'Tax Sched 23'!E7</f>
        <v>163400</v>
      </c>
      <c r="D1811" s="2" t="str">
        <f t="shared" si="27"/>
        <v>Error?</v>
      </c>
    </row>
    <row r="1812" spans="1:4" x14ac:dyDescent="0.2">
      <c r="A1812" s="5">
        <v>1751</v>
      </c>
      <c r="B1812" s="138">
        <f>'Tax Sched 23'!E8</f>
        <v>200002</v>
      </c>
      <c r="D1812" s="2" t="str">
        <f t="shared" si="27"/>
        <v>Error?</v>
      </c>
    </row>
    <row r="1813" spans="1:4" x14ac:dyDescent="0.2">
      <c r="A1813" s="5">
        <v>1752</v>
      </c>
      <c r="B1813" s="138">
        <f>'Tax Sched 23'!E10</f>
        <v>40850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100001</v>
      </c>
      <c r="D1816" s="2" t="str">
        <f t="shared" si="27"/>
        <v>Error?</v>
      </c>
    </row>
    <row r="1817" spans="1:4" x14ac:dyDescent="0.2">
      <c r="A1817" s="5">
        <v>1756</v>
      </c>
      <c r="B1817" s="138">
        <f>'Tax Sched 23'!E12</f>
        <v>40850</v>
      </c>
      <c r="D1817" s="2" t="str">
        <f t="shared" si="27"/>
        <v>Error?</v>
      </c>
    </row>
    <row r="1818" spans="1:4" x14ac:dyDescent="0.2">
      <c r="A1818" s="5">
        <v>1757</v>
      </c>
      <c r="B1818" s="138">
        <f>'Tax Sched 23'!E14</f>
        <v>32680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3295408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7726720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29111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29111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29111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625797</v>
      </c>
      <c r="D2008" s="2" t="str">
        <f t="shared" si="30"/>
        <v>Error?</v>
      </c>
    </row>
    <row r="2009" spans="1:4" x14ac:dyDescent="0.2">
      <c r="A2009" s="5">
        <v>1948</v>
      </c>
      <c r="B2009" s="138">
        <f>'Cap Outlay Deprec 26'!C8</f>
        <v>23640654</v>
      </c>
      <c r="D2009" s="2" t="str">
        <f t="shared" si="30"/>
        <v>Error?</v>
      </c>
    </row>
    <row r="2010" spans="1:4" x14ac:dyDescent="0.2">
      <c r="A2010" s="5">
        <v>1949</v>
      </c>
      <c r="B2010" s="138">
        <f>'Cap Outlay Deprec 26'!C10</f>
        <v>934787</v>
      </c>
      <c r="D2010" s="2" t="str">
        <f t="shared" si="30"/>
        <v>Error?</v>
      </c>
    </row>
    <row r="2011" spans="1:4" x14ac:dyDescent="0.2">
      <c r="A2011" s="5">
        <v>1950</v>
      </c>
      <c r="B2011" s="138">
        <f>'Cap Outlay Deprec 26'!C12</f>
        <v>1595377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26812130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165443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85090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250533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151515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151515</v>
      </c>
      <c r="C2025" s="2" t="s">
        <v>594</v>
      </c>
      <c r="D2025" s="2" t="str">
        <f t="shared" si="30"/>
        <v>Error?</v>
      </c>
    </row>
    <row r="2026" spans="1:4" x14ac:dyDescent="0.2">
      <c r="A2026" s="5">
        <v>1965</v>
      </c>
      <c r="B2026" s="138">
        <f>'Cap Outlay Deprec 26'!F5</f>
        <v>625797</v>
      </c>
      <c r="C2026" s="2" t="s">
        <v>594</v>
      </c>
      <c r="D2026" s="2" t="str">
        <f t="shared" si="30"/>
        <v>Error?</v>
      </c>
    </row>
    <row r="2027" spans="1:4" x14ac:dyDescent="0.2">
      <c r="A2027" s="5">
        <v>1966</v>
      </c>
      <c r="B2027" s="138">
        <f>'Cap Outlay Deprec 26'!F8</f>
        <v>23806097</v>
      </c>
      <c r="C2027" s="2" t="s">
        <v>594</v>
      </c>
      <c r="D2027" s="2" t="str">
        <f t="shared" si="30"/>
        <v>Error?</v>
      </c>
    </row>
    <row r="2028" spans="1:4" x14ac:dyDescent="0.2">
      <c r="A2028" s="5">
        <v>1967</v>
      </c>
      <c r="B2028" s="138">
        <f>'Cap Outlay Deprec 26'!F10</f>
        <v>934787</v>
      </c>
      <c r="C2028" s="2" t="s">
        <v>594</v>
      </c>
      <c r="D2028" s="2" t="str">
        <f t="shared" si="30"/>
        <v>Error?</v>
      </c>
    </row>
    <row r="2029" spans="1:4" x14ac:dyDescent="0.2">
      <c r="A2029" s="5">
        <v>1968</v>
      </c>
      <c r="B2029" s="138">
        <f>'Cap Outlay Deprec 26'!F12</f>
        <v>1528952</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26911148</v>
      </c>
      <c r="C2031" s="2" t="s">
        <v>594</v>
      </c>
      <c r="D2031" s="2" t="str">
        <f t="shared" si="30"/>
        <v>Error?</v>
      </c>
    </row>
    <row r="2032" spans="1:4" x14ac:dyDescent="0.2">
      <c r="A2032" s="10">
        <v>1971</v>
      </c>
      <c r="D2032" s="2" t="str">
        <f t="shared" si="30"/>
        <v>OK</v>
      </c>
    </row>
    <row r="2033" spans="1:4" x14ac:dyDescent="0.2">
      <c r="A2033" s="5">
        <v>1972</v>
      </c>
      <c r="B2033" s="138">
        <f>'Cap Outlay Deprec 26'!H8</f>
        <v>8093244</v>
      </c>
      <c r="D2033" s="2" t="str">
        <f t="shared" si="30"/>
        <v>Error?</v>
      </c>
    </row>
    <row r="2034" spans="1:4" x14ac:dyDescent="0.2">
      <c r="A2034" s="5">
        <v>1973</v>
      </c>
      <c r="B2034" s="138">
        <f>'Cap Outlay Deprec 26'!H10</f>
        <v>739714</v>
      </c>
      <c r="D2034" s="2" t="str">
        <f t="shared" si="30"/>
        <v>Error?</v>
      </c>
    </row>
    <row r="2035" spans="1:4" x14ac:dyDescent="0.2">
      <c r="A2035" s="5">
        <v>1974</v>
      </c>
      <c r="B2035" s="138">
        <f>'Cap Outlay Deprec 26'!H12</f>
        <v>1135306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9968264</v>
      </c>
      <c r="C2037" s="2" t="s">
        <v>594</v>
      </c>
      <c r="D2037" s="2" t="str">
        <f t="shared" si="30"/>
        <v>Error?</v>
      </c>
    </row>
    <row r="2038" spans="1:4" x14ac:dyDescent="0.2">
      <c r="A2038" s="10">
        <v>1977</v>
      </c>
      <c r="D2038" s="2" t="str">
        <f t="shared" si="30"/>
        <v>OK</v>
      </c>
    </row>
    <row r="2039" spans="1:4" x14ac:dyDescent="0.2">
      <c r="A2039" s="5">
        <v>1978</v>
      </c>
      <c r="B2039" s="138">
        <f>'Cap Outlay Deprec 26'!I8</f>
        <v>443055</v>
      </c>
      <c r="D2039" s="2" t="str">
        <f t="shared" si="30"/>
        <v>Error?</v>
      </c>
    </row>
    <row r="2040" spans="1:4" x14ac:dyDescent="0.2">
      <c r="A2040" s="5">
        <v>1979</v>
      </c>
      <c r="B2040" s="138">
        <f>'Cap Outlay Deprec 26'!I10</f>
        <v>34984</v>
      </c>
      <c r="D2040" s="2" t="str">
        <f t="shared" si="30"/>
        <v>Error?</v>
      </c>
    </row>
    <row r="2041" spans="1:4" x14ac:dyDescent="0.2">
      <c r="A2041" s="5">
        <v>1980</v>
      </c>
      <c r="B2041" s="138">
        <f>'Cap Outlay Deprec 26'!I12</f>
        <v>148755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626794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151515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151515</v>
      </c>
      <c r="C2049" s="2" t="s">
        <v>594</v>
      </c>
      <c r="D2049" s="2" t="str">
        <f t="shared" si="31"/>
        <v>Error?</v>
      </c>
    </row>
    <row r="2050" spans="1:4" x14ac:dyDescent="0.2">
      <c r="A2050" s="10">
        <v>1989</v>
      </c>
      <c r="D2050" s="2" t="str">
        <f t="shared" si="31"/>
        <v>OK</v>
      </c>
    </row>
    <row r="2051" spans="1:4" x14ac:dyDescent="0.2">
      <c r="A2051" s="5">
        <v>1990</v>
      </c>
      <c r="B2051" s="138">
        <f>'Cap Outlay Deprec 26'!K8</f>
        <v>8536299</v>
      </c>
      <c r="C2051" s="2" t="s">
        <v>594</v>
      </c>
      <c r="D2051" s="2" t="str">
        <f t="shared" si="31"/>
        <v>Error?</v>
      </c>
    </row>
    <row r="2052" spans="1:4" x14ac:dyDescent="0.2">
      <c r="A2052" s="5">
        <v>1991</v>
      </c>
      <c r="B2052" s="138">
        <f>'Cap Outlay Deprec 26'!K10</f>
        <v>774698</v>
      </c>
      <c r="C2052" s="2" t="s">
        <v>594</v>
      </c>
      <c r="D2052" s="2" t="str">
        <f t="shared" si="31"/>
        <v>Error?</v>
      </c>
    </row>
    <row r="2053" spans="1:4" x14ac:dyDescent="0.2">
      <c r="A2053" s="5">
        <v>1992</v>
      </c>
      <c r="B2053" s="138">
        <f>'Cap Outlay Deprec 26'!K12</f>
        <v>1132546</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10443543</v>
      </c>
      <c r="C2055" s="2" t="s">
        <v>594</v>
      </c>
      <c r="D2055" s="2" t="str">
        <f t="shared" si="31"/>
        <v>Error?</v>
      </c>
    </row>
    <row r="2056" spans="1:4" x14ac:dyDescent="0.2">
      <c r="A2056" s="5">
        <v>1995</v>
      </c>
      <c r="B2056" s="138">
        <f>'Cap Outlay Deprec 26'!L5</f>
        <v>625797</v>
      </c>
      <c r="C2056" s="2" t="s">
        <v>594</v>
      </c>
      <c r="D2056" s="2" t="str">
        <f t="shared" si="31"/>
        <v>Error?</v>
      </c>
    </row>
    <row r="2057" spans="1:4" x14ac:dyDescent="0.2">
      <c r="A2057" s="5">
        <v>1996</v>
      </c>
      <c r="B2057" s="138">
        <f>'Cap Outlay Deprec 26'!L8</f>
        <v>15269798</v>
      </c>
      <c r="C2057" s="2" t="s">
        <v>594</v>
      </c>
      <c r="D2057" s="2" t="str">
        <f t="shared" si="31"/>
        <v>Error?</v>
      </c>
    </row>
    <row r="2058" spans="1:4" x14ac:dyDescent="0.2">
      <c r="A2058" s="5">
        <v>1997</v>
      </c>
      <c r="B2058" s="138">
        <f>'Cap Outlay Deprec 26'!L10</f>
        <v>160089</v>
      </c>
      <c r="C2058" s="2" t="s">
        <v>594</v>
      </c>
      <c r="D2058" s="2" t="str">
        <f t="shared" si="31"/>
        <v>Error?</v>
      </c>
    </row>
    <row r="2059" spans="1:4" x14ac:dyDescent="0.2">
      <c r="A2059" s="5">
        <v>1998</v>
      </c>
      <c r="B2059" s="138">
        <f>'Cap Outlay Deprec 26'!L12</f>
        <v>396406</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16467605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58136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2230444</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195000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36389</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168850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1769725</v>
      </c>
      <c r="C2551" s="2" t="s">
        <v>594</v>
      </c>
      <c r="D2551" s="2" t="str">
        <f t="shared" si="38"/>
        <v>Error?</v>
      </c>
    </row>
    <row r="2552" spans="1:4" x14ac:dyDescent="0.2">
      <c r="A2552" s="10">
        <v>2491</v>
      </c>
      <c r="D2552" s="2" t="str">
        <f t="shared" si="38"/>
        <v>OK</v>
      </c>
    </row>
    <row r="2553" spans="1:4" x14ac:dyDescent="0.2">
      <c r="A2553" s="5">
        <v>2492</v>
      </c>
      <c r="B2553" s="138">
        <f>'Acct Summary 7-8'!C6</f>
        <v>7207100</v>
      </c>
      <c r="C2553" s="2" t="s">
        <v>594</v>
      </c>
      <c r="D2553" s="2" t="str">
        <f t="shared" si="38"/>
        <v>Error?</v>
      </c>
    </row>
    <row r="2554" spans="1:4" x14ac:dyDescent="0.2">
      <c r="A2554" s="5">
        <v>2493</v>
      </c>
      <c r="B2554" s="138">
        <f>'Acct Summary 7-8'!C7</f>
        <v>951957</v>
      </c>
      <c r="C2554" s="2" t="s">
        <v>594</v>
      </c>
      <c r="D2554" s="2" t="str">
        <f t="shared" si="38"/>
        <v>Error?</v>
      </c>
    </row>
    <row r="2555" spans="1:4" x14ac:dyDescent="0.2">
      <c r="A2555" s="5">
        <v>2494</v>
      </c>
      <c r="B2555" s="138">
        <f>'Acct Summary 7-8'!C8</f>
        <v>9928782</v>
      </c>
      <c r="C2555" s="2" t="s">
        <v>594</v>
      </c>
      <c r="D2555" s="2" t="str">
        <f t="shared" si="38"/>
        <v>Error?</v>
      </c>
    </row>
    <row r="2556" spans="1:4" x14ac:dyDescent="0.2">
      <c r="A2556" s="5">
        <v>2495</v>
      </c>
      <c r="B2556" s="138">
        <f>'Acct Summary 7-8'!C12</f>
        <v>5184983</v>
      </c>
      <c r="C2556" s="2" t="s">
        <v>594</v>
      </c>
      <c r="D2556" s="2" t="str">
        <f t="shared" si="38"/>
        <v>Error?</v>
      </c>
    </row>
    <row r="2557" spans="1:4" x14ac:dyDescent="0.2">
      <c r="A2557" s="5">
        <v>2496</v>
      </c>
      <c r="B2557" s="138">
        <f>'Acct Summary 7-8'!C13</f>
        <v>1702403</v>
      </c>
      <c r="C2557" s="2" t="s">
        <v>594</v>
      </c>
      <c r="D2557" s="2" t="str">
        <f t="shared" si="38"/>
        <v>Error?</v>
      </c>
    </row>
    <row r="2558" spans="1:4" x14ac:dyDescent="0.2">
      <c r="A2558" s="5">
        <v>2497</v>
      </c>
      <c r="B2558" s="138">
        <f>'Acct Summary 7-8'!C14</f>
        <v>108787</v>
      </c>
      <c r="C2558" s="2" t="s">
        <v>594</v>
      </c>
      <c r="D2558" s="2" t="str">
        <f t="shared" si="38"/>
        <v>Error?</v>
      </c>
    </row>
    <row r="2559" spans="1:4" x14ac:dyDescent="0.2">
      <c r="A2559" s="5">
        <v>2498</v>
      </c>
      <c r="B2559" s="138">
        <f>'Acct Summary 7-8'!C15</f>
        <v>2230444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9226617</v>
      </c>
      <c r="C2561" s="2" t="s">
        <v>594</v>
      </c>
      <c r="D2561" s="2" t="str">
        <f t="shared" si="39"/>
        <v>Error?</v>
      </c>
    </row>
    <row r="2562" spans="1:4" x14ac:dyDescent="0.2">
      <c r="A2562" s="5">
        <v>2501</v>
      </c>
      <c r="B2562" s="138">
        <f>'Acct Summary 7-8'!C20</f>
        <v>702165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676364</v>
      </c>
      <c r="C2564" s="2" t="s">
        <v>594</v>
      </c>
      <c r="D2564" s="2" t="str">
        <f t="shared" si="39"/>
        <v>Error?</v>
      </c>
    </row>
    <row r="2565" spans="1:4" x14ac:dyDescent="0.2">
      <c r="A2565" s="10">
        <v>2504</v>
      </c>
      <c r="D2565" s="2" t="str">
        <f t="shared" si="39"/>
        <v>OK</v>
      </c>
    </row>
    <row r="2566" spans="1:4" x14ac:dyDescent="0.2">
      <c r="A2566" s="5">
        <v>2505</v>
      </c>
      <c r="B2566" s="138">
        <f>'Acct Summary 7-8'!D6</f>
        <v>649091</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1325455</v>
      </c>
      <c r="C2568" s="2" t="s">
        <v>594</v>
      </c>
      <c r="D2568" s="2" t="str">
        <f t="shared" si="39"/>
        <v>Error?</v>
      </c>
    </row>
    <row r="2569" spans="1:4" x14ac:dyDescent="0.2">
      <c r="A2569" s="5">
        <v>2508</v>
      </c>
      <c r="B2569" s="138">
        <f>'Acct Summary 7-8'!D13</f>
        <v>960844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195000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1155844</v>
      </c>
      <c r="C2573" s="2" t="s">
        <v>594</v>
      </c>
      <c r="D2573" s="2" t="str">
        <f t="shared" si="39"/>
        <v>Error?</v>
      </c>
    </row>
    <row r="2574" spans="1:4" x14ac:dyDescent="0.2">
      <c r="A2574" s="5">
        <v>2513</v>
      </c>
      <c r="B2574" s="138">
        <f>'Acct Summary 7-8'!D20</f>
        <v>169611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157196</v>
      </c>
      <c r="C2591" s="2" t="s">
        <v>594</v>
      </c>
      <c r="D2591" s="2" t="str">
        <f t="shared" si="39"/>
        <v>Error?</v>
      </c>
    </row>
    <row r="2592" spans="1:4" x14ac:dyDescent="0.2">
      <c r="A2592" s="10">
        <v>2531</v>
      </c>
      <c r="D2592" s="2" t="str">
        <f t="shared" si="39"/>
        <v>OK</v>
      </c>
    </row>
    <row r="2593" spans="1:4" x14ac:dyDescent="0.2">
      <c r="A2593" s="5">
        <v>2532</v>
      </c>
      <c r="B2593" s="138">
        <f>'Acct Summary 7-8'!F6</f>
        <v>126873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284069</v>
      </c>
      <c r="C2595" s="2" t="s">
        <v>594</v>
      </c>
      <c r="D2595" s="2" t="str">
        <f t="shared" si="39"/>
        <v>Error?</v>
      </c>
    </row>
    <row r="2596" spans="1:4" x14ac:dyDescent="0.2">
      <c r="A2596" s="5">
        <v>2535</v>
      </c>
      <c r="B2596" s="138">
        <f>'Acct Summary 7-8'!F13</f>
        <v>293309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36389</v>
      </c>
      <c r="C2598" s="2" t="s">
        <v>594</v>
      </c>
      <c r="D2598" s="2" t="str">
        <f t="shared" si="39"/>
        <v>Error?</v>
      </c>
    </row>
    <row r="2599" spans="1:4" x14ac:dyDescent="0.2">
      <c r="A2599" s="5">
        <v>2538</v>
      </c>
      <c r="B2599" s="138">
        <f>'Acct Summary 7-8'!F16</f>
        <v>1318</v>
      </c>
      <c r="C2599" s="2" t="s">
        <v>594</v>
      </c>
      <c r="D2599" s="2" t="str">
        <f t="shared" si="39"/>
        <v>Error?</v>
      </c>
    </row>
    <row r="2600" spans="1:4" x14ac:dyDescent="0.2">
      <c r="A2600" s="5">
        <v>2539</v>
      </c>
      <c r="B2600" s="138">
        <f>'Acct Summary 7-8'!F17</f>
        <v>331016</v>
      </c>
      <c r="C2600" s="2" t="s">
        <v>594</v>
      </c>
      <c r="D2600" s="2" t="str">
        <f t="shared" si="39"/>
        <v>Error?</v>
      </c>
    </row>
    <row r="2601" spans="1:4" x14ac:dyDescent="0.2">
      <c r="A2601" s="5">
        <v>2540</v>
      </c>
      <c r="B2601" s="138">
        <f>'Acct Summary 7-8'!F20</f>
        <v>-46947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403643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403643</v>
      </c>
      <c r="C2606" s="2" t="s">
        <v>594</v>
      </c>
      <c r="D2606" s="2" t="str">
        <f t="shared" si="39"/>
        <v>Error?</v>
      </c>
    </row>
    <row r="2607" spans="1:4" x14ac:dyDescent="0.2">
      <c r="A2607" s="5">
        <v>2546</v>
      </c>
      <c r="B2607" s="138">
        <f>'Acct Summary 7-8'!G12</f>
        <v>143325</v>
      </c>
      <c r="C2607" s="2" t="s">
        <v>594</v>
      </c>
      <c r="D2607" s="2" t="str">
        <f t="shared" si="39"/>
        <v>Error?</v>
      </c>
    </row>
    <row r="2608" spans="1:4" x14ac:dyDescent="0.2">
      <c r="A2608" s="5">
        <v>2547</v>
      </c>
      <c r="B2608" s="138">
        <f>'Acct Summary 7-8'!G13</f>
        <v>144441</v>
      </c>
      <c r="C2608" s="2" t="s">
        <v>594</v>
      </c>
      <c r="D2608" s="2" t="str">
        <f t="shared" si="39"/>
        <v>Error?</v>
      </c>
    </row>
    <row r="2609" spans="1:4" x14ac:dyDescent="0.2">
      <c r="A2609" s="5">
        <v>2548</v>
      </c>
      <c r="B2609" s="138">
        <f>'Acct Summary 7-8'!G14</f>
        <v>8439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352357</v>
      </c>
      <c r="C2612" s="2" t="s">
        <v>594</v>
      </c>
      <c r="D2612" s="2" t="str">
        <f t="shared" si="39"/>
        <v>Error?</v>
      </c>
    </row>
    <row r="2613" spans="1:4" x14ac:dyDescent="0.2">
      <c r="A2613" s="5">
        <v>2552</v>
      </c>
      <c r="B2613" s="138">
        <f>'Acct Summary 7-8'!G20</f>
        <v>51286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518029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518029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549825</v>
      </c>
      <c r="C2634" s="2" t="s">
        <v>594</v>
      </c>
      <c r="D2634" s="2" t="str">
        <f t="shared" si="40"/>
        <v>Error?</v>
      </c>
    </row>
    <row r="2635" spans="1:4" x14ac:dyDescent="0.2">
      <c r="A2635" s="5">
        <v>2574</v>
      </c>
      <c r="B2635" s="138">
        <f>'Acct Summary 7-8'!E17</f>
        <v>549825</v>
      </c>
      <c r="C2635" s="2" t="s">
        <v>594</v>
      </c>
      <c r="D2635" s="2" t="str">
        <f t="shared" si="40"/>
        <v>Error?</v>
      </c>
    </row>
    <row r="2636" spans="1:4" x14ac:dyDescent="0.2">
      <c r="A2636" s="5">
        <v>2575</v>
      </c>
      <c r="B2636" s="138">
        <f>'Acct Summary 7-8'!E20</f>
        <v>-31796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372862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372862</v>
      </c>
      <c r="C2658" s="2" t="s">
        <v>594</v>
      </c>
      <c r="D2658" s="2" t="str">
        <f t="shared" si="40"/>
        <v>Error?</v>
      </c>
    </row>
    <row r="2659" spans="1:4" x14ac:dyDescent="0.2">
      <c r="A2659" s="5">
        <v>2598</v>
      </c>
      <c r="B2659" s="138">
        <f>'Acct Summary 7-8'!H13</f>
        <v>143518</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143518</v>
      </c>
      <c r="C2661" s="2" t="s">
        <v>594</v>
      </c>
      <c r="D2661" s="2" t="str">
        <f t="shared" si="40"/>
        <v>Error?</v>
      </c>
    </row>
    <row r="2662" spans="1:4" x14ac:dyDescent="0.2">
      <c r="A2662" s="5">
        <v>2601</v>
      </c>
      <c r="B2662" s="138">
        <f>'Acct Summary 7-8'!H20</f>
        <v>229344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507</v>
      </c>
      <c r="D2720" s="2" t="str">
        <f t="shared" si="41"/>
        <v>Error?</v>
      </c>
    </row>
    <row r="2721" spans="1:4" x14ac:dyDescent="0.2">
      <c r="A2721" s="5">
        <v>2660</v>
      </c>
      <c r="B2721" s="138">
        <f>'Expenditures 15-22'!F51</f>
        <v>567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1074</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2172308</v>
      </c>
      <c r="C2789" s="2" t="s">
        <v>594</v>
      </c>
      <c r="D2789" s="2" t="str">
        <f t="shared" si="42"/>
        <v>Error?</v>
      </c>
    </row>
    <row r="2790" spans="1:4" x14ac:dyDescent="0.2">
      <c r="A2790" s="5">
        <v>2729</v>
      </c>
      <c r="B2790" s="138">
        <f>'Expenditures 15-22'!E102</f>
        <v>2172308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36389</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36389</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97666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97666</v>
      </c>
      <c r="D2914" s="2" t="str">
        <f t="shared" si="44"/>
        <v>Error?</v>
      </c>
    </row>
    <row r="2915" spans="1:4" x14ac:dyDescent="0.2">
      <c r="A2915" s="10">
        <v>2854</v>
      </c>
      <c r="D2915" s="2" t="str">
        <f t="shared" si="44"/>
        <v>OK</v>
      </c>
    </row>
    <row r="2916" spans="1:4" x14ac:dyDescent="0.2">
      <c r="A2916" s="5">
        <v>2855</v>
      </c>
      <c r="B2916" s="138">
        <f>'Assets-Liab 5-6'!L34</f>
        <v>97666</v>
      </c>
      <c r="C2916" s="2" t="s">
        <v>594</v>
      </c>
      <c r="D2916" s="2" t="str">
        <f t="shared" si="44"/>
        <v>Error?</v>
      </c>
    </row>
    <row r="2917" spans="1:4" x14ac:dyDescent="0.2">
      <c r="A2917" s="5">
        <v>2856</v>
      </c>
      <c r="B2917" s="138">
        <f>'Assets-Liab 5-6'!L41</f>
        <v>97666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2172308</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58136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2172308</v>
      </c>
      <c r="C2973" s="2" t="s">
        <v>594</v>
      </c>
      <c r="D2973" s="2" t="str">
        <f t="shared" si="45"/>
        <v>Error?</v>
      </c>
    </row>
    <row r="2974" spans="1:4" x14ac:dyDescent="0.2">
      <c r="A2974" s="5">
        <v>2913</v>
      </c>
      <c r="B2974" s="138">
        <f>'Expenditures 15-22'!K79</f>
        <v>58136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36389</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36389</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257592</v>
      </c>
      <c r="D3055" s="2" t="str">
        <f t="shared" si="46"/>
        <v>Error?</v>
      </c>
    </row>
    <row r="3056" spans="1:4" x14ac:dyDescent="0.2">
      <c r="A3056" s="5">
        <v>2995</v>
      </c>
      <c r="B3056" s="138">
        <f>'Expenditures 15-22'!D10</f>
        <v>55848</v>
      </c>
      <c r="D3056" s="2" t="str">
        <f t="shared" si="46"/>
        <v>Error?</v>
      </c>
    </row>
    <row r="3057" spans="1:4" x14ac:dyDescent="0.2">
      <c r="A3057" s="5">
        <v>2996</v>
      </c>
      <c r="B3057" s="138">
        <f>'Expenditures 15-22'!E10</f>
        <v>29279</v>
      </c>
      <c r="D3057" s="2" t="str">
        <f t="shared" si="46"/>
        <v>Error?</v>
      </c>
    </row>
    <row r="3058" spans="1:4" x14ac:dyDescent="0.2">
      <c r="A3058" s="5">
        <v>2997</v>
      </c>
      <c r="B3058" s="138">
        <f>'Expenditures 15-22'!F10</f>
        <v>100949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443668</v>
      </c>
      <c r="C3062" s="2" t="s">
        <v>594</v>
      </c>
      <c r="D3062" s="2" t="str">
        <f t="shared" si="46"/>
        <v>Error?</v>
      </c>
    </row>
    <row r="3063" spans="1:4" x14ac:dyDescent="0.2">
      <c r="A3063" s="10">
        <v>3002</v>
      </c>
      <c r="D3063" s="2" t="str">
        <f t="shared" si="46"/>
        <v>OK</v>
      </c>
    </row>
    <row r="3064" spans="1:4" x14ac:dyDescent="0.2">
      <c r="A3064" s="5">
        <v>3003</v>
      </c>
      <c r="B3064" s="138">
        <f>'Expenditures 15-22'!D219</f>
        <v>36206</v>
      </c>
      <c r="D3064" s="2" t="str">
        <f t="shared" si="46"/>
        <v>Error?</v>
      </c>
    </row>
    <row r="3065" spans="1:4" x14ac:dyDescent="0.2">
      <c r="A3065" s="5">
        <v>3004</v>
      </c>
      <c r="B3065" s="138">
        <f>'Expenditures 15-22'!K219</f>
        <v>36206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36389</v>
      </c>
      <c r="C3225" s="2" t="s">
        <v>594</v>
      </c>
      <c r="D3225" s="2" t="str">
        <f t="shared" si="49"/>
        <v>Error?</v>
      </c>
    </row>
    <row r="3226" spans="1:4" x14ac:dyDescent="0.2">
      <c r="A3226" s="5">
        <v>3165</v>
      </c>
      <c r="B3226" s="138">
        <f>'Acct Summary 7-8'!I8</f>
        <v>36389</v>
      </c>
      <c r="C3226" s="2" t="s">
        <v>594</v>
      </c>
      <c r="D3226" s="2" t="str">
        <f t="shared" si="49"/>
        <v>Error?</v>
      </c>
    </row>
    <row r="3227" spans="1:4" x14ac:dyDescent="0.2">
      <c r="A3227" s="5">
        <v>3166</v>
      </c>
      <c r="B3227" s="138">
        <f>'Acct Summary 7-8'!I20</f>
        <v>36389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36389</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36389</v>
      </c>
      <c r="C3232" s="2" t="s">
        <v>594</v>
      </c>
      <c r="D3232" s="2" t="str">
        <f t="shared" si="49"/>
        <v>Error?</v>
      </c>
    </row>
    <row r="3233" spans="1:4" x14ac:dyDescent="0.2">
      <c r="A3233" s="5">
        <v>3172</v>
      </c>
      <c r="B3233" s="138">
        <f>'Acct Summary 7-8'!C78</f>
        <v>738554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169611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-46947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51286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-31796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229344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36389</v>
      </c>
      <c r="C3318" s="2" t="s">
        <v>594</v>
      </c>
      <c r="D3318" s="2" t="str">
        <f t="shared" si="50"/>
        <v>Error?</v>
      </c>
    </row>
    <row r="3319" spans="1:4" x14ac:dyDescent="0.2">
      <c r="A3319" s="5">
        <v>3258</v>
      </c>
      <c r="B3319" s="138">
        <f>'Acct Summary 7-8'!I77</f>
        <v>-36389</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991978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225277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1461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1841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1220557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55696</v>
      </c>
      <c r="D3387" s="2" t="str">
        <f t="shared" si="51"/>
        <v>Error?</v>
      </c>
    </row>
    <row r="3388" spans="1:4" x14ac:dyDescent="0.2">
      <c r="A3388" s="5">
        <v>3327</v>
      </c>
      <c r="B3388" s="138">
        <f>'Expenditures 15-22'!D217</f>
        <v>49278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55696</v>
      </c>
      <c r="C3390" s="2" t="s">
        <v>594</v>
      </c>
      <c r="D3390" s="2" t="str">
        <f t="shared" si="51"/>
        <v>Error?</v>
      </c>
    </row>
    <row r="3391" spans="1:4" x14ac:dyDescent="0.2">
      <c r="A3391" s="5">
        <v>3330</v>
      </c>
      <c r="B3391" s="138">
        <f>'Expenditures 15-22'!K217</f>
        <v>49278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1352710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2257189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11325</v>
      </c>
      <c r="D3417" s="2" t="str">
        <f t="shared" si="52"/>
        <v>Error?</v>
      </c>
    </row>
    <row r="3418" spans="1:4" x14ac:dyDescent="0.2">
      <c r="A3418" s="10">
        <v>3357</v>
      </c>
      <c r="D3418" s="2" t="str">
        <f t="shared" si="52"/>
        <v>OK</v>
      </c>
    </row>
    <row r="3419" spans="1:4" x14ac:dyDescent="0.2">
      <c r="A3419" s="5">
        <v>3358</v>
      </c>
      <c r="B3419" s="138">
        <f>'Assets-Liab 5-6'!F4</f>
        <v>857241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314106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229344</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97666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197608</v>
      </c>
      <c r="C3446" s="2" t="s">
        <v>594</v>
      </c>
      <c r="D3446" s="2" t="str">
        <f t="shared" si="52"/>
        <v>Error?</v>
      </c>
    </row>
    <row r="3447" spans="1:4" x14ac:dyDescent="0.2">
      <c r="A3447" s="5">
        <v>3386</v>
      </c>
      <c r="B3447" s="138">
        <f>'Tax Sched 23'!D16</f>
        <v>197608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200002</v>
      </c>
      <c r="C3449" s="2" t="s">
        <v>594</v>
      </c>
      <c r="D3449" s="2" t="str">
        <f t="shared" si="52"/>
        <v>Error?</v>
      </c>
    </row>
    <row r="3450" spans="1:4" x14ac:dyDescent="0.2">
      <c r="A3450" s="5">
        <v>3389</v>
      </c>
      <c r="B3450" s="138">
        <f>'Tax Sched 23'!E16</f>
        <v>200002</v>
      </c>
      <c r="D3450" s="2" t="str">
        <f t="shared" si="52"/>
        <v>Error?</v>
      </c>
    </row>
    <row r="3451" spans="1:4" x14ac:dyDescent="0.2">
      <c r="A3451" s="5">
        <v>3390</v>
      </c>
      <c r="B3451" s="138">
        <f>'Cap Outlay Deprec 26'!C15</f>
        <v>15515</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15515</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15515</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2866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2884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2884</v>
      </c>
      <c r="D3567" s="2" t="str">
        <f t="shared" si="54"/>
        <v>Error?</v>
      </c>
    </row>
    <row r="3568" spans="1:4" x14ac:dyDescent="0.2">
      <c r="A3568" s="5">
        <v>3507</v>
      </c>
      <c r="B3568" s="138">
        <f>'Assets-Liab 5-6'!K41</f>
        <v>2884</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2884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2884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56152</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56152</v>
      </c>
      <c r="C3724" s="2" t="s">
        <v>594</v>
      </c>
      <c r="D3724" s="2" t="str">
        <f t="shared" si="57"/>
        <v>Error?</v>
      </c>
    </row>
    <row r="3725" spans="1:4" x14ac:dyDescent="0.2">
      <c r="A3725" s="5">
        <v>3664</v>
      </c>
      <c r="B3725" s="138">
        <f>'Tax Sched 23'!B13</f>
        <v>36389</v>
      </c>
      <c r="C3725" s="2" t="s">
        <v>594</v>
      </c>
      <c r="D3725" s="2" t="str">
        <f t="shared" si="57"/>
        <v>Error?</v>
      </c>
    </row>
    <row r="3726" spans="1:4" x14ac:dyDescent="0.2">
      <c r="A3726" s="5">
        <v>3665</v>
      </c>
      <c r="B3726" s="138">
        <f>'Tax Sched 23'!D13</f>
        <v>36389</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40850</v>
      </c>
      <c r="C3728" s="2" t="s">
        <v>594</v>
      </c>
      <c r="D3728" s="2" t="str">
        <f t="shared" si="57"/>
        <v>Error?</v>
      </c>
    </row>
    <row r="3729" spans="1:4" x14ac:dyDescent="0.2">
      <c r="A3729" s="5">
        <v>3668</v>
      </c>
      <c r="B3729" s="138">
        <f>'Tax Sched 23'!E13</f>
        <v>40850</v>
      </c>
      <c r="D3729" s="2" t="str">
        <f t="shared" si="57"/>
        <v>Error?</v>
      </c>
    </row>
    <row r="3730" spans="1:4" x14ac:dyDescent="0.2">
      <c r="A3730" s="5">
        <v>3669</v>
      </c>
      <c r="B3730" s="138">
        <f>'ICR Computation 30'!E10</f>
        <v>220846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2735002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12663784</v>
      </c>
      <c r="C4122" s="2" t="s">
        <v>594</v>
      </c>
      <c r="D4122" s="2" t="str">
        <f t="shared" si="63"/>
        <v>Error?</v>
      </c>
    </row>
    <row r="4123" spans="1:4" x14ac:dyDescent="0.2">
      <c r="A4123" s="5">
        <v>4062</v>
      </c>
      <c r="B4123" s="138">
        <f>'Acct Summary 7-8'!D10</f>
        <v>1325455</v>
      </c>
      <c r="C4123" s="2" t="s">
        <v>594</v>
      </c>
      <c r="D4123" s="2" t="str">
        <f t="shared" si="63"/>
        <v>Error?</v>
      </c>
    </row>
    <row r="4124" spans="1:4" x14ac:dyDescent="0.2">
      <c r="A4124" s="5">
        <v>4063</v>
      </c>
      <c r="B4124" s="138">
        <f>'Acct Summary 7-8'!E10</f>
        <v>518029</v>
      </c>
      <c r="C4124" s="2" t="s">
        <v>594</v>
      </c>
      <c r="D4124" s="2" t="str">
        <f t="shared" si="63"/>
        <v>Error?</v>
      </c>
    </row>
    <row r="4125" spans="1:4" x14ac:dyDescent="0.2">
      <c r="A4125" s="5">
        <v>4064</v>
      </c>
      <c r="B4125" s="138">
        <f>'Acct Summary 7-8'!F10</f>
        <v>284069</v>
      </c>
      <c r="C4125" s="2" t="s">
        <v>594</v>
      </c>
      <c r="D4125" s="2" t="str">
        <f t="shared" si="63"/>
        <v>Error?</v>
      </c>
    </row>
    <row r="4126" spans="1:4" x14ac:dyDescent="0.2">
      <c r="A4126" s="5">
        <v>4065</v>
      </c>
      <c r="B4126" s="138">
        <f>'Acct Summary 7-8'!G10</f>
        <v>403643</v>
      </c>
      <c r="C4126" s="2" t="s">
        <v>594</v>
      </c>
      <c r="D4126" s="2" t="str">
        <f t="shared" si="63"/>
        <v>Error?</v>
      </c>
    </row>
    <row r="4127" spans="1:4" x14ac:dyDescent="0.2">
      <c r="A4127" s="5">
        <v>4066</v>
      </c>
      <c r="B4127" s="138">
        <f>'Acct Summary 7-8'!H10</f>
        <v>372862</v>
      </c>
      <c r="C4127" s="2" t="s">
        <v>594</v>
      </c>
      <c r="D4127" s="2" t="str">
        <f t="shared" si="63"/>
        <v>Error?</v>
      </c>
    </row>
    <row r="4128" spans="1:4" x14ac:dyDescent="0.2">
      <c r="A4128" s="5">
        <v>4067</v>
      </c>
      <c r="B4128" s="138">
        <f>'Acct Summary 7-8'!I10</f>
        <v>36389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2735002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11961619</v>
      </c>
      <c r="C4136" s="2" t="s">
        <v>594</v>
      </c>
      <c r="D4136" s="2" t="str">
        <f t="shared" si="63"/>
        <v>Error?</v>
      </c>
    </row>
    <row r="4137" spans="1:4" x14ac:dyDescent="0.2">
      <c r="A4137" s="5">
        <v>4076</v>
      </c>
      <c r="B4137" s="138">
        <f>'Acct Summary 7-8'!D19</f>
        <v>1155844</v>
      </c>
      <c r="C4137" s="2" t="s">
        <v>594</v>
      </c>
      <c r="D4137" s="2" t="str">
        <f t="shared" si="63"/>
        <v>Error?</v>
      </c>
    </row>
    <row r="4138" spans="1:4" x14ac:dyDescent="0.2">
      <c r="A4138" s="5">
        <v>4077</v>
      </c>
      <c r="B4138" s="138">
        <f>'Acct Summary 7-8'!E19</f>
        <v>549825</v>
      </c>
      <c r="C4138" s="2" t="s">
        <v>594</v>
      </c>
      <c r="D4138" s="2" t="str">
        <f t="shared" si="63"/>
        <v>Error?</v>
      </c>
    </row>
    <row r="4139" spans="1:4" x14ac:dyDescent="0.2">
      <c r="A4139" s="5">
        <v>4078</v>
      </c>
      <c r="B4139" s="138">
        <f>'Acct Summary 7-8'!F19</f>
        <v>331016</v>
      </c>
      <c r="C4139" s="2" t="s">
        <v>594</v>
      </c>
      <c r="D4139" s="2" t="str">
        <f t="shared" si="63"/>
        <v>Error?</v>
      </c>
    </row>
    <row r="4140" spans="1:4" x14ac:dyDescent="0.2">
      <c r="A4140" s="5">
        <v>4079</v>
      </c>
      <c r="B4140" s="138">
        <f>'Acct Summary 7-8'!G19</f>
        <v>352357</v>
      </c>
      <c r="C4140" s="2" t="s">
        <v>594</v>
      </c>
      <c r="D4140" s="2" t="str">
        <f t="shared" si="63"/>
        <v>Error?</v>
      </c>
    </row>
    <row r="4141" spans="1:4" x14ac:dyDescent="0.2">
      <c r="A4141" s="5">
        <v>4080</v>
      </c>
      <c r="B4141" s="138">
        <f>'Acct Summary 7-8'!H19</f>
        <v>143518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7429399</v>
      </c>
      <c r="C4171" s="2" t="s">
        <v>594</v>
      </c>
      <c r="D4171" s="2" t="str">
        <f t="shared" si="64"/>
        <v>Error?</v>
      </c>
    </row>
    <row r="4172" spans="1:4" x14ac:dyDescent="0.2">
      <c r="A4172" s="5">
        <v>4111</v>
      </c>
      <c r="B4172" s="138">
        <f>'Short-Term Long-Term Debt 24'!J49</f>
        <v>7418074</v>
      </c>
      <c r="C4172" s="2" t="s">
        <v>594</v>
      </c>
      <c r="D4172" s="2" t="str">
        <f t="shared" si="64"/>
        <v>Error?</v>
      </c>
    </row>
    <row r="4173" spans="1:4" x14ac:dyDescent="0.2">
      <c r="A4173" s="5">
        <v>4112</v>
      </c>
      <c r="B4173" s="138">
        <f>'Short-Term Long-Term Debt 24'!H49</f>
        <v>300000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2679</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195000</v>
      </c>
      <c r="C4202" s="2" t="s">
        <v>594</v>
      </c>
      <c r="D4202" s="2" t="str">
        <f t="shared" si="64"/>
        <v>Error?</v>
      </c>
    </row>
    <row r="4203" spans="1:4" x14ac:dyDescent="0.2">
      <c r="A4203" s="5">
        <v>4142</v>
      </c>
      <c r="B4203" s="138">
        <f>'Expenditures 15-22'!E139</f>
        <v>195000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1169</v>
      </c>
      <c r="D4210" s="2" t="str">
        <f t="shared" si="64"/>
        <v>Error?</v>
      </c>
    </row>
    <row r="4211" spans="1:4" x14ac:dyDescent="0.2">
      <c r="A4211" s="5">
        <v>4150</v>
      </c>
      <c r="B4211" s="138">
        <f>'Expenditures 15-22'!K206</f>
        <v>1169</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2540</v>
      </c>
      <c r="C4268" s="2" t="s">
        <v>594</v>
      </c>
      <c r="D4268" s="2" t="str">
        <f t="shared" si="65"/>
        <v>Error?</v>
      </c>
    </row>
    <row r="4269" spans="1:5" x14ac:dyDescent="0.2">
      <c r="A4269" s="12">
        <v>4208</v>
      </c>
      <c r="B4269" s="138">
        <f>'FP Info 3'!J16</f>
        <v>5044782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43276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32202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16238</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71908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69283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13910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81700153</v>
      </c>
      <c r="D4995" s="2" t="str">
        <f t="shared" si="77"/>
        <v>Error?</v>
      </c>
    </row>
    <row r="4996" spans="1:4" x14ac:dyDescent="0.2">
      <c r="A4996" s="12">
        <v>4935</v>
      </c>
      <c r="B4996" s="138">
        <f>'FP Info 3'!H31</f>
        <v>11274621.114</v>
      </c>
      <c r="D4996" s="2" t="str">
        <f t="shared" si="77"/>
        <v>Error?</v>
      </c>
    </row>
    <row r="4997" spans="1:4" x14ac:dyDescent="0.2">
      <c r="A4997" s="12">
        <v>4936</v>
      </c>
      <c r="B4997" s="138">
        <f>'FP Info 3'!H37</f>
        <v>7429399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36389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1339120</v>
      </c>
      <c r="D5061" s="2" t="str">
        <f t="shared" si="78"/>
        <v>Error?</v>
      </c>
    </row>
    <row r="5062" spans="1:4" x14ac:dyDescent="0.2">
      <c r="A5062" s="10">
        <v>5001</v>
      </c>
      <c r="D5062" s="2" t="str">
        <f t="shared" si="78"/>
        <v>OK</v>
      </c>
    </row>
    <row r="5063" spans="1:4" x14ac:dyDescent="0.2">
      <c r="A5063" s="5">
        <v>5002</v>
      </c>
      <c r="B5063" s="138">
        <f>'Revenues 9-14'!C7</f>
        <v>29111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1404620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43752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43752</v>
      </c>
      <c r="C5087" s="2" t="s">
        <v>594</v>
      </c>
      <c r="D5087" s="2" t="str">
        <f t="shared" si="78"/>
        <v>Error?</v>
      </c>
    </row>
    <row r="5088" spans="1:4" x14ac:dyDescent="0.2">
      <c r="A5088" s="5">
        <v>5027</v>
      </c>
      <c r="B5088" s="138">
        <f>'Revenues 9-14'!C65</f>
        <v>15946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15946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40000</v>
      </c>
      <c r="D5095" s="2" t="str">
        <f t="shared" si="78"/>
        <v>Error?</v>
      </c>
    </row>
    <row r="5096" spans="1:4" x14ac:dyDescent="0.2">
      <c r="A5096" s="5">
        <v>5035</v>
      </c>
      <c r="B5096" s="138">
        <f>'Revenues 9-14'!C75</f>
        <v>87678</v>
      </c>
      <c r="C5096" s="2" t="s">
        <v>594</v>
      </c>
      <c r="D5096" s="2" t="str">
        <f t="shared" si="78"/>
        <v>Error?</v>
      </c>
    </row>
    <row r="5097" spans="1:4" x14ac:dyDescent="0.2">
      <c r="A5097" s="5">
        <v>5036</v>
      </c>
      <c r="B5097" s="138">
        <f>'Revenues 9-14'!C77</f>
        <v>7494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22828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6200</v>
      </c>
      <c r="D5101" s="2" t="str">
        <f t="shared" si="78"/>
        <v>Error?</v>
      </c>
    </row>
    <row r="5102" spans="1:4" x14ac:dyDescent="0.2">
      <c r="A5102" s="5">
        <v>5041</v>
      </c>
      <c r="B5102" s="138">
        <f>'Revenues 9-14'!C82</f>
        <v>36522</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18455</v>
      </c>
      <c r="D5114" s="2" t="str">
        <f t="shared" si="78"/>
        <v>Error?</v>
      </c>
    </row>
    <row r="5115" spans="1:4" x14ac:dyDescent="0.2">
      <c r="A5115" s="5">
        <v>5054</v>
      </c>
      <c r="B5115" s="138">
        <f>'Revenues 9-14'!C98</f>
        <v>103151</v>
      </c>
      <c r="D5115" s="2" t="str">
        <f t="shared" si="78"/>
        <v>Error?</v>
      </c>
    </row>
    <row r="5116" spans="1:4" x14ac:dyDescent="0.2">
      <c r="A5116" s="5">
        <v>5055</v>
      </c>
      <c r="B5116" s="138">
        <f>'Revenues 9-14'!C99</f>
        <v>40761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13791</v>
      </c>
      <c r="D5119" s="2" t="str">
        <f t="shared" ref="D5119:D5182" si="79">IF(ISBLANK(B5119),"OK",IF(A5119-B5119=0,"OK","Error?"))</f>
        <v>Error?</v>
      </c>
    </row>
    <row r="5120" spans="1:4" x14ac:dyDescent="0.2">
      <c r="A5120" s="5">
        <v>5059</v>
      </c>
      <c r="B5120" s="138">
        <f>'Revenues 9-14'!C108</f>
        <v>181207</v>
      </c>
      <c r="C5120" s="2" t="s">
        <v>594</v>
      </c>
      <c r="D5120" s="2" t="str">
        <f t="shared" si="79"/>
        <v>Error?</v>
      </c>
    </row>
    <row r="5121" spans="1:4" x14ac:dyDescent="0.2">
      <c r="A5121" s="5">
        <v>5060</v>
      </c>
      <c r="B5121" s="138">
        <f>'Revenues 9-14'!C109</f>
        <v>1769725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6496998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6496998</v>
      </c>
      <c r="C5132" s="2" t="s">
        <v>594</v>
      </c>
      <c r="D5132" s="2" t="str">
        <f t="shared" si="79"/>
        <v>Error?</v>
      </c>
    </row>
    <row r="5133" spans="1:4" x14ac:dyDescent="0.2">
      <c r="A5133" s="5">
        <v>5072</v>
      </c>
      <c r="B5133" s="138">
        <f>'Revenues 9-14'!C124</f>
        <v>35573</v>
      </c>
      <c r="D5133" s="2" t="str">
        <f t="shared" si="79"/>
        <v>Error?</v>
      </c>
    </row>
    <row r="5134" spans="1:4" x14ac:dyDescent="0.2">
      <c r="A5134" s="5">
        <v>5073</v>
      </c>
      <c r="B5134" s="138">
        <f>'Revenues 9-14'!C125</f>
        <v>91482</v>
      </c>
      <c r="D5134" s="2" t="str">
        <f t="shared" si="79"/>
        <v>Error?</v>
      </c>
    </row>
    <row r="5135" spans="1:4" x14ac:dyDescent="0.2">
      <c r="A5135" s="5">
        <v>5074</v>
      </c>
      <c r="B5135" s="138">
        <f>'Revenues 9-14'!C126</f>
        <v>99731</v>
      </c>
      <c r="D5135" s="2" t="str">
        <f t="shared" si="79"/>
        <v>Error?</v>
      </c>
    </row>
    <row r="5136" spans="1:4" x14ac:dyDescent="0.2">
      <c r="A5136" s="10">
        <v>5075</v>
      </c>
      <c r="D5136" s="2" t="str">
        <f t="shared" si="79"/>
        <v>OK</v>
      </c>
    </row>
    <row r="5137" spans="1:4" x14ac:dyDescent="0.2">
      <c r="A5137" s="5">
        <v>5076</v>
      </c>
      <c r="B5137" s="138">
        <f>'Revenues 9-14'!C127</f>
        <v>13571</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240357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2115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3998</v>
      </c>
      <c r="D5167" s="2" t="str">
        <f t="shared" si="79"/>
        <v>Error?</v>
      </c>
    </row>
    <row r="5168" spans="1:4" x14ac:dyDescent="0.2">
      <c r="A5168" s="5">
        <v>5107</v>
      </c>
      <c r="B5168" s="138">
        <f>'Revenues 9-14'!C147</f>
        <v>13370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379479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1500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710102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7207100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216280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42583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258863</v>
      </c>
      <c r="C5246" s="2" t="s">
        <v>594</v>
      </c>
      <c r="D5246" s="2" t="str">
        <f t="shared" si="80"/>
        <v>Error?</v>
      </c>
    </row>
    <row r="5247" spans="1:4" x14ac:dyDescent="0.2">
      <c r="A5247" s="5">
        <v>5186</v>
      </c>
      <c r="B5247" s="138">
        <f>'Revenues 9-14'!C203</f>
        <v>387458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16238</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387458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123310</v>
      </c>
      <c r="D5278" s="2" t="str">
        <f t="shared" si="81"/>
        <v>Error?</v>
      </c>
    </row>
    <row r="5279" spans="1:4" x14ac:dyDescent="0.2">
      <c r="A5279" s="5">
        <v>5218</v>
      </c>
      <c r="B5279" s="138">
        <f>'Revenues 9-14'!C221</f>
        <v>4792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128102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951957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951957</v>
      </c>
      <c r="C5326" s="2" t="s">
        <v>594</v>
      </c>
      <c r="D5326" s="2" t="str">
        <f t="shared" si="82"/>
        <v>Error?</v>
      </c>
    </row>
    <row r="5327" spans="1:4" x14ac:dyDescent="0.2">
      <c r="A5327" s="5">
        <v>5266</v>
      </c>
      <c r="B5327" s="138">
        <f>'Revenues 9-14'!C275</f>
        <v>9928782</v>
      </c>
      <c r="C5327" s="2" t="s">
        <v>594</v>
      </c>
      <c r="D5327" s="2" t="str">
        <f t="shared" si="82"/>
        <v>Error?</v>
      </c>
    </row>
    <row r="5328" spans="1:4" x14ac:dyDescent="0.2">
      <c r="A5328" s="5">
        <v>5267</v>
      </c>
      <c r="B5328" s="138">
        <f>'Revenues 9-14'!D5</f>
        <v>363891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363891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254198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254198</v>
      </c>
      <c r="C5339" s="2" t="s">
        <v>594</v>
      </c>
      <c r="D5339" s="2" t="str">
        <f t="shared" si="82"/>
        <v>Error?</v>
      </c>
    </row>
    <row r="5340" spans="1:4" x14ac:dyDescent="0.2">
      <c r="A5340" s="5">
        <v>5279</v>
      </c>
      <c r="B5340" s="138">
        <f>'Revenues 9-14'!D65</f>
        <v>25465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25465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21600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6702</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4508</v>
      </c>
      <c r="D5354" s="2" t="str">
        <f t="shared" si="82"/>
        <v>Error?</v>
      </c>
    </row>
    <row r="5355" spans="1:4" x14ac:dyDescent="0.2">
      <c r="A5355" s="5">
        <v>5294</v>
      </c>
      <c r="B5355" s="138">
        <f>'Revenues 9-14'!D108</f>
        <v>32810</v>
      </c>
      <c r="C5355" s="2" t="s">
        <v>594</v>
      </c>
      <c r="D5355" s="2" t="str">
        <f t="shared" si="82"/>
        <v>Error?</v>
      </c>
    </row>
    <row r="5356" spans="1:4" x14ac:dyDescent="0.2">
      <c r="A5356" s="5">
        <v>5295</v>
      </c>
      <c r="B5356" s="138">
        <f>'Revenues 9-14'!D109</f>
        <v>676364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649091</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649091</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649091</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1325455</v>
      </c>
      <c r="C5508" s="2" t="s">
        <v>594</v>
      </c>
      <c r="D5508" s="2" t="str">
        <f t="shared" si="85"/>
        <v>Error?</v>
      </c>
    </row>
    <row r="5509" spans="1:4" x14ac:dyDescent="0.2">
      <c r="A5509" s="5">
        <v>5448</v>
      </c>
      <c r="B5509" s="138">
        <f>'Revenues 9-14'!E5</f>
        <v>508029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508029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10000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10000</v>
      </c>
      <c r="C5526" s="2" t="s">
        <v>594</v>
      </c>
      <c r="D5526" s="2" t="str">
        <f t="shared" si="85"/>
        <v>Error?</v>
      </c>
    </row>
    <row r="5527" spans="1:4" x14ac:dyDescent="0.2">
      <c r="A5527" s="5">
        <v>5466</v>
      </c>
      <c r="B5527" s="138">
        <f>'Revenues 9-14'!E109</f>
        <v>518029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518029</v>
      </c>
      <c r="C5552" s="2" t="s">
        <v>594</v>
      </c>
      <c r="D5552" s="2" t="str">
        <f t="shared" si="85"/>
        <v>Error?</v>
      </c>
    </row>
    <row r="5553" spans="1:4" x14ac:dyDescent="0.2">
      <c r="A5553" s="5">
        <v>5492</v>
      </c>
      <c r="B5553" s="138">
        <f>'Revenues 9-14'!F5</f>
        <v>145557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145557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11639</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11639</v>
      </c>
      <c r="C5587" s="2" t="s">
        <v>594</v>
      </c>
      <c r="D5587" s="2" t="str">
        <f t="shared" si="86"/>
        <v>Error?</v>
      </c>
    </row>
    <row r="5588" spans="1:4" x14ac:dyDescent="0.2">
      <c r="A5588" s="5">
        <v>5527</v>
      </c>
      <c r="B5588" s="138">
        <f>'Revenues 9-14'!F109</f>
        <v>157196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97167</v>
      </c>
      <c r="D5615" s="2" t="str">
        <f t="shared" si="86"/>
        <v>Error?</v>
      </c>
    </row>
    <row r="5616" spans="1:4" x14ac:dyDescent="0.2">
      <c r="A5616" s="10">
        <v>5555</v>
      </c>
      <c r="D5616" s="2" t="str">
        <f t="shared" si="86"/>
        <v>OK</v>
      </c>
    </row>
    <row r="5617" spans="1:4" x14ac:dyDescent="0.2">
      <c r="A5617" s="5">
        <v>5556</v>
      </c>
      <c r="B5617" s="138">
        <f>'Revenues 9-14'!F152</f>
        <v>29706</v>
      </c>
      <c r="D5617" s="2" t="str">
        <f t="shared" si="86"/>
        <v>Error?</v>
      </c>
    </row>
    <row r="5618" spans="1:4" x14ac:dyDescent="0.2">
      <c r="A5618" s="5">
        <v>5557</v>
      </c>
      <c r="B5618" s="138">
        <f>'Revenues 9-14'!F154</f>
        <v>126873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126873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126873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284069</v>
      </c>
      <c r="C5720" s="2" t="s">
        <v>594</v>
      </c>
      <c r="D5720" s="2" t="str">
        <f t="shared" si="88"/>
        <v>Error?</v>
      </c>
    </row>
    <row r="5721" spans="1:4" x14ac:dyDescent="0.2">
      <c r="A5721" s="5">
        <v>5660</v>
      </c>
      <c r="B5721" s="138">
        <f>'Revenues 9-14'!G5</f>
        <v>197608</v>
      </c>
      <c r="D5721" s="2" t="str">
        <f t="shared" si="88"/>
        <v>Error?</v>
      </c>
    </row>
    <row r="5722" spans="1:4" x14ac:dyDescent="0.2">
      <c r="A5722" s="5">
        <v>5661</v>
      </c>
      <c r="B5722" s="138">
        <f>'Revenues 9-14'!G7</f>
        <v>0</v>
      </c>
      <c r="D5722" s="2" t="str">
        <f t="shared" si="88"/>
        <v>Error?</v>
      </c>
    </row>
    <row r="5723" spans="1:4" x14ac:dyDescent="0.2">
      <c r="A5723" s="5">
        <v>5662</v>
      </c>
      <c r="B5723" s="138">
        <f>'Revenues 9-14'!G8</f>
        <v>197608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395216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3427</v>
      </c>
      <c r="D5736" s="2" t="str">
        <f t="shared" si="88"/>
        <v>Error?</v>
      </c>
    </row>
    <row r="5737" spans="1:4" x14ac:dyDescent="0.2">
      <c r="A5737" s="5">
        <v>5676</v>
      </c>
      <c r="B5737" s="138">
        <f>'Revenues 9-14'!G108</f>
        <v>3427</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403643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11500</v>
      </c>
      <c r="D5885" s="2" t="str">
        <f t="shared" si="90"/>
        <v>Error?</v>
      </c>
    </row>
    <row r="5886" spans="1:4" x14ac:dyDescent="0.2">
      <c r="A5886" s="5">
        <v>5825</v>
      </c>
      <c r="B5886" s="138">
        <f>'Revenues 9-14'!H108</f>
        <v>372862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372862</v>
      </c>
      <c r="C5915" s="2" t="s">
        <v>594</v>
      </c>
      <c r="D5915" s="2" t="str">
        <f t="shared" si="91"/>
        <v>Error?</v>
      </c>
    </row>
    <row r="5916" spans="1:4" x14ac:dyDescent="0.2">
      <c r="A5916" s="5">
        <v>5855</v>
      </c>
      <c r="B5916" s="138">
        <f>'Revenues 9-14'!I5</f>
        <v>36389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36389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36389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403643</v>
      </c>
      <c r="C6024" s="2" t="s">
        <v>594</v>
      </c>
      <c r="D6024" s="2" t="str">
        <f t="shared" si="93"/>
        <v>Error?</v>
      </c>
    </row>
    <row r="6025" spans="1:5" x14ac:dyDescent="0.2">
      <c r="A6025" s="5">
        <v>5964</v>
      </c>
      <c r="B6025" s="138">
        <f>'Revenues 9-14'!H109</f>
        <v>372862</v>
      </c>
      <c r="C6025" s="2" t="s">
        <v>594</v>
      </c>
      <c r="D6025" s="2" t="str">
        <f t="shared" si="93"/>
        <v>Error?</v>
      </c>
    </row>
    <row r="6026" spans="1:5" x14ac:dyDescent="0.2">
      <c r="A6026" s="5">
        <v>5965</v>
      </c>
      <c r="B6026" s="138">
        <f>'Revenues 9-14'!I109</f>
        <v>36389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47678</v>
      </c>
      <c r="D6031" s="2" t="str">
        <f t="shared" si="93"/>
        <v>Error?</v>
      </c>
    </row>
    <row r="6032" spans="1:5" x14ac:dyDescent="0.2">
      <c r="A6032" s="5">
        <v>5971</v>
      </c>
      <c r="B6032" s="138">
        <f>'Acct Summary 7-8'!G15</f>
        <v>56152</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34150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818.53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8100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34143</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250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381088</v>
      </c>
      <c r="D6124" s="2" t="str">
        <f t="shared" si="94"/>
        <v>Error?</v>
      </c>
      <c r="E6124" s="2" t="s">
        <v>199</v>
      </c>
    </row>
    <row r="6125" spans="1:5" x14ac:dyDescent="0.2">
      <c r="A6125">
        <v>6064</v>
      </c>
      <c r="B6125" s="138">
        <f>'Assets-Liab 5-6'!C25</f>
        <v>8100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27356</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381088</v>
      </c>
      <c r="D6215" s="2" t="str">
        <f t="shared" si="96"/>
        <v>Error?</v>
      </c>
      <c r="E6215" s="2" t="s">
        <v>199</v>
      </c>
    </row>
    <row r="6216" spans="1:5" x14ac:dyDescent="0.2">
      <c r="A6216">
        <v>6155</v>
      </c>
      <c r="B6216" s="138">
        <f>'Assets-Liab 5-6'!J41</f>
        <v>381088</v>
      </c>
      <c r="D6216" s="2" t="str">
        <f t="shared" si="96"/>
        <v>Error?</v>
      </c>
      <c r="E6216" s="2" t="s">
        <v>199</v>
      </c>
    </row>
    <row r="6217" spans="1:5" x14ac:dyDescent="0.2">
      <c r="A6217">
        <v>6156</v>
      </c>
      <c r="B6217" s="138">
        <f>'Assets-Liab 5-6'!J4</f>
        <v>372988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59467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59467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59467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286654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286654</v>
      </c>
      <c r="D6229" s="2" t="str">
        <f t="shared" si="96"/>
        <v>Error?</v>
      </c>
      <c r="E6229" s="2" t="s">
        <v>199</v>
      </c>
    </row>
    <row r="6230" spans="1:5" x14ac:dyDescent="0.2">
      <c r="A6230">
        <v>6169</v>
      </c>
      <c r="B6230" s="138">
        <f>'Acct Summary 7-8'!J20</f>
        <v>-227187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-227187</v>
      </c>
      <c r="D6263" s="2" t="str">
        <f t="shared" si="96"/>
        <v>Error?</v>
      </c>
      <c r="E6263" s="2" t="s">
        <v>199</v>
      </c>
    </row>
    <row r="6264" spans="1:5" x14ac:dyDescent="0.2">
      <c r="A6264">
        <v>6203</v>
      </c>
      <c r="B6264" s="138">
        <f>'Acct Summary 7-8'!J79</f>
        <v>608275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381088</v>
      </c>
      <c r="D6266" s="2" t="str">
        <f t="shared" si="96"/>
        <v>Error?</v>
      </c>
      <c r="E6266" s="2" t="s">
        <v>199</v>
      </c>
    </row>
    <row r="6267" spans="1:5" x14ac:dyDescent="0.2">
      <c r="A6267">
        <v>6206</v>
      </c>
      <c r="B6267" s="138">
        <f>'Acct Summary 7-8'!C82</f>
        <v>738554</v>
      </c>
      <c r="D6267" s="2" t="str">
        <f t="shared" si="96"/>
        <v>Error?</v>
      </c>
      <c r="E6267" s="2" t="s">
        <v>199</v>
      </c>
    </row>
    <row r="6268" spans="1:5" x14ac:dyDescent="0.2">
      <c r="A6268">
        <v>6207</v>
      </c>
      <c r="B6268" s="138">
        <f>'Acct Summary 7-8'!D82</f>
        <v>169611</v>
      </c>
      <c r="D6268" s="2" t="str">
        <f t="shared" si="96"/>
        <v>Error?</v>
      </c>
      <c r="E6268" s="2" t="s">
        <v>199</v>
      </c>
    </row>
    <row r="6269" spans="1:5" x14ac:dyDescent="0.2">
      <c r="A6269">
        <v>6208</v>
      </c>
      <c r="B6269" s="138">
        <f>'Acct Summary 7-8'!E82</f>
        <v>-31796</v>
      </c>
      <c r="D6269" s="2" t="str">
        <f t="shared" si="96"/>
        <v>Error?</v>
      </c>
      <c r="E6269" s="2" t="s">
        <v>199</v>
      </c>
    </row>
    <row r="6270" spans="1:5" x14ac:dyDescent="0.2">
      <c r="A6270">
        <v>6209</v>
      </c>
      <c r="B6270" s="138">
        <f>'Acct Summary 7-8'!F82</f>
        <v>-46947</v>
      </c>
      <c r="D6270" s="2" t="str">
        <f t="shared" si="96"/>
        <v>Error?</v>
      </c>
      <c r="E6270" s="2" t="s">
        <v>199</v>
      </c>
    </row>
    <row r="6271" spans="1:5" x14ac:dyDescent="0.2">
      <c r="A6271">
        <v>6210</v>
      </c>
      <c r="B6271" s="138">
        <f>'Acct Summary 7-8'!G82</f>
        <v>51286</v>
      </c>
      <c r="D6271" s="2" t="str">
        <f t="shared" ref="D6271:D6334" si="97">IF(ISBLANK(B6271),"OK",IF(A6271-B6271=0,"OK","Error?"))</f>
        <v>Error?</v>
      </c>
      <c r="E6271" s="2" t="s">
        <v>199</v>
      </c>
    </row>
    <row r="6272" spans="1:5" x14ac:dyDescent="0.2">
      <c r="A6272">
        <v>6211</v>
      </c>
      <c r="B6272" s="138">
        <f>'Acct Summary 7-8'!H82</f>
        <v>229344</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-227187</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0.38265024335501441</v>
      </c>
      <c r="D6276" s="2" t="str">
        <f t="shared" si="97"/>
        <v>Error?</v>
      </c>
      <c r="E6276" s="2" t="s">
        <v>199</v>
      </c>
    </row>
    <row r="6277" spans="1:5" x14ac:dyDescent="0.2">
      <c r="A6277">
        <v>6216</v>
      </c>
      <c r="B6277" s="138">
        <f>'Acct Summary 7-8'!D83</f>
        <v>7.5134256119434459E-2</v>
      </c>
      <c r="D6277" s="2" t="str">
        <f t="shared" si="97"/>
        <v>Error?</v>
      </c>
      <c r="E6277" s="2" t="s">
        <v>199</v>
      </c>
    </row>
    <row r="6278" spans="1:5" x14ac:dyDescent="0.2">
      <c r="A6278">
        <v>6217</v>
      </c>
      <c r="B6278" s="138">
        <f>'Acct Summary 7-8'!E83</f>
        <v>-2.8075938189845475</v>
      </c>
      <c r="D6278" s="2" t="str">
        <f t="shared" si="97"/>
        <v>Error?</v>
      </c>
      <c r="E6278" s="2" t="s">
        <v>199</v>
      </c>
    </row>
    <row r="6279" spans="1:5" x14ac:dyDescent="0.2">
      <c r="A6279">
        <v>6218</v>
      </c>
      <c r="B6279" s="138">
        <f>'Acct Summary 7-8'!F83</f>
        <v>-5.4765229381235847E-2</v>
      </c>
      <c r="D6279" s="2" t="str">
        <f t="shared" si="97"/>
        <v>Error?</v>
      </c>
      <c r="E6279" s="2" t="s">
        <v>199</v>
      </c>
    </row>
    <row r="6280" spans="1:5" x14ac:dyDescent="0.2">
      <c r="A6280">
        <v>6219</v>
      </c>
      <c r="B6280" s="138">
        <f>'Acct Summary 7-8'!G83</f>
        <v>0.14483233833936732</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-0.59615364430262829</v>
      </c>
      <c r="D6283" s="2" t="str">
        <f t="shared" si="97"/>
        <v>Error?</v>
      </c>
      <c r="E6283" s="2" t="s">
        <v>199</v>
      </c>
    </row>
    <row r="6284" spans="1:5" x14ac:dyDescent="0.2">
      <c r="A6284">
        <v>6223</v>
      </c>
      <c r="B6284" s="138">
        <f>'Acct Summary 7-8'!K83</f>
        <v>0</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59467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59467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5049</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59467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2115</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15235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56056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45440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225007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59467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149</v>
      </c>
      <c r="D7067" s="2" t="str">
        <f t="shared" si="109"/>
        <v>Error?</v>
      </c>
    </row>
    <row r="7068" spans="1:4" x14ac:dyDescent="0.2">
      <c r="A7068">
        <v>7007</v>
      </c>
      <c r="B7068" s="138">
        <f>'Expenditures 15-22'!K205</f>
        <v>149</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373</v>
      </c>
      <c r="D7073" s="2" t="str">
        <f t="shared" si="109"/>
        <v>Error?</v>
      </c>
    </row>
    <row r="7074" spans="1:4" x14ac:dyDescent="0.2">
      <c r="A7074">
        <v>7013</v>
      </c>
      <c r="B7074" s="138">
        <f>'Expenditures 15-22'!K216</f>
        <v>373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173744</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173744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49200</v>
      </c>
      <c r="D7172" s="2" t="str">
        <f t="shared" si="111"/>
        <v>Error?</v>
      </c>
    </row>
    <row r="7173" spans="1:4" x14ac:dyDescent="0.2">
      <c r="A7173">
        <v>7112</v>
      </c>
      <c r="B7173" s="138">
        <f>'Expenditures 15-22'!D325</f>
        <v>2063</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51263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49200</v>
      </c>
      <c r="D7199" s="2" t="str">
        <f t="shared" si="111"/>
        <v>Error?</v>
      </c>
    </row>
    <row r="7200" spans="1:4" x14ac:dyDescent="0.2">
      <c r="A7200">
        <v>7139</v>
      </c>
      <c r="B7200" s="138">
        <f>'Expenditures 15-22'!D330</f>
        <v>2063</v>
      </c>
      <c r="D7200" s="2" t="str">
        <f t="shared" si="111"/>
        <v>Error?</v>
      </c>
    </row>
    <row r="7201" spans="1:4" x14ac:dyDescent="0.2">
      <c r="A7201">
        <v>7140</v>
      </c>
      <c r="B7201" s="138">
        <f>'Expenditures 15-22'!E330</f>
        <v>173744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225007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49200</v>
      </c>
      <c r="D7216" s="2" t="str">
        <f t="shared" si="111"/>
        <v>Error?</v>
      </c>
    </row>
    <row r="7217" spans="1:4" x14ac:dyDescent="0.2">
      <c r="A7217">
        <v>7156</v>
      </c>
      <c r="B7217" s="138">
        <f>'Expenditures 15-22'!D342</f>
        <v>2063</v>
      </c>
      <c r="D7217" s="2" t="str">
        <f t="shared" si="111"/>
        <v>Error?</v>
      </c>
    </row>
    <row r="7218" spans="1:4" x14ac:dyDescent="0.2">
      <c r="A7218">
        <v>7157</v>
      </c>
      <c r="B7218" s="138">
        <f>'Expenditures 15-22'!E342</f>
        <v>173744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61647</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286654</v>
      </c>
      <c r="D7224" s="2" t="str">
        <f t="shared" si="111"/>
        <v>Error?</v>
      </c>
    </row>
    <row r="7225" spans="1:4" x14ac:dyDescent="0.2">
      <c r="A7225">
        <v>7164</v>
      </c>
      <c r="B7225" s="138">
        <f>'Expenditures 15-22'!K343</f>
        <v>-227187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931</v>
      </c>
      <c r="D7246" s="2" t="str">
        <f t="shared" si="112"/>
        <v>Error?</v>
      </c>
    </row>
    <row r="7247" spans="1:4" x14ac:dyDescent="0.2">
      <c r="A7247">
        <f t="shared" si="113"/>
        <v>7186</v>
      </c>
      <c r="B7247" s="138">
        <f>'Expenditures 15-22'!E7</f>
        <v>3593</v>
      </c>
      <c r="D7247" s="2" t="str">
        <f t="shared" si="112"/>
        <v>Error?</v>
      </c>
    </row>
    <row r="7248" spans="1:4" x14ac:dyDescent="0.2">
      <c r="A7248">
        <f t="shared" si="113"/>
        <v>7187</v>
      </c>
      <c r="B7248" s="138">
        <f>'Expenditures 15-22'!F7</f>
        <v>19274</v>
      </c>
      <c r="D7248" s="2" t="str">
        <f t="shared" si="112"/>
        <v>Error?</v>
      </c>
    </row>
    <row r="7249" spans="1:4" x14ac:dyDescent="0.2">
      <c r="A7249">
        <f t="shared" si="113"/>
        <v>7188</v>
      </c>
      <c r="B7249" s="138">
        <f>'Expenditures 15-22'!G7</f>
        <v>17023</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35138</v>
      </c>
      <c r="D7251" s="2" t="str">
        <f t="shared" si="112"/>
        <v>Error?</v>
      </c>
    </row>
    <row r="7252" spans="1:4" x14ac:dyDescent="0.2">
      <c r="A7252">
        <f t="shared" si="113"/>
        <v>7191</v>
      </c>
      <c r="B7252" s="138">
        <f>'Expenditures 15-22'!D9</f>
        <v>10138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164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626794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361362</v>
      </c>
      <c r="D7713" s="2" t="str">
        <f t="shared" si="126"/>
        <v>Error?</v>
      </c>
      <c r="E7713" s="2" t="s">
        <v>881</v>
      </c>
    </row>
    <row r="7714" spans="1:6" x14ac:dyDescent="0.2">
      <c r="A7714">
        <v>7653</v>
      </c>
      <c r="B7714" s="138">
        <f>'Rest Tax Levies-Tort Im 25'!K9</f>
        <v>13370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361362</v>
      </c>
      <c r="D7718" s="2" t="str">
        <f t="shared" si="126"/>
        <v>Error?</v>
      </c>
      <c r="E7718" s="2" t="s">
        <v>881</v>
      </c>
    </row>
    <row r="7719" spans="1:6" x14ac:dyDescent="0.2">
      <c r="A7719">
        <v>7658</v>
      </c>
      <c r="B7719" s="138">
        <f>'Rest Tax Levies-Tort Im 25'!K12</f>
        <v>13370</v>
      </c>
      <c r="D7719" s="2" t="str">
        <f t="shared" si="126"/>
        <v>Error?</v>
      </c>
      <c r="E7719" s="2" t="s">
        <v>881</v>
      </c>
    </row>
    <row r="7720" spans="1:6" x14ac:dyDescent="0.2">
      <c r="A7720">
        <v>7659</v>
      </c>
      <c r="B7720" s="138">
        <f>'Rest Tax Levies-Tort Im 25'!H14</f>
        <v>29111</v>
      </c>
      <c r="D7720" s="2" t="str">
        <f t="shared" si="126"/>
        <v>Error?</v>
      </c>
      <c r="E7720" s="2" t="s">
        <v>881</v>
      </c>
    </row>
    <row r="7721" spans="1:6" x14ac:dyDescent="0.2">
      <c r="A7721">
        <v>7660</v>
      </c>
      <c r="B7721" s="138">
        <f>'Rest Tax Levies-Tort Im 25'!K14</f>
        <v>13370</v>
      </c>
      <c r="D7721" s="2" t="str">
        <f t="shared" si="126"/>
        <v>Error?</v>
      </c>
      <c r="E7721" s="2" t="s">
        <v>881</v>
      </c>
    </row>
    <row r="7722" spans="1:6" x14ac:dyDescent="0.2">
      <c r="A7722">
        <v>7661</v>
      </c>
      <c r="B7722" s="138">
        <f>'Rest Tax Levies-Tort Im 25'!J15</f>
        <v>143518</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143518</v>
      </c>
      <c r="D7730" s="2" t="str">
        <f t="shared" si="126"/>
        <v>Error?</v>
      </c>
      <c r="E7730" s="2" t="s">
        <v>881</v>
      </c>
    </row>
    <row r="7731" spans="1:6" x14ac:dyDescent="0.2">
      <c r="A7731">
        <v>7670</v>
      </c>
      <c r="B7731" s="138">
        <f>'Revenues 9-14'!H103</f>
        <v>361362</v>
      </c>
      <c r="D7731" s="2" t="str">
        <f t="shared" si="126"/>
        <v>Error?</v>
      </c>
      <c r="E7731" s="2" t="s">
        <v>881</v>
      </c>
    </row>
    <row r="7732" spans="1:6" x14ac:dyDescent="0.2">
      <c r="A7732">
        <v>7671</v>
      </c>
      <c r="B7732" s="138">
        <f>'Rest Tax Levies-Tort Im 25'!J24</f>
        <v>217844</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217844</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36389</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195000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195000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56152</v>
      </c>
      <c r="D7783" s="2" t="str">
        <f t="shared" si="127"/>
        <v>Error?</v>
      </c>
      <c r="E7783" s="4" t="s">
        <v>1966</v>
      </c>
    </row>
    <row r="7784" spans="1:5" x14ac:dyDescent="0.2">
      <c r="A7784">
        <v>7723</v>
      </c>
      <c r="B7784" s="138">
        <f>'Expenditures 15-22'!K282</f>
        <v>56152</v>
      </c>
      <c r="D7784" s="2" t="str">
        <f t="shared" si="127"/>
        <v>Error?</v>
      </c>
      <c r="E7784" s="4" t="s">
        <v>1966</v>
      </c>
    </row>
    <row r="7785" spans="1:5" x14ac:dyDescent="0.2">
      <c r="A7785">
        <v>7724</v>
      </c>
      <c r="B7785" s="138">
        <f>'Expenditures 15-22'!H332</f>
        <v>61647</v>
      </c>
      <c r="D7785" s="2" t="str">
        <f t="shared" si="127"/>
        <v>Error?</v>
      </c>
      <c r="E7785" s="4" t="s">
        <v>1966</v>
      </c>
    </row>
    <row r="7786" spans="1:5" x14ac:dyDescent="0.2">
      <c r="A7786">
        <v>7725</v>
      </c>
      <c r="B7786" s="138">
        <f>'Expenditures 15-22'!K332</f>
        <v>61647</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61647</v>
      </c>
      <c r="D7789" s="2" t="str">
        <f t="shared" si="127"/>
        <v>Error?</v>
      </c>
      <c r="E7789" s="4" t="s">
        <v>1966</v>
      </c>
    </row>
    <row r="7790" spans="1:5" x14ac:dyDescent="0.2">
      <c r="A7790">
        <v>7729</v>
      </c>
      <c r="B7790" s="138">
        <f>'Expenditures 15-22'!K334</f>
        <v>61647</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61647</v>
      </c>
      <c r="D7796" s="2" t="str">
        <f t="shared" si="127"/>
        <v>Error?</v>
      </c>
      <c r="E7796" s="4" t="s">
        <v>1966</v>
      </c>
    </row>
    <row r="7797" spans="1:5" x14ac:dyDescent="0.2">
      <c r="A7797">
        <v>7736</v>
      </c>
      <c r="B7797" s="138">
        <f>'Contracts Paid in CY 29'!D141</f>
        <v>238400</v>
      </c>
      <c r="D7797" s="2" t="str">
        <f t="shared" si="127"/>
        <v>Error?</v>
      </c>
      <c r="E7797" s="4" t="s">
        <v>2019</v>
      </c>
    </row>
    <row r="7798" spans="1:5" x14ac:dyDescent="0.2">
      <c r="A7798">
        <v>7737</v>
      </c>
      <c r="B7798" s="138">
        <f>'Contracts Paid in CY 29'!F141</f>
        <v>50000</v>
      </c>
      <c r="D7798" s="2" t="str">
        <f t="shared" si="127"/>
        <v>Error?</v>
      </c>
      <c r="E7798" s="4" t="s">
        <v>2019</v>
      </c>
    </row>
    <row r="7799" spans="1:5" x14ac:dyDescent="0.2">
      <c r="A7799">
        <v>7738</v>
      </c>
      <c r="B7799" s="138">
        <f>'Contracts Paid in CY 29'!G141</f>
        <v>188400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3" zoomScale="110" zoomScaleNormal="110" workbookViewId="0">
      <selection activeCell="B47" sqref="B47"/>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37" t="s">
        <v>1253</v>
      </c>
      <c r="B2" s="2437"/>
      <c r="C2" s="2437"/>
      <c r="D2" s="2437"/>
      <c r="E2" s="2437"/>
      <c r="F2" s="2437"/>
      <c r="G2" s="2437"/>
      <c r="H2" s="2437"/>
      <c r="I2" s="2437"/>
      <c r="J2" s="2437"/>
      <c r="K2" s="2437"/>
      <c r="L2" s="2437"/>
    </row>
    <row r="3" spans="1:29" ht="13.5" customHeight="1" x14ac:dyDescent="0.2">
      <c r="A3" s="2423" t="s">
        <v>1252</v>
      </c>
      <c r="B3" s="2423"/>
      <c r="C3" s="2423"/>
      <c r="D3" s="2423"/>
      <c r="E3" s="2423"/>
      <c r="F3" s="2423"/>
      <c r="G3" s="2423"/>
      <c r="H3" s="2423"/>
      <c r="I3" s="2423"/>
      <c r="J3" s="2423"/>
      <c r="K3" s="2423"/>
      <c r="L3" s="2423"/>
    </row>
    <row r="4" spans="1:29" ht="13.5" customHeight="1" x14ac:dyDescent="0.2">
      <c r="A4" s="2437" t="s">
        <v>1799</v>
      </c>
      <c r="B4" s="2454"/>
      <c r="C4" s="2454"/>
      <c r="D4" s="2454"/>
      <c r="E4" s="2454"/>
      <c r="F4" s="2454"/>
      <c r="G4" s="2454"/>
      <c r="H4" s="2454"/>
      <c r="I4" s="2454"/>
      <c r="J4" s="2454"/>
      <c r="K4" s="2454"/>
      <c r="L4" s="245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17" t="str">
        <f>COVER!A17</f>
        <v>Paris-Union SD 95</v>
      </c>
      <c r="B7" s="2418"/>
      <c r="C7" s="2418"/>
      <c r="D7" s="2455"/>
      <c r="E7" s="2456">
        <f>COVER!A13</f>
        <v>11023095025</v>
      </c>
      <c r="F7" s="2457"/>
      <c r="G7" s="2424" t="str">
        <f>COVER!T23</f>
        <v>006-003072</v>
      </c>
      <c r="H7" s="2425"/>
      <c r="I7" s="2425"/>
      <c r="J7" s="2425"/>
      <c r="K7" s="2425"/>
      <c r="L7" s="2426"/>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27"/>
      <c r="B9" s="2428"/>
      <c r="C9" s="2428"/>
      <c r="D9" s="2428"/>
      <c r="E9" s="2428"/>
      <c r="F9" s="2429"/>
      <c r="G9" s="2430" t="str">
        <f>COVER!T13</f>
        <v>Larsson, Woodyard &amp; Henson, LLP</v>
      </c>
      <c r="H9" s="2431"/>
      <c r="I9" s="2431"/>
      <c r="J9" s="2431"/>
      <c r="K9" s="2431"/>
      <c r="L9" s="2432"/>
    </row>
    <row r="10" spans="1:29" ht="13.5" customHeight="1" x14ac:dyDescent="0.2">
      <c r="A10" s="2414" t="str">
        <f>COVER!A38</f>
        <v>Jeremy Larson</v>
      </c>
      <c r="B10" s="2415"/>
      <c r="C10" s="2415"/>
      <c r="D10" s="2415"/>
      <c r="E10" s="2415"/>
      <c r="F10" s="2416"/>
      <c r="G10" s="2430" t="str">
        <f>COVER!T17</f>
        <v>129 W. Sale Street; P.O. Box 407</v>
      </c>
      <c r="H10" s="2443"/>
      <c r="I10" s="2443"/>
      <c r="J10" s="2443"/>
      <c r="K10" s="2443"/>
      <c r="L10" s="2444"/>
    </row>
    <row r="11" spans="1:29" ht="13.5" customHeight="1" x14ac:dyDescent="0.2">
      <c r="A11" s="1184" t="s">
        <v>1599</v>
      </c>
      <c r="B11" s="1185"/>
      <c r="C11" s="1186"/>
      <c r="D11" s="1191"/>
      <c r="E11" s="1186"/>
      <c r="F11" s="1190"/>
      <c r="G11" s="2430" t="str">
        <f>COVER!T19</f>
        <v>Tuscola</v>
      </c>
      <c r="H11" s="2443"/>
      <c r="I11" s="2443"/>
      <c r="J11" s="2443"/>
      <c r="K11" s="2443"/>
      <c r="L11" s="2444"/>
    </row>
    <row r="12" spans="1:29" ht="13.5" customHeight="1" x14ac:dyDescent="0.2">
      <c r="A12" s="2448" t="s">
        <v>1598</v>
      </c>
      <c r="B12" s="2449"/>
      <c r="C12" s="2449"/>
      <c r="D12" s="2449"/>
      <c r="E12" s="2449"/>
      <c r="F12" s="2450"/>
      <c r="G12" s="2445"/>
      <c r="H12" s="2446"/>
      <c r="I12" s="2446"/>
      <c r="J12" s="2446"/>
      <c r="K12" s="2446"/>
      <c r="L12" s="2447"/>
    </row>
    <row r="13" spans="1:29" ht="13.5" customHeight="1" x14ac:dyDescent="0.2">
      <c r="A13" s="2430"/>
      <c r="B13" s="2443"/>
      <c r="C13" s="2443"/>
      <c r="D13" s="2443"/>
      <c r="E13" s="2443"/>
      <c r="F13" s="2444"/>
      <c r="G13" s="2438" t="s">
        <v>1600</v>
      </c>
      <c r="H13" s="2439"/>
      <c r="I13" s="2451" t="str">
        <f>COVER!T25</f>
        <v>CROOT@LWHCPA.COM</v>
      </c>
      <c r="J13" s="2452"/>
      <c r="K13" s="2452"/>
      <c r="L13" s="2453"/>
    </row>
    <row r="14" spans="1:29" ht="13.5" customHeight="1" x14ac:dyDescent="0.2">
      <c r="A14" s="2430" t="str">
        <f>COVER!A19</f>
        <v>300 East Wood Street</v>
      </c>
      <c r="B14" s="2443"/>
      <c r="C14" s="2443"/>
      <c r="D14" s="2443"/>
      <c r="E14" s="2443"/>
      <c r="F14" s="2444"/>
      <c r="G14" s="1195" t="s">
        <v>1247</v>
      </c>
      <c r="H14" s="1193"/>
      <c r="I14" s="1193"/>
      <c r="J14" s="1193"/>
      <c r="K14" s="1193"/>
      <c r="L14" s="1194"/>
    </row>
    <row r="15" spans="1:29" ht="13.5" customHeight="1" x14ac:dyDescent="0.2">
      <c r="A15" s="2430" t="str">
        <f>COVER!A21</f>
        <v>Paris</v>
      </c>
      <c r="B15" s="2443"/>
      <c r="C15" s="2443"/>
      <c r="D15" s="2443"/>
      <c r="E15" s="2443"/>
      <c r="F15" s="2444"/>
      <c r="G15" s="2440" t="str">
        <f>COVER!T15</f>
        <v xml:space="preserve">Curtis O. Root, CPA </v>
      </c>
      <c r="H15" s="2441"/>
      <c r="I15" s="2441"/>
      <c r="J15" s="2441"/>
      <c r="K15" s="2441"/>
      <c r="L15" s="2442"/>
    </row>
    <row r="16" spans="1:29" ht="12.2" customHeight="1" x14ac:dyDescent="0.2">
      <c r="A16" s="2420">
        <f>COVER!A25</f>
        <v>61944</v>
      </c>
      <c r="B16" s="2421"/>
      <c r="C16" s="2421"/>
      <c r="D16" s="2421"/>
      <c r="E16" s="2421"/>
      <c r="F16" s="2422"/>
      <c r="G16" s="2433"/>
      <c r="H16" s="2434"/>
      <c r="I16" s="2434"/>
      <c r="J16" s="2434"/>
      <c r="K16" s="2434"/>
      <c r="L16" s="2435"/>
    </row>
    <row r="17" spans="1:13" ht="12.2" customHeight="1" x14ac:dyDescent="0.2">
      <c r="A17" s="2436"/>
      <c r="B17" s="2421"/>
      <c r="C17" s="2421"/>
      <c r="D17" s="2421"/>
      <c r="E17" s="2421"/>
      <c r="F17" s="2422"/>
      <c r="G17" s="1195" t="s">
        <v>1246</v>
      </c>
      <c r="H17" s="1193"/>
      <c r="I17" s="1193"/>
      <c r="J17" s="1193"/>
      <c r="K17" s="1197" t="s">
        <v>1245</v>
      </c>
      <c r="L17" s="1190"/>
      <c r="M17" s="1183"/>
    </row>
    <row r="18" spans="1:13" ht="12.2" customHeight="1" x14ac:dyDescent="0.2">
      <c r="A18" s="2414"/>
      <c r="B18" s="2415"/>
      <c r="C18" s="2415"/>
      <c r="D18" s="2415"/>
      <c r="E18" s="2415"/>
      <c r="F18" s="2416"/>
      <c r="G18" s="2417" t="str">
        <f>COVER!T21</f>
        <v>217-253-5146</v>
      </c>
      <c r="H18" s="2418"/>
      <c r="I18" s="2418"/>
      <c r="J18" s="2418"/>
      <c r="K18" s="2417" t="str">
        <f>COVER!X21</f>
        <v>217-253-5245</v>
      </c>
      <c r="L18" s="241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t="s">
        <v>2133</v>
      </c>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t="s">
        <v>2133</v>
      </c>
      <c r="C26" s="1202" t="s">
        <v>1801</v>
      </c>
    </row>
    <row r="27" spans="1:13" s="1198" customFormat="1" ht="9" customHeight="1" x14ac:dyDescent="0.2">
      <c r="B27" s="1203"/>
      <c r="C27" s="1202"/>
    </row>
    <row r="28" spans="1:13" s="1198" customFormat="1" ht="12.2" customHeight="1" x14ac:dyDescent="0.2">
      <c r="A28" s="1205"/>
      <c r="B28" s="1201" t="s">
        <v>2133</v>
      </c>
      <c r="C28" s="1202" t="s">
        <v>1802</v>
      </c>
    </row>
    <row r="29" spans="1:13" s="1198" customFormat="1" ht="9" customHeight="1" x14ac:dyDescent="0.2">
      <c r="A29" s="1205"/>
      <c r="B29" s="1203"/>
      <c r="C29" s="1202"/>
    </row>
    <row r="30" spans="1:13" s="1198" customFormat="1" ht="12.2" customHeight="1" x14ac:dyDescent="0.2">
      <c r="B30" s="1201" t="s">
        <v>2133</v>
      </c>
      <c r="C30" s="1202" t="s">
        <v>1643</v>
      </c>
      <c r="D30" s="1196"/>
      <c r="E30" s="1196"/>
    </row>
    <row r="31" spans="1:13" s="1198" customFormat="1" ht="9" customHeight="1" x14ac:dyDescent="0.2">
      <c r="B31" s="1203"/>
      <c r="C31" s="1202"/>
      <c r="D31" s="1196"/>
      <c r="E31" s="1196"/>
    </row>
    <row r="32" spans="1:13" s="1198" customFormat="1" ht="12.2" customHeight="1" x14ac:dyDescent="0.2">
      <c r="B32" s="1201" t="s">
        <v>2133</v>
      </c>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t="s">
        <v>2133</v>
      </c>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t="s">
        <v>2133</v>
      </c>
      <c r="C38" s="1202" t="s">
        <v>1647</v>
      </c>
    </row>
    <row r="39" spans="1:8" ht="9" customHeight="1" x14ac:dyDescent="0.2">
      <c r="B39" s="1203"/>
      <c r="C39" s="1206"/>
    </row>
    <row r="40" spans="1:8" s="1198" customFormat="1" ht="13.5" customHeight="1" x14ac:dyDescent="0.2">
      <c r="B40" s="1201" t="s">
        <v>2133</v>
      </c>
      <c r="C40" s="1202" t="s">
        <v>1648</v>
      </c>
    </row>
    <row r="41" spans="1:8" ht="9" customHeight="1" x14ac:dyDescent="0.2">
      <c r="A41" s="1207"/>
      <c r="B41" s="1203"/>
      <c r="C41" s="1206"/>
    </row>
    <row r="42" spans="1:8" s="1198" customFormat="1" ht="13.5" customHeight="1" x14ac:dyDescent="0.2">
      <c r="B42" s="1201" t="s">
        <v>2133</v>
      </c>
      <c r="C42" s="1202" t="s">
        <v>1946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2133</v>
      </c>
      <c r="C46" s="1209" t="s">
        <v>1649</v>
      </c>
      <c r="D46" s="1196"/>
      <c r="E46" s="1196"/>
      <c r="F46" s="1196"/>
      <c r="G46" s="1196"/>
      <c r="H46" s="1196"/>
    </row>
    <row r="47" spans="1:8" ht="9" customHeight="1" x14ac:dyDescent="0.2"/>
    <row r="48" spans="1:8" ht="12.2" customHeight="1" x14ac:dyDescent="0.2">
      <c r="B48" s="1210" t="s">
        <v>2133</v>
      </c>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3"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8" t="str">
        <f>'Single Audit Cover'!A7</f>
        <v>Paris-Union SD 95</v>
      </c>
      <c r="B1" s="2454"/>
      <c r="C1" s="2454"/>
      <c r="D1" s="2454"/>
    </row>
    <row r="2" spans="1:11" s="1214" customFormat="1" ht="12.75" x14ac:dyDescent="0.2">
      <c r="A2" s="2459">
        <f>'Single Audit Cover'!E7</f>
        <v>11023095025</v>
      </c>
      <c r="B2" s="2460"/>
      <c r="C2" s="2460"/>
      <c r="D2" s="2460"/>
    </row>
    <row r="3" spans="1:11" s="1214" customFormat="1" ht="12.75" x14ac:dyDescent="0.2">
      <c r="A3" s="2458" t="s">
        <v>1593</v>
      </c>
      <c r="B3" s="2454"/>
      <c r="C3" s="2454"/>
      <c r="D3" s="2454"/>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1947</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62" t="str">
        <f>'Single Audit Cover'!A7</f>
        <v>Paris-Union SD 95</v>
      </c>
      <c r="B1" s="2462"/>
      <c r="C1" s="2462"/>
      <c r="D1" s="2462"/>
      <c r="E1" s="2462"/>
    </row>
    <row r="2" spans="1:5" x14ac:dyDescent="0.2">
      <c r="A2" s="2463">
        <f>'Single Audit Cover'!E7</f>
        <v>11023095025</v>
      </c>
      <c r="B2" s="2463"/>
      <c r="C2" s="2463"/>
      <c r="D2" s="2463"/>
      <c r="E2" s="2463"/>
    </row>
    <row r="3" spans="1:5" ht="4.5" customHeight="1" x14ac:dyDescent="0.2"/>
    <row r="4" spans="1:5" x14ac:dyDescent="0.2">
      <c r="A4" s="2462" t="s">
        <v>1307</v>
      </c>
      <c r="B4" s="2462"/>
      <c r="C4" s="2462"/>
      <c r="D4" s="2462"/>
      <c r="E4" s="2462"/>
    </row>
    <row r="5" spans="1:5" x14ac:dyDescent="0.2">
      <c r="A5" s="2465" t="str">
        <f>'Single Audit Cover'!A4</f>
        <v>Year Ending June 30, 2018</v>
      </c>
      <c r="B5" s="2465"/>
      <c r="C5" s="2465"/>
      <c r="D5" s="2465"/>
      <c r="E5" s="2465"/>
    </row>
    <row r="6" spans="1:5" x14ac:dyDescent="0.2">
      <c r="A6" s="2462" t="s">
        <v>1306</v>
      </c>
      <c r="B6" s="2462"/>
      <c r="C6" s="2462"/>
      <c r="D6" s="2462"/>
      <c r="E6" s="2462"/>
    </row>
    <row r="8" spans="1:5" x14ac:dyDescent="0.2">
      <c r="A8" s="1259" t="s">
        <v>1305</v>
      </c>
    </row>
    <row r="10" spans="1:5" x14ac:dyDescent="0.2">
      <c r="A10" s="1260" t="s">
        <v>1304</v>
      </c>
      <c r="B10" s="1261" t="s">
        <v>1303</v>
      </c>
      <c r="C10" s="1261"/>
      <c r="D10" s="1262">
        <f>SUM('Acct Summary 7-8'!C7:K7)</f>
        <v>951957</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34150</v>
      </c>
    </row>
    <row r="15" spans="1:5" x14ac:dyDescent="0.2">
      <c r="A15" s="1260"/>
      <c r="B15" s="1261"/>
      <c r="C15" s="1261"/>
    </row>
    <row r="16" spans="1:5" x14ac:dyDescent="0.2">
      <c r="A16" s="1260" t="s">
        <v>1955</v>
      </c>
      <c r="B16" s="1261"/>
      <c r="C16" s="1261"/>
    </row>
    <row r="17" spans="1:4" x14ac:dyDescent="0.2">
      <c r="A17" s="1260" t="s">
        <v>1601</v>
      </c>
      <c r="B17" s="1261" t="s">
        <v>1298</v>
      </c>
      <c r="C17" s="1261"/>
      <c r="D17" s="1263">
        <f>-SUM('Revenues 9-14'!C271:D271,'Revenues 9-14'!F271:G271)</f>
        <v>-32202</v>
      </c>
    </row>
    <row r="19" spans="1:4" ht="13.5" thickBot="1" x14ac:dyDescent="0.25">
      <c r="A19" s="1264" t="s">
        <v>1297</v>
      </c>
      <c r="D19" s="1265">
        <f>SUM(D10:D17)</f>
        <v>953905</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64"/>
      <c r="B24" s="2464"/>
      <c r="D24" s="1267"/>
    </row>
    <row r="25" spans="1:4" x14ac:dyDescent="0.2">
      <c r="A25" s="2461"/>
      <c r="B25" s="2461"/>
      <c r="D25" s="1267"/>
    </row>
    <row r="26" spans="1:4" x14ac:dyDescent="0.2">
      <c r="A26" s="2461"/>
      <c r="B26" s="2461"/>
      <c r="D26" s="1267"/>
    </row>
    <row r="27" spans="1:4" x14ac:dyDescent="0.2">
      <c r="A27" s="2461"/>
      <c r="B27" s="2461"/>
      <c r="D27" s="1267"/>
    </row>
    <row r="28" spans="1:4" x14ac:dyDescent="0.2">
      <c r="A28" s="2461"/>
      <c r="B28" s="2461"/>
      <c r="D28" s="1267"/>
    </row>
    <row r="29" spans="1:4" x14ac:dyDescent="0.2">
      <c r="A29" s="2461"/>
      <c r="B29" s="2461"/>
      <c r="D29" s="1267"/>
    </row>
    <row r="30" spans="1:4" x14ac:dyDescent="0.2">
      <c r="A30" s="2461"/>
      <c r="B30" s="2461"/>
      <c r="D30" s="1267"/>
    </row>
    <row r="32" spans="1:4" x14ac:dyDescent="0.2">
      <c r="A32" s="1259" t="s">
        <v>1295</v>
      </c>
      <c r="D32" s="1262">
        <f>SUM(D19:D30)</f>
        <v>953905</v>
      </c>
    </row>
    <row r="33" spans="1:4" x14ac:dyDescent="0.2">
      <c r="D33" s="1268"/>
    </row>
    <row r="34" spans="1:4" x14ac:dyDescent="0.2">
      <c r="A34" s="317" t="s">
        <v>1294</v>
      </c>
    </row>
    <row r="35" spans="1:4" x14ac:dyDescent="0.2">
      <c r="A35" s="317" t="s">
        <v>1293</v>
      </c>
      <c r="B35" s="1257" t="s">
        <v>1292</v>
      </c>
      <c r="D35" s="1269">
        <f>' SEFA (2)'!F24</f>
        <v>953905</v>
      </c>
    </row>
    <row r="37" spans="1:4" x14ac:dyDescent="0.2">
      <c r="A37" s="1259" t="s">
        <v>1291</v>
      </c>
    </row>
    <row r="39" spans="1:4" ht="13.35" customHeight="1" x14ac:dyDescent="0.2">
      <c r="A39" s="1266" t="s">
        <v>1290</v>
      </c>
    </row>
    <row r="40" spans="1:4" x14ac:dyDescent="0.2">
      <c r="A40" s="2461"/>
      <c r="B40" s="2461"/>
      <c r="D40" s="1267"/>
    </row>
    <row r="41" spans="1:4" x14ac:dyDescent="0.2">
      <c r="A41" s="2461"/>
      <c r="B41" s="2461"/>
      <c r="D41" s="1270"/>
    </row>
    <row r="42" spans="1:4" x14ac:dyDescent="0.2">
      <c r="A42" s="2461"/>
      <c r="B42" s="2461"/>
      <c r="D42" s="1270"/>
    </row>
    <row r="43" spans="1:4" x14ac:dyDescent="0.2">
      <c r="A43" s="2461"/>
      <c r="B43" s="2461"/>
      <c r="D43" s="1270"/>
    </row>
    <row r="44" spans="1:4" x14ac:dyDescent="0.2">
      <c r="A44" s="2461"/>
      <c r="B44" s="2461"/>
      <c r="D44" s="1270"/>
    </row>
    <row r="45" spans="1:4" x14ac:dyDescent="0.2">
      <c r="A45" s="2461"/>
      <c r="B45" s="2461"/>
      <c r="D45" s="1270"/>
    </row>
    <row r="47" spans="1:4" x14ac:dyDescent="0.2">
      <c r="B47" s="1271" t="s">
        <v>1289</v>
      </c>
      <c r="C47" s="1271"/>
      <c r="D47" s="1272">
        <f>SUM(D35:D45)</f>
        <v>953905</v>
      </c>
    </row>
    <row r="49" spans="2:4" x14ac:dyDescent="0.2">
      <c r="B49" s="1271" t="s">
        <v>1288</v>
      </c>
      <c r="C49" s="1271"/>
      <c r="D49" s="1272">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7" t="str">
        <f>'Single Audit Cover'!A7</f>
        <v>Paris-Union SD 95</v>
      </c>
      <c r="B1" s="2467"/>
      <c r="C1" s="2467"/>
      <c r="D1" s="2467"/>
      <c r="E1" s="2467"/>
      <c r="F1" s="2467"/>
    </row>
    <row r="2" spans="1:7" ht="13.5" customHeight="1" x14ac:dyDescent="0.2">
      <c r="A2" s="2468">
        <f>'Single Audit Cover'!E7</f>
        <v>11023095025</v>
      </c>
      <c r="B2" s="2468"/>
      <c r="C2" s="2468"/>
      <c r="D2" s="2468"/>
      <c r="E2" s="2468"/>
      <c r="F2" s="2468"/>
      <c r="G2" s="1274"/>
    </row>
    <row r="3" spans="1:7" ht="15.75" customHeight="1" x14ac:dyDescent="0.2">
      <c r="A3" s="2469" t="s">
        <v>1333</v>
      </c>
      <c r="B3" s="2469"/>
      <c r="C3" s="2469"/>
      <c r="D3" s="2469"/>
      <c r="E3" s="2469"/>
      <c r="F3" s="2469"/>
    </row>
    <row r="4" spans="1:7" ht="13.5" customHeight="1" x14ac:dyDescent="0.2">
      <c r="A4" s="2470" t="str">
        <f>'Single Audit Cover'!A4</f>
        <v>Year Ending June 30, 2018</v>
      </c>
      <c r="B4" s="2470"/>
      <c r="C4" s="2470"/>
      <c r="D4" s="2470"/>
      <c r="E4" s="2470"/>
      <c r="F4" s="2470"/>
    </row>
    <row r="5" spans="1:7" ht="8.25" customHeight="1" x14ac:dyDescent="0.2">
      <c r="C5" s="317"/>
      <c r="D5" s="317"/>
    </row>
    <row r="6" spans="1:7" ht="13.5" customHeight="1" x14ac:dyDescent="0.2">
      <c r="A6" s="1275" t="s">
        <v>1831</v>
      </c>
      <c r="C6" s="317"/>
      <c r="D6" s="317"/>
    </row>
    <row r="7" spans="1:7" ht="60.95" customHeight="1" x14ac:dyDescent="0.2">
      <c r="A7" s="2466" t="s">
        <v>2229</v>
      </c>
      <c r="B7" s="2466"/>
      <c r="C7" s="2466"/>
      <c r="D7" s="2466"/>
      <c r="E7" s="2466"/>
      <c r="F7" s="2466"/>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t="s">
        <v>2133</v>
      </c>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66" t="s">
        <v>1833</v>
      </c>
      <c r="B13" s="2466"/>
      <c r="C13" s="2466"/>
      <c r="D13" s="2466"/>
      <c r="E13" s="2466"/>
      <c r="F13" s="2466"/>
    </row>
    <row r="14" spans="1:7" ht="9.75" customHeight="1" x14ac:dyDescent="0.2">
      <c r="C14" s="1259"/>
      <c r="D14" s="1259"/>
    </row>
    <row r="15" spans="1:7" ht="13.5" customHeight="1" x14ac:dyDescent="0.2">
      <c r="C15" s="1870" t="s">
        <v>1332</v>
      </c>
      <c r="D15" s="2472" t="s">
        <v>1331</v>
      </c>
      <c r="E15" s="2472"/>
      <c r="F15" s="2472"/>
    </row>
    <row r="16" spans="1:7" ht="13.5" customHeight="1" x14ac:dyDescent="0.2">
      <c r="A16" s="1281"/>
      <c r="B16" s="1275" t="s">
        <v>1330</v>
      </c>
      <c r="C16" s="1870" t="s">
        <v>1329</v>
      </c>
      <c r="D16" s="2473" t="s">
        <v>1670</v>
      </c>
      <c r="E16" s="2473"/>
      <c r="F16" s="2473"/>
    </row>
    <row r="17" spans="1:6" ht="20.45" customHeight="1" x14ac:dyDescent="0.2">
      <c r="A17" s="1282"/>
      <c r="B17" s="1283" t="s">
        <v>2099</v>
      </c>
      <c r="C17" s="1284"/>
      <c r="D17" s="2471"/>
      <c r="E17" s="2471"/>
      <c r="F17" s="2471"/>
    </row>
    <row r="18" spans="1:6" ht="20.65" customHeight="1" x14ac:dyDescent="0.2">
      <c r="A18" s="1282"/>
      <c r="B18" s="1283"/>
      <c r="C18" s="1284"/>
      <c r="D18" s="2471"/>
      <c r="E18" s="2471"/>
      <c r="F18" s="2471"/>
    </row>
    <row r="19" spans="1:6" ht="20.65" customHeight="1" x14ac:dyDescent="0.2">
      <c r="A19" s="1282"/>
      <c r="B19" s="1283"/>
      <c r="C19" s="1284"/>
      <c r="D19" s="2471"/>
      <c r="E19" s="2471"/>
      <c r="F19" s="2471"/>
    </row>
    <row r="20" spans="1:6" ht="20.65" customHeight="1" x14ac:dyDescent="0.2">
      <c r="A20" s="1282"/>
      <c r="B20" s="1283"/>
      <c r="C20" s="1284"/>
      <c r="D20" s="2471"/>
      <c r="E20" s="2471"/>
      <c r="F20" s="2471"/>
    </row>
    <row r="21" spans="1:6" ht="20.65" customHeight="1" x14ac:dyDescent="0.2">
      <c r="A21" s="1282"/>
      <c r="B21" s="1283"/>
      <c r="C21" s="1284"/>
      <c r="D21" s="2471"/>
      <c r="E21" s="2471"/>
      <c r="F21" s="2471"/>
    </row>
    <row r="22" spans="1:6" ht="20.65" customHeight="1" x14ac:dyDescent="0.2">
      <c r="A22" s="1282"/>
      <c r="B22" s="1283"/>
      <c r="C22" s="1284"/>
      <c r="D22" s="2471"/>
      <c r="E22" s="2471"/>
      <c r="F22" s="2471"/>
    </row>
    <row r="23" spans="1:6" ht="20.65" customHeight="1" x14ac:dyDescent="0.2">
      <c r="A23" s="1282"/>
      <c r="B23" s="1283"/>
      <c r="C23" s="1284"/>
      <c r="D23" s="2471"/>
      <c r="E23" s="2471"/>
      <c r="F23" s="2471"/>
    </row>
    <row r="24" spans="1:6" ht="20.65" customHeight="1" x14ac:dyDescent="0.2">
      <c r="A24" s="1282"/>
      <c r="B24" s="1283"/>
      <c r="C24" s="1284"/>
      <c r="D24" s="2471"/>
      <c r="E24" s="2471"/>
      <c r="F24" s="2471"/>
    </row>
    <row r="25" spans="1:6" ht="20.65" customHeight="1" x14ac:dyDescent="0.2">
      <c r="A25" s="1282"/>
      <c r="B25" s="1283"/>
      <c r="C25" s="1284"/>
      <c r="D25" s="2471"/>
      <c r="E25" s="2471"/>
      <c r="F25" s="2471"/>
    </row>
    <row r="26" spans="1:6" ht="20.65" customHeight="1" x14ac:dyDescent="0.2">
      <c r="A26" s="1282"/>
      <c r="B26" s="1283"/>
      <c r="C26" s="1284"/>
      <c r="D26" s="2471"/>
      <c r="E26" s="2471"/>
      <c r="F26" s="2471"/>
    </row>
    <row r="27" spans="1:6" ht="20.65" customHeight="1" x14ac:dyDescent="0.2">
      <c r="A27" s="1282"/>
      <c r="B27" s="1283"/>
      <c r="C27" s="1284"/>
      <c r="D27" s="2471"/>
      <c r="E27" s="2471"/>
      <c r="F27" s="2471"/>
    </row>
    <row r="28" spans="1:6" ht="20.65" customHeight="1" x14ac:dyDescent="0.2">
      <c r="A28" s="1282"/>
      <c r="B28" s="1283"/>
      <c r="C28" s="1284"/>
      <c r="D28" s="2471"/>
      <c r="E28" s="2471"/>
      <c r="F28" s="2471"/>
    </row>
    <row r="29" spans="1:6" ht="20.65" customHeight="1" x14ac:dyDescent="0.2">
      <c r="A29" s="1282"/>
      <c r="B29" s="1283"/>
      <c r="C29" s="1284"/>
      <c r="D29" s="2471"/>
      <c r="E29" s="2471"/>
      <c r="F29" s="2471"/>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75" t="s">
        <v>1834</v>
      </c>
      <c r="B32" s="2475"/>
      <c r="C32" s="2475"/>
      <c r="D32" s="2475"/>
      <c r="E32" s="2475"/>
      <c r="F32" s="2475"/>
    </row>
    <row r="33" spans="1:6" ht="13.5" customHeight="1" x14ac:dyDescent="0.2">
      <c r="A33" s="328" t="s">
        <v>1509</v>
      </c>
      <c r="B33" s="328"/>
      <c r="C33" s="1287">
        <f>' SEFA'!F17</f>
        <v>34150</v>
      </c>
      <c r="D33" s="1927"/>
      <c r="E33" s="1285"/>
    </row>
    <row r="34" spans="1:6" ht="13.5" customHeight="1" x14ac:dyDescent="0.2">
      <c r="A34" s="328" t="s">
        <v>1948</v>
      </c>
      <c r="B34" s="328"/>
      <c r="C34" s="1288">
        <v>0</v>
      </c>
      <c r="D34" s="1927" t="s">
        <v>1671</v>
      </c>
      <c r="E34" s="2476">
        <f>+C33+C34</f>
        <v>34150</v>
      </c>
      <c r="F34" s="2477"/>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t="s">
        <v>2099</v>
      </c>
      <c r="D38" s="1927"/>
      <c r="E38" s="1285"/>
    </row>
    <row r="39" spans="1:6" ht="14.25" customHeight="1" x14ac:dyDescent="0.2">
      <c r="A39" s="328"/>
      <c r="B39" s="328" t="s">
        <v>1511</v>
      </c>
      <c r="C39" s="1291" t="s">
        <v>2099</v>
      </c>
      <c r="D39" s="1927"/>
      <c r="E39" s="1285"/>
    </row>
    <row r="40" spans="1:6" ht="14.25" customHeight="1" x14ac:dyDescent="0.2">
      <c r="A40" s="328"/>
      <c r="B40" s="328" t="s">
        <v>1512</v>
      </c>
      <c r="C40" s="1291" t="s">
        <v>2099</v>
      </c>
      <c r="D40" s="1927"/>
      <c r="E40" s="1285"/>
    </row>
    <row r="41" spans="1:6" ht="14.25" customHeight="1" x14ac:dyDescent="0.2">
      <c r="A41" s="328"/>
      <c r="B41" s="328" t="s">
        <v>1513</v>
      </c>
      <c r="C41" s="1291" t="s">
        <v>2099</v>
      </c>
      <c r="D41" s="1927"/>
      <c r="E41" s="1285"/>
    </row>
    <row r="42" spans="1:6" ht="14.25" customHeight="1" x14ac:dyDescent="0.2">
      <c r="A42" s="328" t="s">
        <v>1514</v>
      </c>
      <c r="B42" s="328"/>
      <c r="C42" s="1925" t="s">
        <v>2230</v>
      </c>
      <c r="D42" s="1927"/>
      <c r="E42" s="1285"/>
    </row>
    <row r="43" spans="1:6" ht="14.25" customHeight="1" x14ac:dyDescent="0.2">
      <c r="A43" s="328" t="s">
        <v>1515</v>
      </c>
      <c r="B43" s="328"/>
      <c r="C43" s="1292" t="s">
        <v>2230</v>
      </c>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1835</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78" t="s">
        <v>1672</v>
      </c>
      <c r="C49" s="2478"/>
      <c r="D49" s="2478"/>
      <c r="E49" s="1398"/>
    </row>
    <row r="50" spans="1:5" s="1299" customFormat="1" ht="3.75" customHeight="1" x14ac:dyDescent="0.2">
      <c r="A50" s="1298"/>
      <c r="B50" s="1869"/>
      <c r="C50" s="1869"/>
      <c r="D50" s="1869"/>
      <c r="E50" s="1398"/>
    </row>
    <row r="51" spans="1:5" s="1299" customFormat="1" ht="20.25" customHeight="1" x14ac:dyDescent="0.2">
      <c r="A51" s="1300">
        <v>6</v>
      </c>
      <c r="B51" s="2474" t="s">
        <v>1632</v>
      </c>
      <c r="C51" s="2474"/>
      <c r="D51" s="2474"/>
    </row>
    <row r="52" spans="1:5" ht="14.25" customHeight="1" x14ac:dyDescent="0.2">
      <c r="A52" s="1300"/>
      <c r="B52" s="2474"/>
      <c r="C52" s="2474"/>
      <c r="D52" s="247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3"/>
  <sheetViews>
    <sheetView showGridLines="0" topLeftCell="A10" zoomScaleNormal="100" workbookViewId="0">
      <selection activeCell="O14" sqref="O14"/>
    </sheetView>
  </sheetViews>
  <sheetFormatPr defaultColWidth="33.5703125" defaultRowHeight="12.75" x14ac:dyDescent="0.2"/>
  <cols>
    <col min="1" max="1" width="0.140625" style="317" customWidth="1"/>
    <col min="2" max="2" width="39.4257812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23" t="str">
        <f>'Single Audit Cover'!A7</f>
        <v>Paris-Union SD 95</v>
      </c>
      <c r="C1" s="2479"/>
      <c r="D1" s="2479"/>
      <c r="E1" s="2479"/>
      <c r="F1" s="2479"/>
      <c r="G1" s="2479"/>
      <c r="H1" s="2479"/>
      <c r="I1" s="2479"/>
      <c r="J1" s="2479"/>
      <c r="K1" s="2479"/>
      <c r="L1" s="2479"/>
      <c r="M1" s="2479"/>
    </row>
    <row r="2" spans="2:14" ht="15" x14ac:dyDescent="0.2">
      <c r="B2" s="2468">
        <f>'Single Audit Cover'!E7</f>
        <v>11023095025</v>
      </c>
      <c r="C2" s="2468"/>
      <c r="D2" s="2468"/>
      <c r="E2" s="2468"/>
      <c r="F2" s="2468"/>
      <c r="G2" s="2468"/>
      <c r="H2" s="2468"/>
      <c r="I2" s="2468"/>
      <c r="J2" s="2468"/>
      <c r="K2" s="2468"/>
      <c r="L2" s="2468"/>
      <c r="M2" s="2468"/>
      <c r="N2" s="1301"/>
    </row>
    <row r="3" spans="2:14" ht="15" x14ac:dyDescent="0.2">
      <c r="B3" s="2480" t="s">
        <v>1281</v>
      </c>
      <c r="C3" s="2480"/>
      <c r="D3" s="2480"/>
      <c r="E3" s="2480"/>
      <c r="F3" s="2480"/>
      <c r="G3" s="2480"/>
      <c r="H3" s="2480"/>
      <c r="I3" s="2480"/>
      <c r="J3" s="2480"/>
      <c r="K3" s="2480"/>
      <c r="L3" s="2480"/>
      <c r="M3" s="2480"/>
      <c r="N3" s="1301"/>
    </row>
    <row r="4" spans="2:14" ht="15" x14ac:dyDescent="0.2">
      <c r="B4" s="2481" t="str">
        <f>'Single Audit Cover'!A4</f>
        <v>Year Ending June 30, 2018</v>
      </c>
      <c r="C4" s="2481"/>
      <c r="D4" s="2481"/>
      <c r="E4" s="2481"/>
      <c r="F4" s="2481"/>
      <c r="G4" s="2481"/>
      <c r="H4" s="2481"/>
      <c r="I4" s="2481"/>
      <c r="J4" s="2481"/>
      <c r="K4" s="2481"/>
      <c r="L4" s="2481"/>
      <c r="M4" s="2481"/>
      <c r="N4" s="1301"/>
    </row>
    <row r="6" spans="2:14" x14ac:dyDescent="0.2">
      <c r="B6" s="1302"/>
      <c r="C6" s="1303"/>
      <c r="D6" s="1304" t="s">
        <v>1327</v>
      </c>
      <c r="E6" s="1305" t="s">
        <v>548</v>
      </c>
      <c r="F6" s="1306"/>
      <c r="G6" s="1307" t="s">
        <v>1836</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1949</v>
      </c>
      <c r="K8" s="1318" t="s">
        <v>1323</v>
      </c>
      <c r="L8" s="1319" t="s">
        <v>1319</v>
      </c>
      <c r="M8" s="1320" t="s">
        <v>30</v>
      </c>
    </row>
    <row r="9" spans="2:14" ht="14.25" x14ac:dyDescent="0.2">
      <c r="B9" s="1324" t="s">
        <v>1321</v>
      </c>
      <c r="C9" s="1312" t="s">
        <v>1837</v>
      </c>
      <c r="D9" s="1313" t="s">
        <v>1838</v>
      </c>
      <c r="E9" s="1321" t="s">
        <v>1663</v>
      </c>
      <c r="F9" s="1322" t="s">
        <v>1949</v>
      </c>
      <c r="G9" s="1323" t="s">
        <v>1663</v>
      </c>
      <c r="H9" s="1316" t="s">
        <v>1664</v>
      </c>
      <c r="I9" s="1318" t="s">
        <v>1949</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2092</v>
      </c>
      <c r="C11" s="1959"/>
      <c r="D11" s="1964"/>
      <c r="E11" s="1963"/>
      <c r="F11" s="1963"/>
      <c r="G11" s="1963"/>
      <c r="H11" s="1963"/>
      <c r="I11" s="1963"/>
      <c r="J11" s="1963"/>
      <c r="K11" s="1963"/>
      <c r="L11" s="1963"/>
      <c r="M11" s="1963"/>
    </row>
    <row r="12" spans="2:14" ht="20.100000000000001" customHeight="1" x14ac:dyDescent="0.2">
      <c r="B12" s="1957" t="s">
        <v>2093</v>
      </c>
      <c r="C12" s="1960"/>
      <c r="D12" s="1961"/>
      <c r="E12" s="1962"/>
      <c r="F12" s="1962"/>
      <c r="G12" s="1962"/>
      <c r="H12" s="1962"/>
      <c r="I12" s="1962"/>
      <c r="J12" s="1962"/>
      <c r="K12" s="1962"/>
      <c r="L12" s="1963"/>
      <c r="M12" s="1962"/>
    </row>
    <row r="13" spans="2:14" ht="20.100000000000001" customHeight="1" x14ac:dyDescent="0.2">
      <c r="B13" s="1958" t="s">
        <v>2094</v>
      </c>
      <c r="C13" s="1340">
        <v>10.553000000000001</v>
      </c>
      <c r="D13" s="1341" t="s">
        <v>2095</v>
      </c>
      <c r="E13" s="1342">
        <v>36371</v>
      </c>
      <c r="F13" s="1342">
        <v>6575</v>
      </c>
      <c r="G13" s="1342">
        <v>36371</v>
      </c>
      <c r="H13" s="1342"/>
      <c r="I13" s="1342">
        <v>6576</v>
      </c>
      <c r="J13" s="1342"/>
      <c r="K13" s="1342"/>
      <c r="L13" s="1339">
        <f t="shared" ref="L13:L17" si="0">+G13+I13+K13</f>
        <v>42947</v>
      </c>
      <c r="M13" s="1342" t="s">
        <v>2099</v>
      </c>
    </row>
    <row r="14" spans="2:14" ht="20.100000000000001" customHeight="1" x14ac:dyDescent="0.2">
      <c r="B14" s="1958" t="s">
        <v>2094</v>
      </c>
      <c r="C14" s="1340">
        <v>10.553000000000001</v>
      </c>
      <c r="D14" s="1341" t="s">
        <v>2096</v>
      </c>
      <c r="E14" s="1342"/>
      <c r="F14" s="1342">
        <v>36008</v>
      </c>
      <c r="G14" s="1342"/>
      <c r="H14" s="1342"/>
      <c r="I14" s="1342">
        <v>36008</v>
      </c>
      <c r="J14" s="1342"/>
      <c r="K14" s="1342"/>
      <c r="L14" s="1339">
        <f t="shared" si="0"/>
        <v>36008</v>
      </c>
      <c r="M14" s="1342" t="s">
        <v>2099</v>
      </c>
    </row>
    <row r="15" spans="2:14" ht="20.100000000000001" customHeight="1" x14ac:dyDescent="0.2">
      <c r="B15" s="1958" t="s">
        <v>1118</v>
      </c>
      <c r="C15" s="1340">
        <v>10.555</v>
      </c>
      <c r="D15" s="1341" t="s">
        <v>2097</v>
      </c>
      <c r="E15" s="1342">
        <v>180255</v>
      </c>
      <c r="F15" s="1342">
        <v>36696</v>
      </c>
      <c r="G15" s="1342">
        <v>180255</v>
      </c>
      <c r="H15" s="1342"/>
      <c r="I15" s="1342">
        <v>36696</v>
      </c>
      <c r="J15" s="1342"/>
      <c r="K15" s="1342"/>
      <c r="L15" s="1339">
        <f t="shared" si="0"/>
        <v>216951</v>
      </c>
      <c r="M15" s="1342" t="s">
        <v>2099</v>
      </c>
    </row>
    <row r="16" spans="2:14" ht="20.100000000000001" customHeight="1" x14ac:dyDescent="0.2">
      <c r="B16" s="1958" t="s">
        <v>1118</v>
      </c>
      <c r="C16" s="1340">
        <v>10.555</v>
      </c>
      <c r="D16" s="1341" t="s">
        <v>2098</v>
      </c>
      <c r="E16" s="1342"/>
      <c r="F16" s="1342">
        <v>179584</v>
      </c>
      <c r="G16" s="1342"/>
      <c r="H16" s="1342"/>
      <c r="I16" s="1342">
        <v>179584</v>
      </c>
      <c r="J16" s="1342"/>
      <c r="K16" s="1342"/>
      <c r="L16" s="1339">
        <f t="shared" si="0"/>
        <v>179584</v>
      </c>
      <c r="M16" s="1342" t="s">
        <v>2099</v>
      </c>
    </row>
    <row r="17" spans="2:14" ht="20.100000000000001" customHeight="1" x14ac:dyDescent="0.2">
      <c r="B17" s="1958" t="s">
        <v>2132</v>
      </c>
      <c r="C17" s="1340">
        <v>10.555</v>
      </c>
      <c r="D17" s="1341" t="s">
        <v>2099</v>
      </c>
      <c r="E17" s="1342">
        <v>35649</v>
      </c>
      <c r="F17" s="1342">
        <v>34150</v>
      </c>
      <c r="G17" s="1342">
        <v>35649</v>
      </c>
      <c r="H17" s="1342"/>
      <c r="I17" s="1342">
        <v>34150</v>
      </c>
      <c r="J17" s="1342"/>
      <c r="K17" s="1342"/>
      <c r="L17" s="1339">
        <f t="shared" si="0"/>
        <v>69799</v>
      </c>
      <c r="M17" s="1342" t="s">
        <v>2099</v>
      </c>
    </row>
    <row r="18" spans="2:14" ht="20.100000000000001" customHeight="1" x14ac:dyDescent="0.2">
      <c r="B18" s="1966" t="s">
        <v>2128</v>
      </c>
      <c r="C18" s="1340"/>
      <c r="D18" s="1341"/>
      <c r="E18" s="1342">
        <f t="shared" ref="E18:L18" si="1">SUBTOTAL(109,E11:E17)</f>
        <v>252275</v>
      </c>
      <c r="F18" s="1342">
        <f t="shared" si="1"/>
        <v>293013</v>
      </c>
      <c r="G18" s="1342">
        <f t="shared" si="1"/>
        <v>252275</v>
      </c>
      <c r="H18" s="1342">
        <f t="shared" si="1"/>
        <v>0</v>
      </c>
      <c r="I18" s="1342">
        <f t="shared" si="1"/>
        <v>293014</v>
      </c>
      <c r="J18" s="1342">
        <f t="shared" si="1"/>
        <v>0</v>
      </c>
      <c r="K18" s="1342">
        <f t="shared" si="1"/>
        <v>0</v>
      </c>
      <c r="L18" s="1342">
        <f t="shared" si="1"/>
        <v>545289</v>
      </c>
      <c r="M18" s="1342"/>
    </row>
    <row r="19" spans="2:14" ht="20.100000000000001" customHeight="1" x14ac:dyDescent="0.2">
      <c r="B19" s="1336" t="s">
        <v>2100</v>
      </c>
      <c r="C19" s="1340"/>
      <c r="D19" s="1341"/>
      <c r="E19" s="1342"/>
      <c r="F19" s="1342"/>
      <c r="G19" s="1342"/>
      <c r="H19" s="1342"/>
      <c r="I19" s="1342"/>
      <c r="J19" s="1342"/>
      <c r="K19" s="1342"/>
      <c r="L19" s="1339"/>
      <c r="M19" s="1342"/>
    </row>
    <row r="20" spans="2:14" ht="20.100000000000001" customHeight="1" x14ac:dyDescent="0.2">
      <c r="B20" s="1957" t="s">
        <v>2093</v>
      </c>
      <c r="C20" s="1340"/>
      <c r="D20" s="1341"/>
      <c r="E20" s="1342"/>
      <c r="F20" s="1342"/>
      <c r="G20" s="1342"/>
      <c r="H20" s="1342"/>
      <c r="I20" s="1342"/>
      <c r="J20" s="1342"/>
      <c r="K20" s="1342"/>
      <c r="L20" s="1339"/>
      <c r="M20" s="1342"/>
    </row>
    <row r="21" spans="2:14" ht="20.100000000000001" customHeight="1" x14ac:dyDescent="0.2">
      <c r="B21" s="1958" t="s">
        <v>2101</v>
      </c>
      <c r="C21" s="1340" t="s">
        <v>2105</v>
      </c>
      <c r="D21" s="1341" t="s">
        <v>2109</v>
      </c>
      <c r="E21" s="1342">
        <v>368474</v>
      </c>
      <c r="F21" s="1342">
        <v>109389</v>
      </c>
      <c r="G21" s="1342">
        <v>449287</v>
      </c>
      <c r="H21" s="1342"/>
      <c r="I21" s="1342">
        <v>0</v>
      </c>
      <c r="J21" s="1342"/>
      <c r="K21" s="1342"/>
      <c r="L21" s="1339">
        <f t="shared" ref="L21:L29" si="2">+G21+I21+K21</f>
        <v>449287</v>
      </c>
      <c r="M21" s="1342">
        <v>536689</v>
      </c>
    </row>
    <row r="22" spans="2:14" ht="20.100000000000001" customHeight="1" x14ac:dyDescent="0.2">
      <c r="B22" s="1958" t="s">
        <v>2101</v>
      </c>
      <c r="C22" s="1340" t="s">
        <v>2105</v>
      </c>
      <c r="D22" s="1341" t="s">
        <v>2110</v>
      </c>
      <c r="E22" s="1342"/>
      <c r="F22" s="1342">
        <v>278069</v>
      </c>
      <c r="G22" s="1342"/>
      <c r="H22" s="1342"/>
      <c r="I22" s="1342">
        <v>491129</v>
      </c>
      <c r="J22" s="1342"/>
      <c r="K22" s="1342"/>
      <c r="L22" s="1339">
        <f t="shared" si="2"/>
        <v>491129</v>
      </c>
      <c r="M22" s="1342">
        <v>535387</v>
      </c>
    </row>
    <row r="23" spans="2:14" ht="20.100000000000001" customHeight="1" x14ac:dyDescent="0.2">
      <c r="B23" s="1958" t="s">
        <v>2102</v>
      </c>
      <c r="C23" s="1340" t="s">
        <v>2105</v>
      </c>
      <c r="D23" s="1341" t="s">
        <v>2111</v>
      </c>
      <c r="E23" s="1342"/>
      <c r="F23" s="1342"/>
      <c r="G23" s="1342"/>
      <c r="H23" s="1342"/>
      <c r="I23" s="1342">
        <v>71964</v>
      </c>
      <c r="J23" s="1342"/>
      <c r="K23" s="1342"/>
      <c r="L23" s="1339">
        <f t="shared" si="2"/>
        <v>71964</v>
      </c>
      <c r="M23" s="1342">
        <v>75000</v>
      </c>
    </row>
    <row r="24" spans="2:14" ht="20.100000000000001" customHeight="1" x14ac:dyDescent="0.2">
      <c r="B24" s="1958" t="s">
        <v>2124</v>
      </c>
      <c r="C24" s="1340" t="s">
        <v>2126</v>
      </c>
      <c r="D24" s="1341" t="s">
        <v>2125</v>
      </c>
      <c r="E24" s="1342"/>
      <c r="F24" s="1342">
        <v>16238</v>
      </c>
      <c r="G24" s="1342"/>
      <c r="H24" s="1342"/>
      <c r="I24" s="1342">
        <v>16846</v>
      </c>
      <c r="J24" s="1342"/>
      <c r="K24" s="1342"/>
      <c r="L24" s="1339">
        <f t="shared" si="2"/>
        <v>16846</v>
      </c>
      <c r="M24" s="1342">
        <v>16846</v>
      </c>
    </row>
    <row r="25" spans="2:14" ht="20.100000000000001" customHeight="1" x14ac:dyDescent="0.2">
      <c r="B25" s="1958" t="s">
        <v>782</v>
      </c>
      <c r="C25" s="1340" t="s">
        <v>2106</v>
      </c>
      <c r="D25" s="1341" t="s">
        <v>2112</v>
      </c>
      <c r="E25" s="1342">
        <v>54090</v>
      </c>
      <c r="F25" s="1342">
        <v>32659</v>
      </c>
      <c r="G25" s="1342">
        <v>86749</v>
      </c>
      <c r="H25" s="1342"/>
      <c r="I25" s="1342">
        <v>0</v>
      </c>
      <c r="J25" s="1342"/>
      <c r="K25" s="1342"/>
      <c r="L25" s="1339">
        <f t="shared" si="2"/>
        <v>86749</v>
      </c>
      <c r="M25" s="1342">
        <v>89973</v>
      </c>
    </row>
    <row r="26" spans="2:14" ht="20.100000000000001" customHeight="1" x14ac:dyDescent="0.2">
      <c r="B26" s="1958" t="s">
        <v>782</v>
      </c>
      <c r="C26" s="1340" t="s">
        <v>2106</v>
      </c>
      <c r="D26" s="1341" t="s">
        <v>2113</v>
      </c>
      <c r="E26" s="1342"/>
      <c r="F26" s="1342">
        <v>39249</v>
      </c>
      <c r="G26" s="1342"/>
      <c r="H26" s="1342"/>
      <c r="I26" s="1342">
        <v>60091</v>
      </c>
      <c r="J26" s="1342"/>
      <c r="K26" s="1342"/>
      <c r="L26" s="1339">
        <f t="shared" si="2"/>
        <v>60091</v>
      </c>
      <c r="M26" s="1342">
        <v>63830</v>
      </c>
    </row>
    <row r="27" spans="2:14" ht="20.100000000000001" customHeight="1" x14ac:dyDescent="0.2">
      <c r="B27" s="1958" t="s">
        <v>2103</v>
      </c>
      <c r="C27" s="1340" t="s">
        <v>2107</v>
      </c>
      <c r="D27" s="1341" t="s">
        <v>2114</v>
      </c>
      <c r="E27" s="1342">
        <v>19086</v>
      </c>
      <c r="F27" s="1342"/>
      <c r="G27" s="1342">
        <v>19086</v>
      </c>
      <c r="H27" s="1342"/>
      <c r="I27" s="1342">
        <v>0</v>
      </c>
      <c r="J27" s="1342"/>
      <c r="K27" s="1342"/>
      <c r="L27" s="1339">
        <f t="shared" si="2"/>
        <v>19086</v>
      </c>
      <c r="M27" s="1342">
        <v>19086</v>
      </c>
    </row>
    <row r="28" spans="2:14" ht="20.100000000000001" customHeight="1" x14ac:dyDescent="0.2">
      <c r="B28" s="1958" t="s">
        <v>2103</v>
      </c>
      <c r="C28" s="1340" t="s">
        <v>2107</v>
      </c>
      <c r="D28" s="1341" t="s">
        <v>2115</v>
      </c>
      <c r="E28" s="1342"/>
      <c r="F28" s="1342">
        <v>13910</v>
      </c>
      <c r="G28" s="1342"/>
      <c r="H28" s="1342"/>
      <c r="I28" s="1342">
        <v>15388</v>
      </c>
      <c r="J28" s="1342"/>
      <c r="K28" s="1342"/>
      <c r="L28" s="1339">
        <f t="shared" si="2"/>
        <v>15388</v>
      </c>
      <c r="M28" s="1342">
        <v>15388</v>
      </c>
    </row>
    <row r="29" spans="2:14" ht="20.100000000000001" customHeight="1" x14ac:dyDescent="0.2">
      <c r="B29" s="1958" t="s">
        <v>2104</v>
      </c>
      <c r="C29" s="1340" t="s">
        <v>2108</v>
      </c>
      <c r="D29" s="1341" t="s">
        <v>2120</v>
      </c>
      <c r="E29" s="1342"/>
      <c r="F29" s="1342">
        <v>4792</v>
      </c>
      <c r="G29" s="1342"/>
      <c r="H29" s="1342"/>
      <c r="I29" s="1342">
        <v>4792</v>
      </c>
      <c r="J29" s="1342"/>
      <c r="K29" s="1342"/>
      <c r="L29" s="1339">
        <f t="shared" si="2"/>
        <v>4792</v>
      </c>
      <c r="M29" s="1342" t="s">
        <v>2099</v>
      </c>
      <c r="N29" s="1343"/>
    </row>
    <row r="30" spans="2:14" ht="6" customHeight="1" x14ac:dyDescent="0.2">
      <c r="B30" s="1344"/>
      <c r="C30" s="1345"/>
      <c r="D30" s="1346"/>
      <c r="E30" s="1347"/>
      <c r="F30" s="1347"/>
      <c r="G30" s="1347"/>
      <c r="H30" s="1347"/>
      <c r="I30" s="1347"/>
      <c r="J30" s="1347"/>
      <c r="K30" s="1347"/>
      <c r="L30" s="1347"/>
      <c r="M30" s="1347"/>
      <c r="N30" s="1343"/>
    </row>
    <row r="31" spans="2:14" ht="6" customHeight="1" x14ac:dyDescent="0.2">
      <c r="B31" s="1256"/>
      <c r="C31" s="1348"/>
      <c r="D31" s="1349"/>
      <c r="E31" s="1256"/>
      <c r="F31" s="1256"/>
      <c r="G31" s="1249"/>
      <c r="H31" s="1249"/>
      <c r="I31" s="1249"/>
      <c r="J31" s="1249"/>
      <c r="K31" s="1249"/>
      <c r="L31" s="1249"/>
      <c r="M31" s="1256"/>
      <c r="N31" s="1343"/>
    </row>
    <row r="32" spans="2:14" ht="13.5" customHeight="1" x14ac:dyDescent="0.2">
      <c r="B32" s="1281" t="s">
        <v>1839</v>
      </c>
      <c r="C32" s="1348"/>
      <c r="D32" s="1349"/>
      <c r="E32" s="1256"/>
      <c r="F32" s="1256"/>
      <c r="G32" s="1249"/>
      <c r="H32" s="1249"/>
      <c r="I32" s="1249"/>
      <c r="J32" s="1249"/>
      <c r="K32" s="1249"/>
      <c r="L32" s="1249"/>
      <c r="M32" s="1256"/>
      <c r="N32" s="1343"/>
    </row>
    <row r="33" spans="2:14" ht="6" customHeight="1" x14ac:dyDescent="0.2">
      <c r="B33" s="1281"/>
      <c r="C33" s="1348"/>
      <c r="D33" s="1349"/>
      <c r="E33" s="1256"/>
      <c r="F33" s="1256"/>
      <c r="G33" s="1249"/>
      <c r="H33" s="1249"/>
      <c r="I33" s="1249"/>
      <c r="J33" s="1249"/>
      <c r="K33" s="1249"/>
      <c r="L33" s="1249"/>
      <c r="M33" s="1256"/>
      <c r="N33" s="1343"/>
    </row>
    <row r="34" spans="2:14" x14ac:dyDescent="0.2">
      <c r="B34" s="1350" t="s">
        <v>1950</v>
      </c>
      <c r="C34" s="1351"/>
      <c r="D34" s="1352"/>
      <c r="E34" s="1353"/>
      <c r="F34" s="1353"/>
      <c r="G34" s="1353"/>
      <c r="H34" s="1353"/>
      <c r="I34" s="317"/>
      <c r="J34" s="317"/>
    </row>
    <row r="35" spans="2:14" ht="5.25" customHeight="1" x14ac:dyDescent="0.2">
      <c r="B35" s="1276"/>
      <c r="C35" s="1354"/>
      <c r="D35" s="1355"/>
      <c r="E35" s="1277"/>
      <c r="F35" s="1277"/>
      <c r="G35" s="317"/>
      <c r="H35" s="317"/>
      <c r="I35" s="317"/>
      <c r="J35" s="317"/>
    </row>
    <row r="36" spans="2:14" ht="13.5" customHeight="1" x14ac:dyDescent="0.2">
      <c r="B36" s="1275" t="s">
        <v>1308</v>
      </c>
      <c r="G36" s="317"/>
      <c r="H36" s="317"/>
      <c r="I36" s="317"/>
      <c r="J36" s="317"/>
    </row>
    <row r="37" spans="2:14" ht="4.5" customHeight="1" x14ac:dyDescent="0.2">
      <c r="B37" s="1358"/>
      <c r="C37" s="1359"/>
      <c r="D37" s="1360"/>
      <c r="E37" s="1296"/>
      <c r="F37" s="1296"/>
      <c r="G37" s="1296"/>
      <c r="H37" s="1296"/>
      <c r="I37" s="1296"/>
      <c r="J37" s="1296"/>
      <c r="K37" s="1361"/>
      <c r="L37" s="1361"/>
      <c r="M37" s="1296"/>
    </row>
    <row r="38" spans="2:14" ht="5.25" customHeight="1" x14ac:dyDescent="0.2">
      <c r="B38" s="1362"/>
      <c r="G38" s="317"/>
      <c r="H38" s="317"/>
      <c r="I38" s="317"/>
      <c r="J38" s="317"/>
    </row>
    <row r="39" spans="2:14" ht="11.25" customHeight="1" x14ac:dyDescent="0.2">
      <c r="B39" s="1363" t="s">
        <v>1840</v>
      </c>
      <c r="C39" s="1364"/>
      <c r="D39" s="1364"/>
      <c r="E39" s="1364"/>
      <c r="F39" s="1364"/>
      <c r="G39" s="1364"/>
      <c r="H39" s="1364"/>
      <c r="I39" s="1365"/>
      <c r="J39" s="1365"/>
      <c r="K39" s="1365"/>
      <c r="L39" s="1365"/>
      <c r="M39" s="1365"/>
    </row>
    <row r="40" spans="2:14" ht="11.25" customHeight="1" x14ac:dyDescent="0.2">
      <c r="B40" s="1366" t="s">
        <v>1666</v>
      </c>
      <c r="C40" s="1365"/>
      <c r="D40" s="1365"/>
      <c r="E40" s="1365"/>
      <c r="F40" s="1365"/>
      <c r="G40" s="1365"/>
      <c r="H40" s="1365"/>
      <c r="I40" s="1365"/>
      <c r="J40" s="1365"/>
      <c r="K40" s="1365"/>
      <c r="L40" s="1365"/>
      <c r="M40" s="1365"/>
    </row>
    <row r="41" spans="2:14" ht="3.95" customHeight="1" x14ac:dyDescent="0.2">
      <c r="B41" s="1366"/>
      <c r="C41" s="1365"/>
      <c r="D41" s="1365"/>
      <c r="E41" s="1365"/>
      <c r="F41" s="1365"/>
      <c r="G41" s="1365"/>
      <c r="H41" s="1365"/>
      <c r="I41" s="1365"/>
      <c r="J41" s="1365"/>
      <c r="K41" s="1365"/>
      <c r="L41" s="1365"/>
      <c r="M41" s="1365"/>
    </row>
    <row r="42" spans="2:14" ht="11.25" customHeight="1" x14ac:dyDescent="0.2">
      <c r="B42" s="1363" t="s">
        <v>2127</v>
      </c>
      <c r="C42" s="1365"/>
      <c r="D42" s="1365"/>
      <c r="E42" s="1365"/>
      <c r="F42" s="1365"/>
      <c r="G42" s="1365"/>
      <c r="H42" s="1365"/>
      <c r="I42" s="1365"/>
      <c r="J42" s="1365"/>
      <c r="K42" s="1365"/>
      <c r="L42" s="1365"/>
      <c r="M42" s="1365"/>
    </row>
    <row r="43" spans="2:14" ht="3.95" customHeight="1" x14ac:dyDescent="0.2">
      <c r="B43" s="1299"/>
      <c r="C43" s="1367"/>
      <c r="D43" s="1368"/>
      <c r="E43" s="1299"/>
      <c r="F43" s="1299"/>
      <c r="G43" s="1299"/>
      <c r="H43" s="1299"/>
      <c r="I43" s="1299"/>
      <c r="J43" s="1299"/>
      <c r="K43" s="1369"/>
      <c r="L43" s="1369"/>
      <c r="M43" s="1299"/>
    </row>
    <row r="44" spans="2:14" ht="11.25" customHeight="1" x14ac:dyDescent="0.2">
      <c r="B44" s="1370" t="s">
        <v>1842</v>
      </c>
      <c r="C44" s="1367"/>
      <c r="D44" s="1368"/>
      <c r="E44" s="1299"/>
      <c r="F44" s="1299"/>
      <c r="G44" s="1299"/>
      <c r="H44" s="1299"/>
      <c r="I44" s="1299"/>
      <c r="J44" s="1299"/>
      <c r="K44" s="1369"/>
      <c r="L44" s="1369"/>
      <c r="M44" s="1299"/>
    </row>
    <row r="45" spans="2:14" ht="3.95" customHeight="1" x14ac:dyDescent="0.2">
      <c r="B45" s="1370"/>
      <c r="C45" s="1367"/>
      <c r="D45" s="1368"/>
      <c r="E45" s="1299"/>
      <c r="F45" s="1299"/>
      <c r="G45" s="1299"/>
      <c r="H45" s="1299"/>
      <c r="I45" s="1299"/>
      <c r="J45" s="1299"/>
      <c r="K45" s="1369"/>
      <c r="L45" s="1369"/>
      <c r="M45" s="1299"/>
    </row>
    <row r="46" spans="2:14" ht="11.25" customHeight="1" x14ac:dyDescent="0.2">
      <c r="B46" s="1371" t="s">
        <v>1843</v>
      </c>
      <c r="C46" s="1367"/>
      <c r="D46" s="1368"/>
      <c r="E46" s="1299"/>
      <c r="F46" s="1299"/>
      <c r="G46" s="1299"/>
      <c r="H46" s="1299"/>
      <c r="I46" s="1299"/>
      <c r="J46" s="1299"/>
      <c r="K46" s="1369"/>
      <c r="L46" s="1369"/>
      <c r="M46" s="1299"/>
    </row>
    <row r="47" spans="2:14" ht="11.25" customHeight="1" x14ac:dyDescent="0.2">
      <c r="B47" s="1299" t="s">
        <v>1668</v>
      </c>
      <c r="G47" s="317"/>
      <c r="H47" s="317"/>
      <c r="I47" s="317"/>
      <c r="J47" s="317"/>
    </row>
    <row r="48" spans="2:14" ht="11.1" customHeight="1" x14ac:dyDescent="0.2">
      <c r="B48" s="1299"/>
      <c r="G48" s="317"/>
      <c r="H48" s="317"/>
      <c r="I48" s="317"/>
      <c r="J48" s="317"/>
    </row>
    <row r="49" spans="2:13" ht="11.1" customHeight="1" x14ac:dyDescent="0.2">
      <c r="B49" s="1299"/>
      <c r="G49" s="317"/>
      <c r="H49" s="317"/>
      <c r="I49" s="317"/>
      <c r="J49" s="317"/>
    </row>
    <row r="50" spans="2:13" ht="13.5" customHeight="1" x14ac:dyDescent="0.2">
      <c r="M50" s="1372"/>
    </row>
    <row r="51" spans="2:13" ht="13.5" customHeight="1" x14ac:dyDescent="0.2">
      <c r="M51" s="1372"/>
    </row>
    <row r="52" spans="2:13" ht="13.5" customHeight="1" x14ac:dyDescent="0.2">
      <c r="M52" s="1372"/>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sheetProtection sheet="1" objects="1" scenarios="1"/>
  <mergeCells count="4">
    <mergeCell ref="B1:M1"/>
    <mergeCell ref="B2:M2"/>
    <mergeCell ref="B3:M3"/>
    <mergeCell ref="B4:M4"/>
  </mergeCells>
  <pageMargins left="0.09" right="0" top="0.5" bottom="0.5" header="0.25" footer="0.25"/>
  <pageSetup scale="81" firstPageNumber="38" fitToHeight="0"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0"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7" t="s">
        <v>1230</v>
      </c>
      <c r="B2" s="2087"/>
      <c r="C2" s="2087"/>
      <c r="D2" s="2087"/>
      <c r="E2" s="2087"/>
      <c r="F2" s="2087"/>
      <c r="G2" s="2087"/>
      <c r="H2" s="2087"/>
      <c r="I2" s="2087"/>
      <c r="J2" s="208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1" t="s">
        <v>1731</v>
      </c>
      <c r="B35" s="2102"/>
      <c r="C35" s="2102"/>
      <c r="D35" s="2102"/>
      <c r="E35" s="2103"/>
      <c r="F35" s="2103"/>
      <c r="G35" s="2103"/>
      <c r="H35" s="2103"/>
      <c r="I35" s="210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1" t="s">
        <v>331</v>
      </c>
      <c r="B47" s="2104"/>
      <c r="C47" s="2104"/>
      <c r="D47" s="2104"/>
      <c r="E47" s="2105"/>
      <c r="F47" s="2105"/>
      <c r="G47" s="2105"/>
      <c r="H47" s="2105"/>
      <c r="I47" s="210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2133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8"/>
      <c r="C57" s="2109"/>
      <c r="D57" s="2109"/>
      <c r="E57" s="2109"/>
      <c r="F57" s="2109"/>
      <c r="G57" s="2109"/>
      <c r="H57" s="2109"/>
      <c r="I57" s="2109"/>
      <c r="J57" s="2110"/>
    </row>
    <row r="58" spans="1:10" s="181" customFormat="1" x14ac:dyDescent="0.2">
      <c r="A58" s="253"/>
      <c r="B58" s="2111"/>
      <c r="C58" s="2112"/>
      <c r="D58" s="2112"/>
      <c r="E58" s="2112"/>
      <c r="F58" s="2112"/>
      <c r="G58" s="2112"/>
      <c r="H58" s="2112"/>
      <c r="I58" s="2112"/>
      <c r="J58" s="2113"/>
    </row>
    <row r="59" spans="1:10" s="181" customFormat="1" x14ac:dyDescent="0.2">
      <c r="A59" s="253"/>
      <c r="B59" s="2111"/>
      <c r="C59" s="2112"/>
      <c r="D59" s="2112"/>
      <c r="E59" s="2112"/>
      <c r="F59" s="2112"/>
      <c r="G59" s="2112"/>
      <c r="H59" s="2112"/>
      <c r="I59" s="2112"/>
      <c r="J59" s="2113"/>
    </row>
    <row r="60" spans="1:10" s="181" customFormat="1" x14ac:dyDescent="0.2">
      <c r="A60" s="253"/>
      <c r="B60" s="2111"/>
      <c r="C60" s="2112"/>
      <c r="D60" s="2112"/>
      <c r="E60" s="2112"/>
      <c r="F60" s="2112"/>
      <c r="G60" s="2112"/>
      <c r="H60" s="2112"/>
      <c r="I60" s="2112"/>
      <c r="J60" s="2113"/>
    </row>
    <row r="61" spans="1:10" s="181" customFormat="1" x14ac:dyDescent="0.2">
      <c r="A61" s="253"/>
      <c r="B61" s="2111"/>
      <c r="C61" s="2112"/>
      <c r="D61" s="2112"/>
      <c r="E61" s="2112"/>
      <c r="F61" s="2112"/>
      <c r="G61" s="2112"/>
      <c r="H61" s="2112"/>
      <c r="I61" s="2112"/>
      <c r="J61" s="2113"/>
    </row>
    <row r="62" spans="1:10" s="181" customFormat="1" x14ac:dyDescent="0.2">
      <c r="A62" s="253"/>
      <c r="B62" s="2111"/>
      <c r="C62" s="2112"/>
      <c r="D62" s="2112"/>
      <c r="E62" s="2112"/>
      <c r="F62" s="2112"/>
      <c r="G62" s="2112"/>
      <c r="H62" s="2112"/>
      <c r="I62" s="2112"/>
      <c r="J62" s="2113"/>
    </row>
    <row r="63" spans="1:10" s="181" customFormat="1" x14ac:dyDescent="0.2">
      <c r="A63" s="253"/>
      <c r="B63" s="2111"/>
      <c r="C63" s="2112"/>
      <c r="D63" s="2112"/>
      <c r="E63" s="2112"/>
      <c r="F63" s="2112"/>
      <c r="G63" s="2112"/>
      <c r="H63" s="2112"/>
      <c r="I63" s="2112"/>
      <c r="J63" s="2113"/>
    </row>
    <row r="64" spans="1:10" s="181" customFormat="1" x14ac:dyDescent="0.2">
      <c r="A64" s="253"/>
      <c r="B64" s="2111"/>
      <c r="C64" s="2112"/>
      <c r="D64" s="2112"/>
      <c r="E64" s="2112"/>
      <c r="F64" s="2112"/>
      <c r="G64" s="2112"/>
      <c r="H64" s="2112"/>
      <c r="I64" s="2112"/>
      <c r="J64" s="2113"/>
    </row>
    <row r="65" spans="1:10" s="181" customFormat="1" x14ac:dyDescent="0.2">
      <c r="A65" s="253"/>
      <c r="B65" s="2111"/>
      <c r="C65" s="2112"/>
      <c r="D65" s="2112"/>
      <c r="E65" s="2112"/>
      <c r="F65" s="2112"/>
      <c r="G65" s="2112"/>
      <c r="H65" s="2112"/>
      <c r="I65" s="2112"/>
      <c r="J65" s="2113"/>
    </row>
    <row r="66" spans="1:10" s="181" customFormat="1" x14ac:dyDescent="0.2">
      <c r="A66" s="253"/>
      <c r="B66" s="2111"/>
      <c r="C66" s="2112"/>
      <c r="D66" s="2112"/>
      <c r="E66" s="2112"/>
      <c r="F66" s="2112"/>
      <c r="G66" s="2112"/>
      <c r="H66" s="2112"/>
      <c r="I66" s="2112"/>
      <c r="J66" s="2113"/>
    </row>
    <row r="67" spans="1:10" s="181" customFormat="1" ht="9" customHeight="1" x14ac:dyDescent="0.2">
      <c r="A67" s="254"/>
      <c r="B67" s="2114"/>
      <c r="C67" s="2115"/>
      <c r="D67" s="2115"/>
      <c r="E67" s="2115"/>
      <c r="F67" s="2115"/>
      <c r="G67" s="2115"/>
      <c r="H67" s="2115"/>
      <c r="I67" s="2115"/>
      <c r="J67" s="211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1" t="s">
        <v>1390</v>
      </c>
      <c r="B70" s="2104"/>
      <c r="C70" s="2104"/>
      <c r="D70" s="2104"/>
      <c r="E70" s="2105"/>
      <c r="F70" s="2105"/>
      <c r="G70" s="2105"/>
      <c r="H70" s="2105"/>
      <c r="I70" s="210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6" t="s">
        <v>1387</v>
      </c>
      <c r="B83" s="2106"/>
      <c r="C83" s="2106"/>
      <c r="D83" s="210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8"/>
      <c r="C102" s="2089"/>
      <c r="D102" s="2089"/>
      <c r="E102" s="2089"/>
      <c r="F102" s="2089"/>
      <c r="G102" s="2089"/>
      <c r="H102" s="2089"/>
      <c r="I102" s="2090"/>
    </row>
    <row r="103" spans="1:9" s="181" customFormat="1" ht="11.25" customHeight="1" x14ac:dyDescent="0.2">
      <c r="A103" s="316"/>
      <c r="B103" s="2091"/>
      <c r="C103" s="2092"/>
      <c r="D103" s="2092"/>
      <c r="E103" s="2092"/>
      <c r="F103" s="2092"/>
      <c r="G103" s="2092"/>
      <c r="H103" s="2092"/>
      <c r="I103" s="2093"/>
    </row>
    <row r="104" spans="1:9" s="181" customFormat="1" ht="11.25" customHeight="1" x14ac:dyDescent="0.2">
      <c r="A104" s="316"/>
      <c r="B104" s="2091"/>
      <c r="C104" s="2092"/>
      <c r="D104" s="2092"/>
      <c r="E104" s="2092"/>
      <c r="F104" s="2092"/>
      <c r="G104" s="2092"/>
      <c r="H104" s="2092"/>
      <c r="I104" s="2093"/>
    </row>
    <row r="105" spans="1:9" s="181" customFormat="1" x14ac:dyDescent="0.2">
      <c r="A105" s="316"/>
      <c r="B105" s="2091"/>
      <c r="C105" s="2092"/>
      <c r="D105" s="2092"/>
      <c r="E105" s="2092"/>
      <c r="F105" s="2092"/>
      <c r="G105" s="2092"/>
      <c r="H105" s="2092"/>
      <c r="I105" s="2093"/>
    </row>
    <row r="106" spans="1:9" s="181" customFormat="1" ht="11.25" customHeight="1" x14ac:dyDescent="0.2">
      <c r="A106" s="316"/>
      <c r="B106" s="2091"/>
      <c r="C106" s="2092"/>
      <c r="D106" s="2092"/>
      <c r="E106" s="2092"/>
      <c r="F106" s="2092"/>
      <c r="G106" s="2092"/>
      <c r="H106" s="2092"/>
      <c r="I106" s="2093"/>
    </row>
    <row r="107" spans="1:9" s="181" customFormat="1" ht="11.25" customHeight="1" x14ac:dyDescent="0.2">
      <c r="A107" s="316"/>
      <c r="B107" s="2091"/>
      <c r="C107" s="2092"/>
      <c r="D107" s="2092"/>
      <c r="E107" s="2092"/>
      <c r="F107" s="2092"/>
      <c r="G107" s="2092"/>
      <c r="H107" s="2092"/>
      <c r="I107" s="2093"/>
    </row>
    <row r="108" spans="1:9" s="181" customFormat="1" ht="11.25" customHeight="1" x14ac:dyDescent="0.2">
      <c r="A108" s="316"/>
      <c r="B108" s="2091"/>
      <c r="C108" s="2092"/>
      <c r="D108" s="2092"/>
      <c r="E108" s="2092"/>
      <c r="F108" s="2092"/>
      <c r="G108" s="2092"/>
      <c r="H108" s="2092"/>
      <c r="I108" s="2093"/>
    </row>
    <row r="109" spans="1:9" s="181" customFormat="1" ht="11.25" customHeight="1" x14ac:dyDescent="0.2">
      <c r="A109" s="316"/>
      <c r="B109" s="2091"/>
      <c r="C109" s="2092"/>
      <c r="D109" s="2092"/>
      <c r="E109" s="2092"/>
      <c r="F109" s="2092"/>
      <c r="G109" s="2092"/>
      <c r="H109" s="2092"/>
      <c r="I109" s="2093"/>
    </row>
    <row r="110" spans="1:9" s="181" customFormat="1" ht="11.25" customHeight="1" x14ac:dyDescent="0.2">
      <c r="A110" s="316"/>
      <c r="B110" s="2091"/>
      <c r="C110" s="2092"/>
      <c r="D110" s="2092"/>
      <c r="E110" s="2092"/>
      <c r="F110" s="2092"/>
      <c r="G110" s="2092"/>
      <c r="H110" s="2092"/>
      <c r="I110" s="2093"/>
    </row>
    <row r="111" spans="1:9" s="181" customFormat="1" ht="11.25" customHeight="1" x14ac:dyDescent="0.2">
      <c r="A111" s="316"/>
      <c r="B111" s="2091"/>
      <c r="C111" s="2092"/>
      <c r="D111" s="2092"/>
      <c r="E111" s="2092"/>
      <c r="F111" s="2092"/>
      <c r="G111" s="2092"/>
      <c r="H111" s="2092"/>
      <c r="I111" s="2093"/>
    </row>
    <row r="112" spans="1:9" s="181" customFormat="1" ht="11.25" customHeight="1" x14ac:dyDescent="0.2">
      <c r="A112" s="316"/>
      <c r="B112" s="2094"/>
      <c r="C112" s="2095"/>
      <c r="D112" s="2095"/>
      <c r="E112" s="2095"/>
      <c r="F112" s="2095"/>
      <c r="G112" s="2095"/>
      <c r="H112" s="2095"/>
      <c r="I112" s="209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7" t="s">
        <v>2233</v>
      </c>
      <c r="D114" s="209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8" t="s">
        <v>1397</v>
      </c>
      <c r="D117" s="2099"/>
      <c r="E117" s="2100"/>
      <c r="F117" s="2100"/>
      <c r="G117" s="2100"/>
      <c r="H117" s="2100"/>
      <c r="I117" s="304"/>
    </row>
    <row r="118" spans="1:9" s="181" customFormat="1" ht="24" customHeight="1" x14ac:dyDescent="0.2">
      <c r="A118" s="316"/>
      <c r="B118" s="316"/>
      <c r="C118" s="316"/>
      <c r="D118" s="323" t="s">
        <v>2234</v>
      </c>
      <c r="E118" s="322"/>
      <c r="F118" s="324"/>
      <c r="G118" s="1862"/>
      <c r="H118" s="322"/>
      <c r="I118" s="304"/>
    </row>
    <row r="119" spans="1:9" s="181" customFormat="1" ht="11.25" customHeight="1" x14ac:dyDescent="0.2">
      <c r="A119" s="325"/>
      <c r="B119" s="325"/>
      <c r="C119" s="326"/>
      <c r="D119" s="327" t="s">
        <v>379</v>
      </c>
      <c r="E119" s="310"/>
      <c r="F119" s="1861" t="s">
        <v>2021</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O18" sqref="O18"/>
    </sheetView>
  </sheetViews>
  <sheetFormatPr defaultColWidth="33.5703125" defaultRowHeight="12.75" x14ac:dyDescent="0.2"/>
  <cols>
    <col min="1" max="1" width="0.140625" style="317" customWidth="1"/>
    <col min="2" max="2" width="39.4257812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23" t="str">
        <f>'Single Audit Cover'!A7</f>
        <v>Paris-Union SD 95</v>
      </c>
      <c r="C1" s="2479"/>
      <c r="D1" s="2479"/>
      <c r="E1" s="2479"/>
      <c r="F1" s="2479"/>
      <c r="G1" s="2479"/>
      <c r="H1" s="2479"/>
      <c r="I1" s="2479"/>
      <c r="J1" s="2479"/>
      <c r="K1" s="2479"/>
      <c r="L1" s="2479"/>
      <c r="M1" s="2479"/>
    </row>
    <row r="2" spans="2:14" ht="15" x14ac:dyDescent="0.2">
      <c r="B2" s="2468">
        <f>'Single Audit Cover'!E7</f>
        <v>11023095025</v>
      </c>
      <c r="C2" s="2468"/>
      <c r="D2" s="2468"/>
      <c r="E2" s="2468"/>
      <c r="F2" s="2468"/>
      <c r="G2" s="2468"/>
      <c r="H2" s="2468"/>
      <c r="I2" s="2468"/>
      <c r="J2" s="2468"/>
      <c r="K2" s="2468"/>
      <c r="L2" s="2468"/>
      <c r="M2" s="2468"/>
      <c r="N2" s="1301"/>
    </row>
    <row r="3" spans="2:14" ht="15" x14ac:dyDescent="0.2">
      <c r="B3" s="2480" t="s">
        <v>1281</v>
      </c>
      <c r="C3" s="2480"/>
      <c r="D3" s="2480"/>
      <c r="E3" s="2480"/>
      <c r="F3" s="2480"/>
      <c r="G3" s="2480"/>
      <c r="H3" s="2480"/>
      <c r="I3" s="2480"/>
      <c r="J3" s="2480"/>
      <c r="K3" s="2480"/>
      <c r="L3" s="2480"/>
      <c r="M3" s="2480"/>
      <c r="N3" s="1301"/>
    </row>
    <row r="4" spans="2:14" ht="15" x14ac:dyDescent="0.2">
      <c r="B4" s="2481" t="str">
        <f>'Single Audit Cover'!A4</f>
        <v>Year Ending June 30, 2018</v>
      </c>
      <c r="C4" s="2481"/>
      <c r="D4" s="2481"/>
      <c r="E4" s="2481"/>
      <c r="F4" s="2481"/>
      <c r="G4" s="2481"/>
      <c r="H4" s="2481"/>
      <c r="I4" s="2481"/>
      <c r="J4" s="2481"/>
      <c r="K4" s="2481"/>
      <c r="L4" s="2481"/>
      <c r="M4" s="2481"/>
      <c r="N4" s="1301"/>
    </row>
    <row r="6" spans="2:14" x14ac:dyDescent="0.2">
      <c r="B6" s="1302"/>
      <c r="C6" s="1303"/>
      <c r="D6" s="1304" t="s">
        <v>1327</v>
      </c>
      <c r="E6" s="1305" t="s">
        <v>548</v>
      </c>
      <c r="F6" s="1306"/>
      <c r="G6" s="1307" t="s">
        <v>1836</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1949</v>
      </c>
      <c r="K8" s="1318" t="s">
        <v>1323</v>
      </c>
      <c r="L8" s="1319" t="s">
        <v>1319</v>
      </c>
      <c r="M8" s="1320" t="s">
        <v>30</v>
      </c>
    </row>
    <row r="9" spans="2:14" ht="14.25" x14ac:dyDescent="0.2">
      <c r="B9" s="1324" t="s">
        <v>1321</v>
      </c>
      <c r="C9" s="1312" t="s">
        <v>1837</v>
      </c>
      <c r="D9" s="1313" t="s">
        <v>1838</v>
      </c>
      <c r="E9" s="1321" t="s">
        <v>1663</v>
      </c>
      <c r="F9" s="1322" t="s">
        <v>1949</v>
      </c>
      <c r="G9" s="1323" t="s">
        <v>1663</v>
      </c>
      <c r="H9" s="1316" t="s">
        <v>1664</v>
      </c>
      <c r="I9" s="1318" t="s">
        <v>1949</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2100</v>
      </c>
      <c r="C11" s="1337"/>
      <c r="D11" s="1338"/>
      <c r="E11" s="1339"/>
      <c r="F11" s="1339"/>
      <c r="G11" s="1339"/>
      <c r="H11" s="1339"/>
      <c r="I11" s="1339"/>
      <c r="J11" s="1339"/>
      <c r="K11" s="1339"/>
      <c r="L11" s="1339"/>
      <c r="M11" s="1339"/>
    </row>
    <row r="12" spans="2:14" ht="20.100000000000001" customHeight="1" x14ac:dyDescent="0.2">
      <c r="B12" s="1957" t="s">
        <v>2116</v>
      </c>
      <c r="C12" s="1340"/>
      <c r="D12" s="1341"/>
      <c r="E12" s="1342"/>
      <c r="F12" s="1342"/>
      <c r="G12" s="1342"/>
      <c r="H12" s="1342"/>
      <c r="I12" s="1342"/>
      <c r="J12" s="1342"/>
      <c r="K12" s="1342"/>
      <c r="L12" s="1339"/>
      <c r="M12" s="1342"/>
    </row>
    <row r="13" spans="2:14" ht="20.100000000000001" customHeight="1" x14ac:dyDescent="0.2">
      <c r="B13" s="1958" t="s">
        <v>2117</v>
      </c>
      <c r="C13" s="1340" t="s">
        <v>2108</v>
      </c>
      <c r="D13" s="1341" t="s">
        <v>2120</v>
      </c>
      <c r="E13" s="1342">
        <v>123310</v>
      </c>
      <c r="F13" s="1342"/>
      <c r="G13" s="1342">
        <v>123310</v>
      </c>
      <c r="H13" s="1342"/>
      <c r="I13" s="1342"/>
      <c r="J13" s="1342"/>
      <c r="K13" s="1342"/>
      <c r="L13" s="1339">
        <f t="shared" ref="L13:L22" si="0">+G13+I13+K13</f>
        <v>123310</v>
      </c>
      <c r="M13" s="1342" t="s">
        <v>2099</v>
      </c>
    </row>
    <row r="14" spans="2:14" ht="20.100000000000001" customHeight="1" x14ac:dyDescent="0.2">
      <c r="B14" s="1958" t="s">
        <v>2117</v>
      </c>
      <c r="C14" s="1340" t="s">
        <v>2108</v>
      </c>
      <c r="D14" s="1341" t="s">
        <v>2121</v>
      </c>
      <c r="E14" s="1342"/>
      <c r="F14" s="1342">
        <v>123310</v>
      </c>
      <c r="G14" s="1342"/>
      <c r="H14" s="1342"/>
      <c r="I14" s="1342">
        <v>123310</v>
      </c>
      <c r="J14" s="1342"/>
      <c r="K14" s="1342"/>
      <c r="L14" s="1339">
        <f t="shared" si="0"/>
        <v>123310</v>
      </c>
      <c r="M14" s="1342" t="s">
        <v>2099</v>
      </c>
    </row>
    <row r="15" spans="2:14" ht="20.100000000000001" customHeight="1" x14ac:dyDescent="0.2">
      <c r="B15" s="1966" t="s">
        <v>2129</v>
      </c>
      <c r="C15" s="1340"/>
      <c r="D15" s="1341"/>
      <c r="E15" s="1342">
        <f>SUBTOTAL(109,' SEFA'!E19:E29)+SUBTOTAL(109,' SEFA (2)'!E11:E14)</f>
        <v>564960</v>
      </c>
      <c r="F15" s="1342">
        <f>SUBTOTAL(109,' SEFA'!F19:F29)+SUBTOTAL(109,' SEFA (2)'!F11:F14)</f>
        <v>617616</v>
      </c>
      <c r="G15" s="1342">
        <f>SUBTOTAL(109,' SEFA'!G19:G29)+SUBTOTAL(109,' SEFA (2)'!G11:G14)</f>
        <v>678432</v>
      </c>
      <c r="H15" s="1342">
        <f>SUBTOTAL(109,' SEFA'!H19:H29)+SUBTOTAL(109,' SEFA (2)'!H11:H14)</f>
        <v>0</v>
      </c>
      <c r="I15" s="1342">
        <f>SUBTOTAL(109,' SEFA'!I19:I29)+SUBTOTAL(109,' SEFA (2)'!I11:I14)</f>
        <v>783520</v>
      </c>
      <c r="J15" s="1342">
        <f>SUBTOTAL(109,' SEFA'!J19:J29)+SUBTOTAL(109,' SEFA (2)'!J11:J14)</f>
        <v>0</v>
      </c>
      <c r="K15" s="1342">
        <f>SUBTOTAL(109,' SEFA'!K19:K29)+SUBTOTAL(109,' SEFA (2)'!K11:K14)</f>
        <v>0</v>
      </c>
      <c r="L15" s="1339"/>
      <c r="M15" s="1342"/>
    </row>
    <row r="16" spans="2:14" ht="20.100000000000001" customHeight="1" x14ac:dyDescent="0.2">
      <c r="B16" s="1336" t="s">
        <v>2118</v>
      </c>
      <c r="C16" s="1340"/>
      <c r="D16" s="1341"/>
      <c r="E16" s="1342"/>
      <c r="F16" s="1342"/>
      <c r="G16" s="1342"/>
      <c r="H16" s="1342"/>
      <c r="I16" s="1342"/>
      <c r="J16" s="1342"/>
      <c r="K16" s="1342"/>
      <c r="L16" s="1339"/>
      <c r="M16" s="1342"/>
    </row>
    <row r="17" spans="2:14" ht="20.100000000000001" customHeight="1" x14ac:dyDescent="0.2">
      <c r="B17" s="1957" t="s">
        <v>2093</v>
      </c>
      <c r="C17" s="1340"/>
      <c r="D17" s="1341"/>
      <c r="E17" s="1342"/>
      <c r="F17" s="1342"/>
      <c r="G17" s="1342"/>
      <c r="H17" s="1342"/>
      <c r="I17" s="1342"/>
      <c r="J17" s="1342"/>
      <c r="K17" s="1342"/>
      <c r="L17" s="1339"/>
      <c r="M17" s="1342"/>
    </row>
    <row r="18" spans="2:14" ht="20.100000000000001" customHeight="1" x14ac:dyDescent="0.2">
      <c r="B18" s="1958" t="s">
        <v>2119</v>
      </c>
      <c r="C18" s="1340">
        <v>93.778000000000006</v>
      </c>
      <c r="D18" s="1341" t="s">
        <v>2122</v>
      </c>
      <c r="E18" s="1342">
        <v>51604</v>
      </c>
      <c r="F18" s="1342"/>
      <c r="G18" s="1342">
        <v>62784</v>
      </c>
      <c r="H18" s="1342"/>
      <c r="I18" s="1342"/>
      <c r="J18" s="1342"/>
      <c r="K18" s="1342"/>
      <c r="L18" s="1339">
        <f t="shared" si="0"/>
        <v>62784</v>
      </c>
      <c r="M18" s="1342" t="s">
        <v>2099</v>
      </c>
    </row>
    <row r="19" spans="2:14" ht="20.100000000000001" customHeight="1" x14ac:dyDescent="0.2">
      <c r="B19" s="1958" t="s">
        <v>2119</v>
      </c>
      <c r="C19" s="1340">
        <v>93.778000000000006</v>
      </c>
      <c r="D19" s="1341" t="s">
        <v>2123</v>
      </c>
      <c r="E19" s="1342"/>
      <c r="F19" s="1342">
        <v>38836</v>
      </c>
      <c r="G19" s="1342"/>
      <c r="H19" s="1342"/>
      <c r="I19" s="1342">
        <v>38836</v>
      </c>
      <c r="J19" s="1342"/>
      <c r="K19" s="1342"/>
      <c r="L19" s="1339">
        <f t="shared" si="0"/>
        <v>38836</v>
      </c>
      <c r="M19" s="1342" t="s">
        <v>2099</v>
      </c>
    </row>
    <row r="20" spans="2:14" ht="20.100000000000001" customHeight="1" x14ac:dyDescent="0.2">
      <c r="B20" s="1957" t="s">
        <v>2116</v>
      </c>
      <c r="C20" s="1340"/>
      <c r="D20" s="1341"/>
      <c r="E20" s="1342"/>
      <c r="F20" s="1342"/>
      <c r="G20" s="1342"/>
      <c r="H20" s="1342"/>
      <c r="I20" s="1342"/>
      <c r="J20" s="1342"/>
      <c r="K20" s="1342"/>
      <c r="L20" s="1339">
        <f t="shared" si="0"/>
        <v>0</v>
      </c>
      <c r="M20" s="1342" t="s">
        <v>2099</v>
      </c>
    </row>
    <row r="21" spans="2:14" ht="20.100000000000001" customHeight="1" x14ac:dyDescent="0.2">
      <c r="B21" s="1958" t="s">
        <v>2119</v>
      </c>
      <c r="C21" s="1340">
        <v>93.778000000000006</v>
      </c>
      <c r="D21" s="1341">
        <v>2017</v>
      </c>
      <c r="E21" s="1342">
        <v>2218</v>
      </c>
      <c r="F21" s="1342">
        <v>160</v>
      </c>
      <c r="G21" s="1342">
        <v>2218</v>
      </c>
      <c r="H21" s="1342"/>
      <c r="I21" s="1342">
        <v>160</v>
      </c>
      <c r="J21" s="1342"/>
      <c r="K21" s="1342"/>
      <c r="L21" s="1339">
        <f t="shared" si="0"/>
        <v>2378</v>
      </c>
      <c r="M21" s="1342" t="s">
        <v>2099</v>
      </c>
    </row>
    <row r="22" spans="2:14" ht="20.100000000000001" customHeight="1" x14ac:dyDescent="0.2">
      <c r="B22" s="1958" t="s">
        <v>2119</v>
      </c>
      <c r="C22" s="1340">
        <v>93.778000000000006</v>
      </c>
      <c r="D22" s="1341">
        <v>2018</v>
      </c>
      <c r="E22" s="1342"/>
      <c r="F22" s="1342">
        <v>4280</v>
      </c>
      <c r="G22" s="1342"/>
      <c r="H22" s="1342"/>
      <c r="I22" s="1342">
        <v>4280</v>
      </c>
      <c r="J22" s="1342"/>
      <c r="K22" s="1342"/>
      <c r="L22" s="1339">
        <f t="shared" si="0"/>
        <v>4280</v>
      </c>
      <c r="M22" s="1342" t="s">
        <v>2099</v>
      </c>
    </row>
    <row r="23" spans="2:14" ht="20.100000000000001" customHeight="1" x14ac:dyDescent="0.2">
      <c r="B23" s="1966" t="s">
        <v>2130</v>
      </c>
      <c r="C23" s="1340"/>
      <c r="D23" s="1341"/>
      <c r="E23" s="1342">
        <f t="shared" ref="E23:K23" si="1">SUBTOTAL(109,E16:E22)</f>
        <v>53822</v>
      </c>
      <c r="F23" s="1342">
        <f t="shared" si="1"/>
        <v>43276</v>
      </c>
      <c r="G23" s="1342">
        <f t="shared" si="1"/>
        <v>65002</v>
      </c>
      <c r="H23" s="1342">
        <f t="shared" si="1"/>
        <v>0</v>
      </c>
      <c r="I23" s="1342">
        <f t="shared" si="1"/>
        <v>43276</v>
      </c>
      <c r="J23" s="1342">
        <f t="shared" si="1"/>
        <v>0</v>
      </c>
      <c r="K23" s="1342">
        <f t="shared" si="1"/>
        <v>0</v>
      </c>
      <c r="L23" s="1339"/>
      <c r="M23" s="1342"/>
    </row>
    <row r="24" spans="2:14" ht="20.100000000000001" customHeight="1" x14ac:dyDescent="0.2">
      <c r="B24" s="1967" t="s">
        <v>2131</v>
      </c>
      <c r="C24" s="1340"/>
      <c r="D24" s="1341"/>
      <c r="E24" s="1342">
        <f>SUBTOTAL(109,' SEFA'!E11:E29)+SUBTOTAL(109,E11:E23)</f>
        <v>871057</v>
      </c>
      <c r="F24" s="1342">
        <f>SUBTOTAL(109,' SEFA'!F11:F29)+SUBTOTAL(109,F11:F23)</f>
        <v>953905</v>
      </c>
      <c r="G24" s="1342">
        <f>SUBTOTAL(109,' SEFA'!G11:G29)+SUBTOTAL(109,G11:G23)</f>
        <v>995709</v>
      </c>
      <c r="H24" s="1342">
        <f>SUBTOTAL(109,' SEFA'!H11:H29)+SUBTOTAL(109,H11:H23)</f>
        <v>0</v>
      </c>
      <c r="I24" s="1342">
        <f>SUBTOTAL(109,' SEFA'!I11:I29)+SUBTOTAL(109,I11:I23)</f>
        <v>1119810</v>
      </c>
      <c r="J24" s="1342">
        <f>SUBTOTAL(109,' SEFA'!J11:J29)+SUBTOTAL(109,J11:J23)</f>
        <v>0</v>
      </c>
      <c r="K24" s="1342">
        <f>SUBTOTAL(109,' SEFA'!K11:K29)+SUBTOTAL(109,K11:K23)</f>
        <v>0</v>
      </c>
      <c r="L24" s="1339"/>
      <c r="M24" s="1342"/>
    </row>
    <row r="25" spans="2:14" ht="20.100000000000001" customHeight="1" x14ac:dyDescent="0.2">
      <c r="B25" s="1336"/>
      <c r="C25" s="1340"/>
      <c r="D25" s="1341"/>
      <c r="E25" s="1342"/>
      <c r="F25" s="1342"/>
      <c r="G25" s="1342"/>
      <c r="H25" s="1342"/>
      <c r="I25" s="1342"/>
      <c r="J25" s="1342"/>
      <c r="K25" s="1342"/>
      <c r="L25" s="1339"/>
      <c r="M25" s="1342"/>
    </row>
    <row r="26" spans="2:14" ht="20.100000000000001" customHeight="1" x14ac:dyDescent="0.2">
      <c r="B26" s="1336"/>
      <c r="C26" s="1340"/>
      <c r="D26" s="1341"/>
      <c r="E26" s="1342"/>
      <c r="F26" s="1342"/>
      <c r="G26" s="1342"/>
      <c r="H26" s="1342"/>
      <c r="I26" s="1342"/>
      <c r="J26" s="1342"/>
      <c r="K26" s="1342"/>
      <c r="L26" s="1339"/>
      <c r="M26" s="1342"/>
    </row>
    <row r="27" spans="2:14" ht="20.100000000000001" customHeight="1" x14ac:dyDescent="0.2">
      <c r="B27" s="1336"/>
      <c r="C27" s="1340"/>
      <c r="D27" s="1341"/>
      <c r="E27" s="1342"/>
      <c r="F27" s="1342"/>
      <c r="G27" s="1342"/>
      <c r="H27" s="1342"/>
      <c r="I27" s="1342"/>
      <c r="J27" s="1342"/>
      <c r="K27" s="1342"/>
      <c r="L27" s="1339"/>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1839</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1950</v>
      </c>
      <c r="C32" s="1351"/>
      <c r="D32" s="1352"/>
      <c r="E32" s="1353"/>
      <c r="F32" s="1353"/>
      <c r="G32" s="1353"/>
      <c r="H32" s="1353"/>
      <c r="I32" s="317"/>
      <c r="J32" s="317"/>
    </row>
    <row r="33" spans="2:13" ht="7.5" customHeight="1"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9.7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1840</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1841</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1842</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1843</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1" firstPageNumber="38" fitToHeight="0"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O11" sqref="O11"/>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6" t="str">
        <f>'Single Audit Cover'!A7</f>
        <v>Paris-Union SD 95</v>
      </c>
      <c r="C1" s="2487"/>
      <c r="D1" s="2487"/>
      <c r="E1" s="2487"/>
      <c r="F1" s="2487"/>
      <c r="G1" s="2487"/>
      <c r="H1" s="2487"/>
      <c r="I1" s="2487"/>
      <c r="J1" s="1421"/>
    </row>
    <row r="2" spans="2:10" s="317" customFormat="1" ht="12.75" customHeight="1" x14ac:dyDescent="0.2">
      <c r="B2" s="2488">
        <f>'Single Audit Cover'!E7</f>
        <v>11023095025</v>
      </c>
      <c r="C2" s="2489"/>
      <c r="D2" s="2489"/>
      <c r="E2" s="2489"/>
      <c r="F2" s="2489"/>
      <c r="G2" s="2489"/>
      <c r="H2" s="2489"/>
      <c r="I2" s="2489"/>
      <c r="J2" s="1421"/>
    </row>
    <row r="3" spans="2:10" s="317" customFormat="1" ht="12.75" customHeight="1" x14ac:dyDescent="0.2">
      <c r="B3" s="2490" t="s">
        <v>1347</v>
      </c>
      <c r="C3" s="2491"/>
      <c r="D3" s="2491"/>
      <c r="E3" s="2491"/>
      <c r="F3" s="2491"/>
      <c r="G3" s="2491"/>
      <c r="H3" s="2491"/>
      <c r="I3" s="2491"/>
      <c r="J3" s="1422"/>
    </row>
    <row r="4" spans="2:10" s="317" customFormat="1" ht="12.75" customHeight="1" x14ac:dyDescent="0.2">
      <c r="B4" s="2490" t="str">
        <f>'Single Audit Cover'!A4</f>
        <v>Year Ending June 30, 2018</v>
      </c>
      <c r="C4" s="2491"/>
      <c r="D4" s="2491"/>
      <c r="E4" s="2491"/>
      <c r="F4" s="2491"/>
      <c r="G4" s="2491"/>
      <c r="H4" s="2491"/>
      <c r="I4" s="2491"/>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90" t="s">
        <v>1346</v>
      </c>
      <c r="C7" s="2491"/>
      <c r="D7" s="2491"/>
      <c r="E7" s="2491"/>
      <c r="F7" s="2491"/>
      <c r="G7" s="2491"/>
      <c r="H7" s="2491"/>
      <c r="I7" s="2491"/>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92" t="s">
        <v>2231</v>
      </c>
      <c r="D11" s="2492"/>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t="s">
        <v>2133</v>
      </c>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t="s">
        <v>2133</v>
      </c>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t="s">
        <v>2133</v>
      </c>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t="s">
        <v>2133</v>
      </c>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t="s">
        <v>2133</v>
      </c>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93" t="s">
        <v>2231</v>
      </c>
      <c r="E29" s="2493"/>
      <c r="F29" s="2493"/>
      <c r="G29" s="2493"/>
      <c r="H29" s="2493"/>
      <c r="I29" s="2493"/>
    </row>
    <row r="30" spans="2:9" s="317" customFormat="1" x14ac:dyDescent="0.2">
      <c r="B30" s="1367"/>
      <c r="C30" s="322"/>
      <c r="D30" s="1432" t="s">
        <v>1850</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t="s">
        <v>2133</v>
      </c>
      <c r="H33" s="1299" t="s">
        <v>101</v>
      </c>
    </row>
    <row r="35" spans="2:9" x14ac:dyDescent="0.2">
      <c r="B35" s="1440" t="s">
        <v>1851</v>
      </c>
      <c r="C35" s="1441"/>
      <c r="D35" s="1266"/>
    </row>
    <row r="36" spans="2:9" ht="6" customHeight="1" x14ac:dyDescent="0.2">
      <c r="B36" s="1440"/>
      <c r="C36" s="1441"/>
      <c r="D36" s="1266"/>
    </row>
    <row r="37" spans="2:9" ht="17.25" customHeight="1" x14ac:dyDescent="0.2">
      <c r="B37" s="1442" t="s">
        <v>1852</v>
      </c>
      <c r="C37" s="2494" t="s">
        <v>1853</v>
      </c>
      <c r="D37" s="2495"/>
      <c r="E37" s="2495"/>
      <c r="F37" s="2496"/>
      <c r="G37" s="2494" t="s">
        <v>1674</v>
      </c>
      <c r="H37" s="2495"/>
      <c r="I37" s="2496"/>
    </row>
    <row r="38" spans="2:9" ht="16.5" customHeight="1" x14ac:dyDescent="0.2">
      <c r="B38" s="1443" t="s">
        <v>2105</v>
      </c>
      <c r="C38" s="2482" t="s">
        <v>2232</v>
      </c>
      <c r="D38" s="2483"/>
      <c r="E38" s="2483"/>
      <c r="F38" s="2484"/>
      <c r="G38" s="2497">
        <f>' SEFA'!I22+' SEFA'!I23</f>
        <v>563093</v>
      </c>
      <c r="H38" s="2498"/>
      <c r="I38" s="2499"/>
    </row>
    <row r="39" spans="2:9" ht="16.5" customHeight="1" x14ac:dyDescent="0.2">
      <c r="B39" s="1443"/>
      <c r="C39" s="2482"/>
      <c r="D39" s="2483"/>
      <c r="E39" s="2483"/>
      <c r="F39" s="2484"/>
      <c r="G39" s="2485"/>
      <c r="H39" s="2485"/>
      <c r="I39" s="2485"/>
    </row>
    <row r="40" spans="2:9" ht="16.5" customHeight="1" x14ac:dyDescent="0.2">
      <c r="B40" s="1443"/>
      <c r="C40" s="2482"/>
      <c r="D40" s="2483"/>
      <c r="E40" s="2483"/>
      <c r="F40" s="2484"/>
      <c r="G40" s="2485"/>
      <c r="H40" s="2485"/>
      <c r="I40" s="2485"/>
    </row>
    <row r="41" spans="2:9" ht="16.5" customHeight="1" x14ac:dyDescent="0.2">
      <c r="B41" s="1443"/>
      <c r="C41" s="2482"/>
      <c r="D41" s="2483"/>
      <c r="E41" s="2483"/>
      <c r="F41" s="2484"/>
      <c r="G41" s="2485"/>
      <c r="H41" s="2485"/>
      <c r="I41" s="2485"/>
    </row>
    <row r="42" spans="2:9" ht="16.5" customHeight="1" x14ac:dyDescent="0.2">
      <c r="B42" s="1443"/>
      <c r="C42" s="2482"/>
      <c r="D42" s="2483"/>
      <c r="E42" s="2483"/>
      <c r="F42" s="2484"/>
      <c r="G42" s="2485"/>
      <c r="H42" s="2485"/>
      <c r="I42" s="2485"/>
    </row>
    <row r="43" spans="2:9" ht="16.5" customHeight="1" x14ac:dyDescent="0.2">
      <c r="B43" s="1443"/>
      <c r="C43" s="2500" t="s">
        <v>1675</v>
      </c>
      <c r="D43" s="2501"/>
      <c r="E43" s="2501"/>
      <c r="F43" s="2502"/>
      <c r="G43" s="2503">
        <f>SUM(G38:I42)</f>
        <v>563093</v>
      </c>
      <c r="H43" s="2503"/>
      <c r="I43" s="2503"/>
    </row>
    <row r="44" spans="2:9" ht="12.75" customHeight="1" x14ac:dyDescent="0.2"/>
    <row r="45" spans="2:9" ht="12.75" customHeight="1" x14ac:dyDescent="0.2">
      <c r="B45" s="1434" t="s">
        <v>1951</v>
      </c>
      <c r="D45" s="2504">
        <f>' SEFA (2)'!I24</f>
        <v>1119810</v>
      </c>
      <c r="E45" s="2505"/>
    </row>
    <row r="46" spans="2:9" ht="5.25" customHeight="1" x14ac:dyDescent="0.2">
      <c r="B46" s="1444"/>
      <c r="D46" s="1445"/>
      <c r="E46" s="1446"/>
    </row>
    <row r="47" spans="2:9" ht="12.75" customHeight="1" x14ac:dyDescent="0.2">
      <c r="B47" s="1299" t="s">
        <v>1676</v>
      </c>
      <c r="C47" s="1299"/>
      <c r="D47" s="1447">
        <f>+G43/D45</f>
        <v>0.50284691152963445</v>
      </c>
      <c r="E47" s="1448"/>
      <c r="F47" s="1449"/>
      <c r="I47" s="1450"/>
    </row>
    <row r="48" spans="2:9" ht="9.9499999999999993" customHeight="1" x14ac:dyDescent="0.2"/>
    <row r="49" spans="1:9" x14ac:dyDescent="0.2">
      <c r="B49" s="1367" t="s">
        <v>1335</v>
      </c>
      <c r="C49" s="1281"/>
      <c r="D49" s="1281"/>
      <c r="E49" s="2506">
        <v>750000</v>
      </c>
      <c r="F49" s="2506"/>
      <c r="G49" s="2506"/>
      <c r="H49" s="322"/>
    </row>
    <row r="51" spans="1:9" ht="13.5" customHeight="1" x14ac:dyDescent="0.2">
      <c r="B51" s="1367" t="s">
        <v>1334</v>
      </c>
      <c r="C51" s="1281"/>
      <c r="E51" s="1437"/>
      <c r="F51" s="1299" t="s">
        <v>940</v>
      </c>
      <c r="G51" s="1437" t="s">
        <v>2133</v>
      </c>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1854</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1855</v>
      </c>
      <c r="C58" s="1463"/>
      <c r="D58" s="1463"/>
    </row>
    <row r="59" spans="1:9" s="1460" customFormat="1" ht="3.95" customHeight="1" x14ac:dyDescent="0.2">
      <c r="A59" s="1457"/>
      <c r="B59" s="1462"/>
      <c r="C59" s="1463"/>
      <c r="D59" s="1463"/>
    </row>
    <row r="60" spans="1:9" s="1460" customFormat="1" ht="13.5" customHeight="1" x14ac:dyDescent="0.2">
      <c r="A60" s="1457"/>
      <c r="B60" s="1462" t="s">
        <v>1856</v>
      </c>
      <c r="C60" s="1463"/>
      <c r="D60" s="1463"/>
    </row>
    <row r="61" spans="1:9" s="1460" customFormat="1" ht="3.95" customHeight="1" x14ac:dyDescent="0.2">
      <c r="A61" s="1457"/>
      <c r="B61" s="1462"/>
      <c r="C61" s="1463"/>
      <c r="D61" s="1463"/>
    </row>
    <row r="62" spans="1:9" s="1460" customFormat="1" ht="12.75" customHeight="1" x14ac:dyDescent="0.2">
      <c r="A62" s="1457"/>
      <c r="B62" s="1462" t="s">
        <v>1857</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fitToWidth="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Paris-Union SD 95</v>
      </c>
      <c r="C1" s="2486"/>
      <c r="D1" s="2486"/>
      <c r="E1" s="2486"/>
      <c r="F1" s="2486"/>
      <c r="G1" s="2486"/>
      <c r="H1" s="2486"/>
      <c r="I1" s="2486"/>
      <c r="J1" s="2486"/>
      <c r="K1" s="2486"/>
      <c r="L1" s="1373"/>
      <c r="M1" s="1373"/>
    </row>
    <row r="2" spans="1:13" ht="12" customHeight="1" x14ac:dyDescent="0.2">
      <c r="B2" s="2488">
        <f>'Single Audit Cover'!E7</f>
        <v>11023095025</v>
      </c>
      <c r="C2" s="2488"/>
      <c r="D2" s="2488"/>
      <c r="E2" s="2488"/>
      <c r="F2" s="2488"/>
      <c r="G2" s="2488"/>
      <c r="H2" s="2488"/>
      <c r="I2" s="2488"/>
      <c r="J2" s="2488"/>
      <c r="K2" s="2488"/>
      <c r="L2" s="1374"/>
      <c r="M2" s="1375"/>
    </row>
    <row r="3" spans="1:13" ht="10.35" customHeight="1" x14ac:dyDescent="0.2">
      <c r="B3" s="2509" t="s">
        <v>1347</v>
      </c>
      <c r="C3" s="2509"/>
      <c r="D3" s="2509"/>
      <c r="E3" s="2509"/>
      <c r="F3" s="2509"/>
      <c r="G3" s="2509"/>
      <c r="H3" s="2509"/>
      <c r="I3" s="2509"/>
      <c r="J3" s="2509"/>
      <c r="K3" s="2509"/>
      <c r="L3" s="1376"/>
      <c r="M3" s="1376"/>
    </row>
    <row r="4" spans="1:13" ht="14.25" customHeight="1" x14ac:dyDescent="0.2">
      <c r="B4" s="2510" t="str">
        <f>'Single Audit Cover'!A4</f>
        <v>Year Ending June 30, 2018</v>
      </c>
      <c r="C4" s="2510"/>
      <c r="D4" s="2510"/>
      <c r="E4" s="2510"/>
      <c r="F4" s="2510"/>
      <c r="G4" s="2510"/>
      <c r="H4" s="2510"/>
      <c r="I4" s="2510"/>
      <c r="J4" s="2510"/>
      <c r="K4" s="2510"/>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10" t="s">
        <v>1363</v>
      </c>
      <c r="C7" s="2510"/>
      <c r="D7" s="2511"/>
      <c r="E7" s="2511"/>
      <c r="F7" s="2511"/>
      <c r="G7" s="2511"/>
      <c r="H7" s="2511"/>
      <c r="I7" s="2511"/>
      <c r="J7" s="2511"/>
      <c r="K7" s="2511"/>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1844</v>
      </c>
      <c r="C10" s="1384" t="s">
        <v>1952</v>
      </c>
      <c r="D10" s="1385">
        <v>1</v>
      </c>
      <c r="E10" s="322"/>
      <c r="F10" s="1386" t="s">
        <v>1362</v>
      </c>
      <c r="G10" s="1387"/>
      <c r="H10" s="1388" t="s">
        <v>1361</v>
      </c>
      <c r="I10" s="1387" t="s">
        <v>2133</v>
      </c>
      <c r="J10" s="1389" t="s">
        <v>1360</v>
      </c>
      <c r="K10" s="322"/>
      <c r="L10" s="1380"/>
    </row>
    <row r="11" spans="1:13" ht="13.5" customHeight="1" x14ac:dyDescent="0.2">
      <c r="B11" s="322"/>
      <c r="C11" s="322"/>
      <c r="D11" s="322"/>
      <c r="E11" s="322"/>
      <c r="F11" s="322"/>
      <c r="G11" s="1382"/>
      <c r="H11" s="322"/>
      <c r="I11" s="1390" t="s">
        <v>1359</v>
      </c>
      <c r="J11" s="322"/>
      <c r="K11" s="1391">
        <v>2014</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8" t="s">
        <v>2134</v>
      </c>
      <c r="C14" s="2508"/>
      <c r="D14" s="2508"/>
      <c r="E14" s="2508"/>
      <c r="F14" s="2508"/>
      <c r="G14" s="2508"/>
      <c r="H14" s="2508"/>
      <c r="I14" s="2508"/>
      <c r="J14" s="2508"/>
      <c r="K14" s="2508"/>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8" t="s">
        <v>2135</v>
      </c>
      <c r="C17" s="2508"/>
      <c r="D17" s="2508"/>
      <c r="E17" s="2508"/>
      <c r="F17" s="2508"/>
      <c r="G17" s="2508"/>
      <c r="H17" s="2508"/>
      <c r="I17" s="2508"/>
      <c r="J17" s="2508"/>
      <c r="K17" s="2508"/>
      <c r="L17" s="1380"/>
    </row>
    <row r="18" spans="2:12" ht="4.5" customHeight="1" x14ac:dyDescent="0.2">
      <c r="B18" s="1397"/>
      <c r="C18" s="1397"/>
      <c r="L18" s="1380"/>
    </row>
    <row r="19" spans="2:12" s="1281" customFormat="1" ht="13.5" customHeight="1" x14ac:dyDescent="0.2">
      <c r="B19" s="1392" t="s">
        <v>1845</v>
      </c>
      <c r="C19" s="1392"/>
      <c r="D19" s="1393"/>
      <c r="E19" s="1393"/>
      <c r="F19" s="1393"/>
      <c r="G19" s="1394"/>
      <c r="H19" s="1393"/>
      <c r="I19" s="1394"/>
      <c r="J19" s="1393"/>
      <c r="K19" s="1393"/>
      <c r="L19" s="1395"/>
    </row>
    <row r="20" spans="2:12" ht="45.75" customHeight="1" x14ac:dyDescent="0.2">
      <c r="B20" s="2512" t="s">
        <v>2136</v>
      </c>
      <c r="C20" s="2512"/>
      <c r="D20" s="2508"/>
      <c r="E20" s="2508"/>
      <c r="F20" s="2508"/>
      <c r="G20" s="2508"/>
      <c r="H20" s="2508"/>
      <c r="I20" s="2508"/>
      <c r="J20" s="2508"/>
      <c r="K20" s="2508"/>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8" t="s">
        <v>2137</v>
      </c>
      <c r="C23" s="2508"/>
      <c r="D23" s="2508"/>
      <c r="E23" s="2508"/>
      <c r="F23" s="2508"/>
      <c r="G23" s="2508"/>
      <c r="H23" s="2508"/>
      <c r="I23" s="2508"/>
      <c r="J23" s="2508"/>
      <c r="K23" s="2508"/>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8" t="s">
        <v>2138</v>
      </c>
      <c r="C26" s="2508"/>
      <c r="D26" s="2508"/>
      <c r="E26" s="2508"/>
      <c r="F26" s="2508"/>
      <c r="G26" s="2508"/>
      <c r="H26" s="2508"/>
      <c r="I26" s="2508"/>
      <c r="J26" s="2508"/>
      <c r="K26" s="2508"/>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7" t="s">
        <v>2139</v>
      </c>
      <c r="C29" s="2507"/>
      <c r="D29" s="2508"/>
      <c r="E29" s="2508"/>
      <c r="F29" s="2508"/>
      <c r="G29" s="2508"/>
      <c r="H29" s="2508"/>
      <c r="I29" s="2508"/>
      <c r="J29" s="2508"/>
      <c r="K29" s="2508"/>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1846</v>
      </c>
      <c r="C31" s="1402"/>
      <c r="D31" s="1377"/>
      <c r="E31" s="1378"/>
      <c r="F31" s="1378"/>
      <c r="G31" s="1379"/>
      <c r="H31" s="1378"/>
      <c r="I31" s="1379"/>
      <c r="J31" s="1378"/>
      <c r="K31" s="1378"/>
      <c r="L31" s="1380"/>
    </row>
    <row r="32" spans="2:12" s="322" customFormat="1" ht="44.25" customHeight="1" x14ac:dyDescent="0.2">
      <c r="B32" s="2507" t="s">
        <v>2147</v>
      </c>
      <c r="C32" s="2507"/>
      <c r="D32" s="2508"/>
      <c r="E32" s="2508"/>
      <c r="F32" s="2508"/>
      <c r="G32" s="2508"/>
      <c r="H32" s="2508"/>
      <c r="I32" s="2508"/>
      <c r="J32" s="2508"/>
      <c r="K32" s="2508"/>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1847</v>
      </c>
      <c r="C35" s="1418"/>
      <c r="D35" s="322"/>
      <c r="E35" s="322"/>
      <c r="F35" s="322"/>
      <c r="L35" s="1380"/>
    </row>
    <row r="36" spans="1:13" ht="9.6" customHeight="1" x14ac:dyDescent="0.2">
      <c r="B36" s="1299" t="s">
        <v>1953</v>
      </c>
      <c r="C36" s="1299"/>
      <c r="L36" s="1380"/>
    </row>
    <row r="37" spans="1:13" ht="9.6" customHeight="1" x14ac:dyDescent="0.2">
      <c r="B37" s="1299" t="s">
        <v>1954</v>
      </c>
      <c r="C37" s="1299"/>
    </row>
    <row r="38" spans="1:13" ht="11.85" customHeight="1" x14ac:dyDescent="0.2">
      <c r="B38" s="1419" t="s">
        <v>1848</v>
      </c>
      <c r="C38" s="1419"/>
    </row>
    <row r="39" spans="1:13" ht="9.6" customHeight="1" x14ac:dyDescent="0.2">
      <c r="B39" s="1299" t="s">
        <v>1348</v>
      </c>
      <c r="C39" s="1299"/>
      <c r="M39" s="1420"/>
    </row>
    <row r="40" spans="1:13" ht="12.6" customHeight="1" x14ac:dyDescent="0.2">
      <c r="B40" s="1419" t="s">
        <v>1849</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6"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Paris-Union SD 95</v>
      </c>
      <c r="C1" s="2486"/>
      <c r="D1" s="2486"/>
      <c r="E1" s="2486"/>
      <c r="F1" s="2486"/>
      <c r="G1" s="2486"/>
      <c r="H1" s="2486"/>
      <c r="I1" s="2486"/>
      <c r="J1" s="2486"/>
      <c r="K1" s="2486"/>
      <c r="L1" s="1373"/>
      <c r="M1" s="1373"/>
    </row>
    <row r="2" spans="1:13" ht="12" customHeight="1" x14ac:dyDescent="0.2">
      <c r="B2" s="2488">
        <f>'Single Audit Cover'!E7</f>
        <v>11023095025</v>
      </c>
      <c r="C2" s="2488"/>
      <c r="D2" s="2488"/>
      <c r="E2" s="2488"/>
      <c r="F2" s="2488"/>
      <c r="G2" s="2488"/>
      <c r="H2" s="2488"/>
      <c r="I2" s="2488"/>
      <c r="J2" s="2488"/>
      <c r="K2" s="2488"/>
      <c r="L2" s="1374"/>
      <c r="M2" s="1375"/>
    </row>
    <row r="3" spans="1:13" ht="10.35" customHeight="1" x14ac:dyDescent="0.2">
      <c r="B3" s="2509" t="s">
        <v>1347</v>
      </c>
      <c r="C3" s="2509"/>
      <c r="D3" s="2509"/>
      <c r="E3" s="2509"/>
      <c r="F3" s="2509"/>
      <c r="G3" s="2509"/>
      <c r="H3" s="2509"/>
      <c r="I3" s="2509"/>
      <c r="J3" s="2509"/>
      <c r="K3" s="2509"/>
      <c r="L3" s="1965"/>
      <c r="M3" s="1965"/>
    </row>
    <row r="4" spans="1:13" ht="14.25" customHeight="1" x14ac:dyDescent="0.2">
      <c r="B4" s="2510" t="str">
        <f>'Single Audit Cover'!A4</f>
        <v>Year Ending June 30, 2018</v>
      </c>
      <c r="C4" s="2510"/>
      <c r="D4" s="2510"/>
      <c r="E4" s="2510"/>
      <c r="F4" s="2510"/>
      <c r="G4" s="2510"/>
      <c r="H4" s="2510"/>
      <c r="I4" s="2510"/>
      <c r="J4" s="2510"/>
      <c r="K4" s="2510"/>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10" t="s">
        <v>1363</v>
      </c>
      <c r="C7" s="2510"/>
      <c r="D7" s="2511"/>
      <c r="E7" s="2511"/>
      <c r="F7" s="2511"/>
      <c r="G7" s="2511"/>
      <c r="H7" s="2511"/>
      <c r="I7" s="2511"/>
      <c r="J7" s="2511"/>
      <c r="K7" s="2511"/>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1844</v>
      </c>
      <c r="C10" s="1384" t="s">
        <v>1952</v>
      </c>
      <c r="D10" s="1385">
        <v>2</v>
      </c>
      <c r="E10" s="322"/>
      <c r="F10" s="1386" t="s">
        <v>1362</v>
      </c>
      <c r="G10" s="1387"/>
      <c r="H10" s="1388" t="s">
        <v>1361</v>
      </c>
      <c r="I10" s="1387" t="s">
        <v>2133</v>
      </c>
      <c r="J10" s="1389" t="s">
        <v>1360</v>
      </c>
      <c r="K10" s="322"/>
      <c r="L10" s="1380"/>
    </row>
    <row r="11" spans="1:13" ht="13.5" customHeight="1" x14ac:dyDescent="0.2">
      <c r="B11" s="322"/>
      <c r="C11" s="322"/>
      <c r="D11" s="322"/>
      <c r="E11" s="322"/>
      <c r="F11" s="322"/>
      <c r="G11" s="1382"/>
      <c r="H11" s="322"/>
      <c r="I11" s="1390" t="s">
        <v>1359</v>
      </c>
      <c r="J11" s="322"/>
      <c r="K11" s="1391">
        <v>2015</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8" t="s">
        <v>2140</v>
      </c>
      <c r="C14" s="2508"/>
      <c r="D14" s="2508"/>
      <c r="E14" s="2508"/>
      <c r="F14" s="2508"/>
      <c r="G14" s="2508"/>
      <c r="H14" s="2508"/>
      <c r="I14" s="2508"/>
      <c r="J14" s="2508"/>
      <c r="K14" s="2508"/>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8" t="s">
        <v>2141</v>
      </c>
      <c r="C17" s="2508"/>
      <c r="D17" s="2508"/>
      <c r="E17" s="2508"/>
      <c r="F17" s="2508"/>
      <c r="G17" s="2508"/>
      <c r="H17" s="2508"/>
      <c r="I17" s="2508"/>
      <c r="J17" s="2508"/>
      <c r="K17" s="2508"/>
      <c r="L17" s="1380"/>
    </row>
    <row r="18" spans="2:12" ht="4.5" customHeight="1" x14ac:dyDescent="0.2">
      <c r="B18" s="1397"/>
      <c r="C18" s="1397"/>
      <c r="L18" s="1380"/>
    </row>
    <row r="19" spans="2:12" s="1281" customFormat="1" ht="13.5" customHeight="1" x14ac:dyDescent="0.2">
      <c r="B19" s="1392" t="s">
        <v>1845</v>
      </c>
      <c r="C19" s="1392"/>
      <c r="D19" s="1393"/>
      <c r="E19" s="1393"/>
      <c r="F19" s="1393"/>
      <c r="G19" s="1394"/>
      <c r="H19" s="1393"/>
      <c r="I19" s="1394"/>
      <c r="J19" s="1393"/>
      <c r="K19" s="1393"/>
      <c r="L19" s="1395"/>
    </row>
    <row r="20" spans="2:12" ht="45.75" customHeight="1" x14ac:dyDescent="0.2">
      <c r="B20" s="2512" t="s">
        <v>2142</v>
      </c>
      <c r="C20" s="2512"/>
      <c r="D20" s="2508"/>
      <c r="E20" s="2508"/>
      <c r="F20" s="2508"/>
      <c r="G20" s="2508"/>
      <c r="H20" s="2508"/>
      <c r="I20" s="2508"/>
      <c r="J20" s="2508"/>
      <c r="K20" s="2508"/>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8" t="s">
        <v>2143</v>
      </c>
      <c r="C23" s="2508"/>
      <c r="D23" s="2508"/>
      <c r="E23" s="2508"/>
      <c r="F23" s="2508"/>
      <c r="G23" s="2508"/>
      <c r="H23" s="2508"/>
      <c r="I23" s="2508"/>
      <c r="J23" s="2508"/>
      <c r="K23" s="2508"/>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8" t="s">
        <v>2144</v>
      </c>
      <c r="C26" s="2508"/>
      <c r="D26" s="2508"/>
      <c r="E26" s="2508"/>
      <c r="F26" s="2508"/>
      <c r="G26" s="2508"/>
      <c r="H26" s="2508"/>
      <c r="I26" s="2508"/>
      <c r="J26" s="2508"/>
      <c r="K26" s="2508"/>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7" t="s">
        <v>2145</v>
      </c>
      <c r="C29" s="2507"/>
      <c r="D29" s="2508"/>
      <c r="E29" s="2508"/>
      <c r="F29" s="2508"/>
      <c r="G29" s="2508"/>
      <c r="H29" s="2508"/>
      <c r="I29" s="2508"/>
      <c r="J29" s="2508"/>
      <c r="K29" s="2508"/>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1846</v>
      </c>
      <c r="C31" s="1402"/>
      <c r="D31" s="1377"/>
      <c r="E31" s="1378"/>
      <c r="F31" s="1378"/>
      <c r="G31" s="1379"/>
      <c r="H31" s="1378"/>
      <c r="I31" s="1379"/>
      <c r="J31" s="1378"/>
      <c r="K31" s="1378"/>
      <c r="L31" s="1380"/>
    </row>
    <row r="32" spans="2:12" s="322" customFormat="1" ht="44.25" customHeight="1" x14ac:dyDescent="0.2">
      <c r="B32" s="2507" t="s">
        <v>2146</v>
      </c>
      <c r="C32" s="2507"/>
      <c r="D32" s="2508"/>
      <c r="E32" s="2508"/>
      <c r="F32" s="2508"/>
      <c r="G32" s="2508"/>
      <c r="H32" s="2508"/>
      <c r="I32" s="2508"/>
      <c r="J32" s="2508"/>
      <c r="K32" s="2508"/>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1847</v>
      </c>
      <c r="C35" s="1418"/>
      <c r="D35" s="322"/>
      <c r="E35" s="322"/>
      <c r="F35" s="322"/>
      <c r="L35" s="1380"/>
    </row>
    <row r="36" spans="1:13" ht="9.6" customHeight="1" x14ac:dyDescent="0.2">
      <c r="B36" s="1299" t="s">
        <v>1953</v>
      </c>
      <c r="C36" s="1299"/>
      <c r="L36" s="1380"/>
    </row>
    <row r="37" spans="1:13" ht="9.6" customHeight="1" x14ac:dyDescent="0.2">
      <c r="B37" s="1299" t="s">
        <v>1954</v>
      </c>
      <c r="C37" s="1299"/>
    </row>
    <row r="38" spans="1:13" ht="11.85" customHeight="1" x14ac:dyDescent="0.2">
      <c r="B38" s="1419" t="s">
        <v>1848</v>
      </c>
      <c r="C38" s="1419"/>
    </row>
    <row r="39" spans="1:13" ht="9.6" customHeight="1" x14ac:dyDescent="0.2">
      <c r="B39" s="1299" t="s">
        <v>1348</v>
      </c>
      <c r="C39" s="1299"/>
      <c r="M39" s="1420"/>
    </row>
    <row r="40" spans="1:13" ht="12.6" customHeight="1" x14ac:dyDescent="0.2">
      <c r="B40" s="1419" t="s">
        <v>1849</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Paris-Union SD 95</v>
      </c>
      <c r="C1" s="2486"/>
      <c r="D1" s="2486"/>
      <c r="E1" s="2486"/>
      <c r="F1" s="2486"/>
      <c r="G1" s="2486"/>
      <c r="H1" s="2486"/>
      <c r="I1" s="2486"/>
      <c r="J1" s="2486"/>
      <c r="K1" s="2486"/>
      <c r="L1" s="1373"/>
      <c r="M1" s="1373"/>
    </row>
    <row r="2" spans="1:13" ht="12" customHeight="1" x14ac:dyDescent="0.2">
      <c r="B2" s="2488">
        <f>'Single Audit Cover'!E7</f>
        <v>11023095025</v>
      </c>
      <c r="C2" s="2488"/>
      <c r="D2" s="2488"/>
      <c r="E2" s="2488"/>
      <c r="F2" s="2488"/>
      <c r="G2" s="2488"/>
      <c r="H2" s="2488"/>
      <c r="I2" s="2488"/>
      <c r="J2" s="2488"/>
      <c r="K2" s="2488"/>
      <c r="L2" s="1374"/>
      <c r="M2" s="1375"/>
    </row>
    <row r="3" spans="1:13" ht="10.35" customHeight="1" x14ac:dyDescent="0.2">
      <c r="B3" s="2509" t="s">
        <v>1347</v>
      </c>
      <c r="C3" s="2509"/>
      <c r="D3" s="2509"/>
      <c r="E3" s="2509"/>
      <c r="F3" s="2509"/>
      <c r="G3" s="2509"/>
      <c r="H3" s="2509"/>
      <c r="I3" s="2509"/>
      <c r="J3" s="2509"/>
      <c r="K3" s="2509"/>
      <c r="L3" s="1965"/>
      <c r="M3" s="1965"/>
    </row>
    <row r="4" spans="1:13" ht="14.25" customHeight="1" x14ac:dyDescent="0.2">
      <c r="B4" s="2510" t="str">
        <f>'Single Audit Cover'!A4</f>
        <v>Year Ending June 30, 2018</v>
      </c>
      <c r="C4" s="2510"/>
      <c r="D4" s="2510"/>
      <c r="E4" s="2510"/>
      <c r="F4" s="2510"/>
      <c r="G4" s="2510"/>
      <c r="H4" s="2510"/>
      <c r="I4" s="2510"/>
      <c r="J4" s="2510"/>
      <c r="K4" s="2510"/>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10" t="s">
        <v>1363</v>
      </c>
      <c r="C7" s="2510"/>
      <c r="D7" s="2511"/>
      <c r="E7" s="2511"/>
      <c r="F7" s="2511"/>
      <c r="G7" s="2511"/>
      <c r="H7" s="2511"/>
      <c r="I7" s="2511"/>
      <c r="J7" s="2511"/>
      <c r="K7" s="2511"/>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1844</v>
      </c>
      <c r="C10" s="1384" t="s">
        <v>1952</v>
      </c>
      <c r="D10" s="1385">
        <v>3</v>
      </c>
      <c r="E10" s="322"/>
      <c r="F10" s="1386" t="s">
        <v>1362</v>
      </c>
      <c r="G10" s="1387"/>
      <c r="H10" s="1388" t="s">
        <v>1361</v>
      </c>
      <c r="I10" s="1387" t="s">
        <v>2133</v>
      </c>
      <c r="J10" s="1389" t="s">
        <v>1360</v>
      </c>
      <c r="K10" s="322"/>
      <c r="L10" s="1380"/>
    </row>
    <row r="11" spans="1:13" ht="13.5" customHeight="1" x14ac:dyDescent="0.2">
      <c r="B11" s="322"/>
      <c r="C11" s="322"/>
      <c r="D11" s="322"/>
      <c r="E11" s="322"/>
      <c r="F11" s="322"/>
      <c r="G11" s="1382"/>
      <c r="H11" s="322"/>
      <c r="I11" s="1390" t="s">
        <v>1359</v>
      </c>
      <c r="J11" s="322"/>
      <c r="K11" s="1391">
        <v>2017</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8" t="s">
        <v>2148</v>
      </c>
      <c r="C14" s="2508"/>
      <c r="D14" s="2508"/>
      <c r="E14" s="2508"/>
      <c r="F14" s="2508"/>
      <c r="G14" s="2508"/>
      <c r="H14" s="2508"/>
      <c r="I14" s="2508"/>
      <c r="J14" s="2508"/>
      <c r="K14" s="2508"/>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8" t="s">
        <v>2149</v>
      </c>
      <c r="C17" s="2508"/>
      <c r="D17" s="2508"/>
      <c r="E17" s="2508"/>
      <c r="F17" s="2508"/>
      <c r="G17" s="2508"/>
      <c r="H17" s="2508"/>
      <c r="I17" s="2508"/>
      <c r="J17" s="2508"/>
      <c r="K17" s="2508"/>
      <c r="L17" s="1380"/>
    </row>
    <row r="18" spans="2:12" ht="4.5" customHeight="1" x14ac:dyDescent="0.2">
      <c r="B18" s="1397"/>
      <c r="C18" s="1397"/>
      <c r="L18" s="1380"/>
    </row>
    <row r="19" spans="2:12" s="1281" customFormat="1" ht="13.5" customHeight="1" x14ac:dyDescent="0.2">
      <c r="B19" s="1392" t="s">
        <v>1845</v>
      </c>
      <c r="C19" s="1392"/>
      <c r="D19" s="1393"/>
      <c r="E19" s="1393"/>
      <c r="F19" s="1393"/>
      <c r="G19" s="1394"/>
      <c r="H19" s="1393"/>
      <c r="I19" s="1394"/>
      <c r="J19" s="1393"/>
      <c r="K19" s="1393"/>
      <c r="L19" s="1395"/>
    </row>
    <row r="20" spans="2:12" ht="45.75" customHeight="1" x14ac:dyDescent="0.2">
      <c r="B20" s="2512" t="s">
        <v>2150</v>
      </c>
      <c r="C20" s="2512"/>
      <c r="D20" s="2508"/>
      <c r="E20" s="2508"/>
      <c r="F20" s="2508"/>
      <c r="G20" s="2508"/>
      <c r="H20" s="2508"/>
      <c r="I20" s="2508"/>
      <c r="J20" s="2508"/>
      <c r="K20" s="2508"/>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8" t="s">
        <v>2151</v>
      </c>
      <c r="C23" s="2508"/>
      <c r="D23" s="2508"/>
      <c r="E23" s="2508"/>
      <c r="F23" s="2508"/>
      <c r="G23" s="2508"/>
      <c r="H23" s="2508"/>
      <c r="I23" s="2508"/>
      <c r="J23" s="2508"/>
      <c r="K23" s="2508"/>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8" t="s">
        <v>2154</v>
      </c>
      <c r="C26" s="2508"/>
      <c r="D26" s="2508"/>
      <c r="E26" s="2508"/>
      <c r="F26" s="2508"/>
      <c r="G26" s="2508"/>
      <c r="H26" s="2508"/>
      <c r="I26" s="2508"/>
      <c r="J26" s="2508"/>
      <c r="K26" s="2508"/>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7" t="s">
        <v>2152</v>
      </c>
      <c r="C29" s="2507"/>
      <c r="D29" s="2508"/>
      <c r="E29" s="2508"/>
      <c r="F29" s="2508"/>
      <c r="G29" s="2508"/>
      <c r="H29" s="2508"/>
      <c r="I29" s="2508"/>
      <c r="J29" s="2508"/>
      <c r="K29" s="2508"/>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1846</v>
      </c>
      <c r="C31" s="1402"/>
      <c r="D31" s="1377"/>
      <c r="E31" s="1378"/>
      <c r="F31" s="1378"/>
      <c r="G31" s="1379"/>
      <c r="H31" s="1378"/>
      <c r="I31" s="1379"/>
      <c r="J31" s="1378"/>
      <c r="K31" s="1378"/>
      <c r="L31" s="1380"/>
    </row>
    <row r="32" spans="2:12" s="322" customFormat="1" ht="44.25" customHeight="1" x14ac:dyDescent="0.2">
      <c r="B32" s="2507" t="s">
        <v>2153</v>
      </c>
      <c r="C32" s="2507"/>
      <c r="D32" s="2508"/>
      <c r="E32" s="2508"/>
      <c r="F32" s="2508"/>
      <c r="G32" s="2508"/>
      <c r="H32" s="2508"/>
      <c r="I32" s="2508"/>
      <c r="J32" s="2508"/>
      <c r="K32" s="2508"/>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1847</v>
      </c>
      <c r="C35" s="1418"/>
      <c r="D35" s="322"/>
      <c r="E35" s="322"/>
      <c r="F35" s="322"/>
      <c r="L35" s="1380"/>
    </row>
    <row r="36" spans="1:13" ht="9.6" customHeight="1" x14ac:dyDescent="0.2">
      <c r="B36" s="1299" t="s">
        <v>1953</v>
      </c>
      <c r="C36" s="1299"/>
      <c r="L36" s="1380"/>
    </row>
    <row r="37" spans="1:13" ht="9.6" customHeight="1" x14ac:dyDescent="0.2">
      <c r="B37" s="1299" t="s">
        <v>1954</v>
      </c>
      <c r="C37" s="1299"/>
    </row>
    <row r="38" spans="1:13" ht="11.85" customHeight="1" x14ac:dyDescent="0.2">
      <c r="B38" s="1419" t="s">
        <v>1848</v>
      </c>
      <c r="C38" s="1419"/>
    </row>
    <row r="39" spans="1:13" ht="9.6" customHeight="1" x14ac:dyDescent="0.2">
      <c r="B39" s="1299" t="s">
        <v>1348</v>
      </c>
      <c r="C39" s="1299"/>
      <c r="M39" s="1420"/>
    </row>
    <row r="40" spans="1:13" ht="12.6" customHeight="1" x14ac:dyDescent="0.2">
      <c r="B40" s="1419" t="s">
        <v>1849</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Paris-Union SD 95</v>
      </c>
      <c r="C1" s="2486"/>
      <c r="D1" s="2486"/>
      <c r="E1" s="2486"/>
      <c r="F1" s="2486"/>
      <c r="G1" s="2486"/>
      <c r="H1" s="2486"/>
      <c r="I1" s="2486"/>
      <c r="J1" s="2486"/>
      <c r="K1" s="2486"/>
      <c r="L1" s="1373"/>
      <c r="M1" s="1373"/>
    </row>
    <row r="2" spans="1:13" ht="12" customHeight="1" x14ac:dyDescent="0.2">
      <c r="B2" s="2488">
        <f>'Single Audit Cover'!E7</f>
        <v>11023095025</v>
      </c>
      <c r="C2" s="2488"/>
      <c r="D2" s="2488"/>
      <c r="E2" s="2488"/>
      <c r="F2" s="2488"/>
      <c r="G2" s="2488"/>
      <c r="H2" s="2488"/>
      <c r="I2" s="2488"/>
      <c r="J2" s="2488"/>
      <c r="K2" s="2488"/>
      <c r="L2" s="1374"/>
      <c r="M2" s="1375"/>
    </row>
    <row r="3" spans="1:13" ht="10.35" customHeight="1" x14ac:dyDescent="0.2">
      <c r="B3" s="2509" t="s">
        <v>1347</v>
      </c>
      <c r="C3" s="2509"/>
      <c r="D3" s="2509"/>
      <c r="E3" s="2509"/>
      <c r="F3" s="2509"/>
      <c r="G3" s="2509"/>
      <c r="H3" s="2509"/>
      <c r="I3" s="2509"/>
      <c r="J3" s="2509"/>
      <c r="K3" s="2509"/>
      <c r="L3" s="1965"/>
      <c r="M3" s="1965"/>
    </row>
    <row r="4" spans="1:13" ht="14.25" customHeight="1" x14ac:dyDescent="0.2">
      <c r="B4" s="2510" t="str">
        <f>'Single Audit Cover'!A4</f>
        <v>Year Ending June 30, 2018</v>
      </c>
      <c r="C4" s="2510"/>
      <c r="D4" s="2510"/>
      <c r="E4" s="2510"/>
      <c r="F4" s="2510"/>
      <c r="G4" s="2510"/>
      <c r="H4" s="2510"/>
      <c r="I4" s="2510"/>
      <c r="J4" s="2510"/>
      <c r="K4" s="2510"/>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10" t="s">
        <v>1363</v>
      </c>
      <c r="C7" s="2510"/>
      <c r="D7" s="2511"/>
      <c r="E7" s="2511"/>
      <c r="F7" s="2511"/>
      <c r="G7" s="2511"/>
      <c r="H7" s="2511"/>
      <c r="I7" s="2511"/>
      <c r="J7" s="2511"/>
      <c r="K7" s="2511"/>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1844</v>
      </c>
      <c r="C10" s="1384" t="s">
        <v>1952</v>
      </c>
      <c r="D10" s="1385">
        <v>4</v>
      </c>
      <c r="E10" s="322"/>
      <c r="F10" s="1386" t="s">
        <v>1362</v>
      </c>
      <c r="G10" s="1387" t="s">
        <v>2133</v>
      </c>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8" t="s">
        <v>2156</v>
      </c>
      <c r="C14" s="2508"/>
      <c r="D14" s="2508"/>
      <c r="E14" s="2508"/>
      <c r="F14" s="2508"/>
      <c r="G14" s="2508"/>
      <c r="H14" s="2508"/>
      <c r="I14" s="2508"/>
      <c r="J14" s="2508"/>
      <c r="K14" s="2508"/>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8" t="s">
        <v>2157</v>
      </c>
      <c r="C17" s="2508"/>
      <c r="D17" s="2508"/>
      <c r="E17" s="2508"/>
      <c r="F17" s="2508"/>
      <c r="G17" s="2508"/>
      <c r="H17" s="2508"/>
      <c r="I17" s="2508"/>
      <c r="J17" s="2508"/>
      <c r="K17" s="2508"/>
      <c r="L17" s="1380"/>
    </row>
    <row r="18" spans="2:12" ht="4.5" customHeight="1" x14ac:dyDescent="0.2">
      <c r="B18" s="1397"/>
      <c r="C18" s="1397"/>
      <c r="L18" s="1380"/>
    </row>
    <row r="19" spans="2:12" s="1281" customFormat="1" ht="13.5" customHeight="1" x14ac:dyDescent="0.2">
      <c r="B19" s="1392" t="s">
        <v>1845</v>
      </c>
      <c r="C19" s="1392"/>
      <c r="D19" s="1393"/>
      <c r="E19" s="1393"/>
      <c r="F19" s="1393"/>
      <c r="G19" s="1394"/>
      <c r="H19" s="1393"/>
      <c r="I19" s="1394"/>
      <c r="J19" s="1393"/>
      <c r="K19" s="1393"/>
      <c r="L19" s="1395"/>
    </row>
    <row r="20" spans="2:12" ht="45.75" customHeight="1" x14ac:dyDescent="0.2">
      <c r="B20" s="2512" t="s">
        <v>2158</v>
      </c>
      <c r="C20" s="2512"/>
      <c r="D20" s="2508"/>
      <c r="E20" s="2508"/>
      <c r="F20" s="2508"/>
      <c r="G20" s="2508"/>
      <c r="H20" s="2508"/>
      <c r="I20" s="2508"/>
      <c r="J20" s="2508"/>
      <c r="K20" s="2508"/>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8" t="s">
        <v>2155</v>
      </c>
      <c r="C23" s="2508"/>
      <c r="D23" s="2508"/>
      <c r="E23" s="2508"/>
      <c r="F23" s="2508"/>
      <c r="G23" s="2508"/>
      <c r="H23" s="2508"/>
      <c r="I23" s="2508"/>
      <c r="J23" s="2508"/>
      <c r="K23" s="2508"/>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8" t="s">
        <v>2159</v>
      </c>
      <c r="C26" s="2508"/>
      <c r="D26" s="2508"/>
      <c r="E26" s="2508"/>
      <c r="F26" s="2508"/>
      <c r="G26" s="2508"/>
      <c r="H26" s="2508"/>
      <c r="I26" s="2508"/>
      <c r="J26" s="2508"/>
      <c r="K26" s="2508"/>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7" t="s">
        <v>2160</v>
      </c>
      <c r="C29" s="2507"/>
      <c r="D29" s="2508"/>
      <c r="E29" s="2508"/>
      <c r="F29" s="2508"/>
      <c r="G29" s="2508"/>
      <c r="H29" s="2508"/>
      <c r="I29" s="2508"/>
      <c r="J29" s="2508"/>
      <c r="K29" s="2508"/>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1846</v>
      </c>
      <c r="C31" s="1402"/>
      <c r="D31" s="1377"/>
      <c r="E31" s="1378"/>
      <c r="F31" s="1378"/>
      <c r="G31" s="1379"/>
      <c r="H31" s="1378"/>
      <c r="I31" s="1379"/>
      <c r="J31" s="1378"/>
      <c r="K31" s="1378"/>
      <c r="L31" s="1380"/>
    </row>
    <row r="32" spans="2:12" s="322" customFormat="1" ht="44.25" customHeight="1" x14ac:dyDescent="0.2">
      <c r="B32" s="2507" t="s">
        <v>2161</v>
      </c>
      <c r="C32" s="2507"/>
      <c r="D32" s="2508"/>
      <c r="E32" s="2508"/>
      <c r="F32" s="2508"/>
      <c r="G32" s="2508"/>
      <c r="H32" s="2508"/>
      <c r="I32" s="2508"/>
      <c r="J32" s="2508"/>
      <c r="K32" s="2508"/>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1847</v>
      </c>
      <c r="C35" s="1418"/>
      <c r="D35" s="322"/>
      <c r="E35" s="322"/>
      <c r="F35" s="322"/>
      <c r="L35" s="1380"/>
    </row>
    <row r="36" spans="1:13" ht="9.6" customHeight="1" x14ac:dyDescent="0.2">
      <c r="B36" s="1299" t="s">
        <v>1953</v>
      </c>
      <c r="C36" s="1299"/>
      <c r="L36" s="1380"/>
    </row>
    <row r="37" spans="1:13" ht="9.6" customHeight="1" x14ac:dyDescent="0.2">
      <c r="B37" s="1299" t="s">
        <v>1954</v>
      </c>
      <c r="C37" s="1299"/>
    </row>
    <row r="38" spans="1:13" ht="11.85" customHeight="1" x14ac:dyDescent="0.2">
      <c r="B38" s="1419" t="s">
        <v>1848</v>
      </c>
      <c r="C38" s="1419"/>
    </row>
    <row r="39" spans="1:13" ht="9.6" customHeight="1" x14ac:dyDescent="0.2">
      <c r="B39" s="1299" t="s">
        <v>1348</v>
      </c>
      <c r="C39" s="1299"/>
      <c r="M39" s="1420"/>
    </row>
    <row r="40" spans="1:13" ht="12.6" customHeight="1" x14ac:dyDescent="0.2">
      <c r="B40" s="1419" t="s">
        <v>1849</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6"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Paris-Union SD 95</v>
      </c>
      <c r="C1" s="2486"/>
      <c r="D1" s="2486"/>
      <c r="E1" s="2486"/>
      <c r="F1" s="2486"/>
      <c r="G1" s="2486"/>
      <c r="H1" s="2486"/>
      <c r="I1" s="2486"/>
      <c r="J1" s="2486"/>
      <c r="K1" s="2486"/>
      <c r="L1" s="1373"/>
      <c r="M1" s="1373"/>
    </row>
    <row r="2" spans="1:13" ht="12" customHeight="1" x14ac:dyDescent="0.2">
      <c r="B2" s="2488">
        <f>'Single Audit Cover'!E7</f>
        <v>11023095025</v>
      </c>
      <c r="C2" s="2488"/>
      <c r="D2" s="2488"/>
      <c r="E2" s="2488"/>
      <c r="F2" s="2488"/>
      <c r="G2" s="2488"/>
      <c r="H2" s="2488"/>
      <c r="I2" s="2488"/>
      <c r="J2" s="2488"/>
      <c r="K2" s="2488"/>
      <c r="L2" s="1374"/>
      <c r="M2" s="1375"/>
    </row>
    <row r="3" spans="1:13" ht="10.35" customHeight="1" x14ac:dyDescent="0.2">
      <c r="B3" s="2509" t="s">
        <v>1347</v>
      </c>
      <c r="C3" s="2509"/>
      <c r="D3" s="2509"/>
      <c r="E3" s="2509"/>
      <c r="F3" s="2509"/>
      <c r="G3" s="2509"/>
      <c r="H3" s="2509"/>
      <c r="I3" s="2509"/>
      <c r="J3" s="2509"/>
      <c r="K3" s="2509"/>
      <c r="L3" s="1965"/>
      <c r="M3" s="1965"/>
    </row>
    <row r="4" spans="1:13" ht="14.25" customHeight="1" x14ac:dyDescent="0.2">
      <c r="B4" s="2510" t="str">
        <f>'Single Audit Cover'!A4</f>
        <v>Year Ending June 30, 2018</v>
      </c>
      <c r="C4" s="2510"/>
      <c r="D4" s="2510"/>
      <c r="E4" s="2510"/>
      <c r="F4" s="2510"/>
      <c r="G4" s="2510"/>
      <c r="H4" s="2510"/>
      <c r="I4" s="2510"/>
      <c r="J4" s="2510"/>
      <c r="K4" s="2510"/>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10" t="s">
        <v>1363</v>
      </c>
      <c r="C7" s="2510"/>
      <c r="D7" s="2511"/>
      <c r="E7" s="2511"/>
      <c r="F7" s="2511"/>
      <c r="G7" s="2511"/>
      <c r="H7" s="2511"/>
      <c r="I7" s="2511"/>
      <c r="J7" s="2511"/>
      <c r="K7" s="2511"/>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1844</v>
      </c>
      <c r="C10" s="1384" t="s">
        <v>1952</v>
      </c>
      <c r="D10" s="1385">
        <v>5</v>
      </c>
      <c r="E10" s="322"/>
      <c r="F10" s="1386" t="s">
        <v>1362</v>
      </c>
      <c r="G10" s="1387" t="s">
        <v>2133</v>
      </c>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8" t="s">
        <v>2162</v>
      </c>
      <c r="C14" s="2508"/>
      <c r="D14" s="2508"/>
      <c r="E14" s="2508"/>
      <c r="F14" s="2508"/>
      <c r="G14" s="2508"/>
      <c r="H14" s="2508"/>
      <c r="I14" s="2508"/>
      <c r="J14" s="2508"/>
      <c r="K14" s="2508"/>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8" t="s">
        <v>2208</v>
      </c>
      <c r="C17" s="2508"/>
      <c r="D17" s="2508"/>
      <c r="E17" s="2508"/>
      <c r="F17" s="2508"/>
      <c r="G17" s="2508"/>
      <c r="H17" s="2508"/>
      <c r="I17" s="2508"/>
      <c r="J17" s="2508"/>
      <c r="K17" s="2508"/>
      <c r="L17" s="1380"/>
    </row>
    <row r="18" spans="2:12" ht="4.5" customHeight="1" x14ac:dyDescent="0.2">
      <c r="B18" s="1397"/>
      <c r="C18" s="1397"/>
      <c r="L18" s="1380"/>
    </row>
    <row r="19" spans="2:12" s="1281" customFormat="1" ht="13.5" customHeight="1" x14ac:dyDescent="0.2">
      <c r="B19" s="1392" t="s">
        <v>1845</v>
      </c>
      <c r="C19" s="1392"/>
      <c r="D19" s="1393"/>
      <c r="E19" s="1393"/>
      <c r="F19" s="1393"/>
      <c r="G19" s="1394"/>
      <c r="H19" s="1393"/>
      <c r="I19" s="1394"/>
      <c r="J19" s="1393"/>
      <c r="K19" s="1393"/>
      <c r="L19" s="1395"/>
    </row>
    <row r="20" spans="2:12" ht="45.75" customHeight="1" x14ac:dyDescent="0.2">
      <c r="B20" s="2512" t="s">
        <v>2165</v>
      </c>
      <c r="C20" s="2512"/>
      <c r="D20" s="2508"/>
      <c r="E20" s="2508"/>
      <c r="F20" s="2508"/>
      <c r="G20" s="2508"/>
      <c r="H20" s="2508"/>
      <c r="I20" s="2508"/>
      <c r="J20" s="2508"/>
      <c r="K20" s="2508"/>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8" t="s">
        <v>2163</v>
      </c>
      <c r="C23" s="2508"/>
      <c r="D23" s="2508"/>
      <c r="E23" s="2508"/>
      <c r="F23" s="2508"/>
      <c r="G23" s="2508"/>
      <c r="H23" s="2508"/>
      <c r="I23" s="2508"/>
      <c r="J23" s="2508"/>
      <c r="K23" s="2508"/>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8" t="s">
        <v>2164</v>
      </c>
      <c r="C26" s="2508"/>
      <c r="D26" s="2508"/>
      <c r="E26" s="2508"/>
      <c r="F26" s="2508"/>
      <c r="G26" s="2508"/>
      <c r="H26" s="2508"/>
      <c r="I26" s="2508"/>
      <c r="J26" s="2508"/>
      <c r="K26" s="2508"/>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7" t="s">
        <v>2166</v>
      </c>
      <c r="C29" s="2507"/>
      <c r="D29" s="2508"/>
      <c r="E29" s="2508"/>
      <c r="F29" s="2508"/>
      <c r="G29" s="2508"/>
      <c r="H29" s="2508"/>
      <c r="I29" s="2508"/>
      <c r="J29" s="2508"/>
      <c r="K29" s="2508"/>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1846</v>
      </c>
      <c r="C31" s="1402"/>
      <c r="D31" s="1377"/>
      <c r="E31" s="1378"/>
      <c r="F31" s="1378"/>
      <c r="G31" s="1379"/>
      <c r="H31" s="1378"/>
      <c r="I31" s="1379"/>
      <c r="J31" s="1378"/>
      <c r="K31" s="1378"/>
      <c r="L31" s="1380"/>
    </row>
    <row r="32" spans="2:12" s="322" customFormat="1" ht="44.25" customHeight="1" x14ac:dyDescent="0.2">
      <c r="B32" s="2507" t="s">
        <v>2167</v>
      </c>
      <c r="C32" s="2507"/>
      <c r="D32" s="2508"/>
      <c r="E32" s="2508"/>
      <c r="F32" s="2508"/>
      <c r="G32" s="2508"/>
      <c r="H32" s="2508"/>
      <c r="I32" s="2508"/>
      <c r="J32" s="2508"/>
      <c r="K32" s="2508"/>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1847</v>
      </c>
      <c r="C35" s="1418"/>
      <c r="D35" s="322"/>
      <c r="E35" s="322"/>
      <c r="F35" s="322"/>
      <c r="L35" s="1380"/>
    </row>
    <row r="36" spans="1:13" ht="9.6" customHeight="1" x14ac:dyDescent="0.2">
      <c r="B36" s="1299" t="s">
        <v>1953</v>
      </c>
      <c r="C36" s="1299"/>
      <c r="L36" s="1380"/>
    </row>
    <row r="37" spans="1:13" ht="9.6" customHeight="1" x14ac:dyDescent="0.2">
      <c r="B37" s="1299" t="s">
        <v>1954</v>
      </c>
      <c r="C37" s="1299"/>
    </row>
    <row r="38" spans="1:13" ht="11.85" customHeight="1" x14ac:dyDescent="0.2">
      <c r="B38" s="1419" t="s">
        <v>1848</v>
      </c>
      <c r="C38" s="1419"/>
    </row>
    <row r="39" spans="1:13" ht="9.6" customHeight="1" x14ac:dyDescent="0.2">
      <c r="B39" s="1299" t="s">
        <v>1348</v>
      </c>
      <c r="C39" s="1299"/>
      <c r="M39" s="1420"/>
    </row>
    <row r="40" spans="1:13" ht="12.6" customHeight="1" x14ac:dyDescent="0.2">
      <c r="B40" s="1419" t="s">
        <v>1849</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N50" sqref="N5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3" t="str">
        <f>'Single Audit Cover'!A7</f>
        <v>Paris-Union SD 95</v>
      </c>
      <c r="C1" s="2513"/>
      <c r="D1" s="2513"/>
      <c r="E1" s="2513"/>
      <c r="F1" s="2513"/>
      <c r="G1" s="2513"/>
      <c r="H1" s="2513"/>
      <c r="I1" s="2513"/>
      <c r="J1" s="2513"/>
      <c r="K1" s="2513"/>
      <c r="L1" s="1464"/>
    </row>
    <row r="2" spans="1:12" ht="12.75" customHeight="1" x14ac:dyDescent="0.2">
      <c r="B2" s="2514">
        <f>'Single Audit Cover'!E7</f>
        <v>11023095025</v>
      </c>
      <c r="C2" s="2514"/>
      <c r="D2" s="2514"/>
      <c r="E2" s="2514"/>
      <c r="F2" s="2514"/>
      <c r="G2" s="2514"/>
      <c r="H2" s="2514"/>
      <c r="I2" s="2514"/>
      <c r="J2" s="2514"/>
      <c r="K2" s="2514"/>
      <c r="L2" s="1465"/>
    </row>
    <row r="3" spans="1:12" ht="12.75" customHeight="1" x14ac:dyDescent="0.2">
      <c r="B3" s="2509" t="s">
        <v>1347</v>
      </c>
      <c r="C3" s="2509"/>
      <c r="D3" s="2509"/>
      <c r="E3" s="2509"/>
      <c r="F3" s="2509"/>
      <c r="G3" s="2509"/>
      <c r="H3" s="2509"/>
      <c r="I3" s="2509"/>
      <c r="J3" s="2509"/>
      <c r="K3" s="2509"/>
      <c r="L3" s="1376"/>
    </row>
    <row r="4" spans="1:12" ht="12.75" customHeight="1" x14ac:dyDescent="0.2">
      <c r="B4" s="2509" t="str">
        <f>'Single Audit Cover'!A4</f>
        <v>Year Ending June 30, 2018</v>
      </c>
      <c r="C4" s="2509"/>
      <c r="D4" s="2509"/>
      <c r="E4" s="2509"/>
      <c r="F4" s="2509"/>
      <c r="G4" s="2509"/>
      <c r="H4" s="2509"/>
      <c r="I4" s="2509"/>
      <c r="J4" s="2509"/>
      <c r="K4" s="2509"/>
      <c r="L4" s="1376"/>
    </row>
    <row r="5" spans="1:12" ht="5.25" customHeight="1" x14ac:dyDescent="0.2">
      <c r="B5" s="1259" t="s">
        <v>1231</v>
      </c>
      <c r="C5" s="1259"/>
      <c r="L5" s="322"/>
    </row>
    <row r="6" spans="1:12" ht="30.75" customHeight="1" x14ac:dyDescent="0.2">
      <c r="A6" s="322"/>
      <c r="B6" s="2515" t="s">
        <v>1375</v>
      </c>
      <c r="C6" s="2515"/>
      <c r="D6" s="2515"/>
      <c r="E6" s="2515"/>
      <c r="F6" s="2515"/>
      <c r="G6" s="2515"/>
      <c r="H6" s="2515"/>
      <c r="I6" s="2515"/>
      <c r="J6" s="2515"/>
      <c r="K6" s="2515"/>
      <c r="L6" s="322"/>
    </row>
    <row r="7" spans="1:12" ht="4.5" customHeight="1" x14ac:dyDescent="0.2">
      <c r="B7" s="1378"/>
      <c r="C7" s="1378"/>
      <c r="D7" s="1378"/>
      <c r="E7" s="1378"/>
      <c r="F7" s="1378"/>
      <c r="G7" s="1379"/>
      <c r="H7" s="1378"/>
      <c r="I7" s="1379"/>
      <c r="J7" s="1378"/>
      <c r="K7" s="1378"/>
      <c r="L7" s="322"/>
    </row>
    <row r="8" spans="1:12" ht="13.5" customHeight="1" x14ac:dyDescent="0.2">
      <c r="B8" s="1386" t="s">
        <v>1858</v>
      </c>
      <c r="C8" s="1466" t="s">
        <v>1952</v>
      </c>
      <c r="D8" s="1467">
        <v>6</v>
      </c>
      <c r="E8" s="322"/>
      <c r="F8" s="1383" t="s">
        <v>1362</v>
      </c>
      <c r="G8" s="1468"/>
      <c r="H8" s="1469" t="s">
        <v>1374</v>
      </c>
      <c r="I8" s="1468" t="s">
        <v>2133</v>
      </c>
      <c r="J8" s="1470" t="s">
        <v>1373</v>
      </c>
      <c r="L8" s="322"/>
    </row>
    <row r="9" spans="1:12" ht="13.5" customHeight="1" x14ac:dyDescent="0.2">
      <c r="D9" s="322"/>
      <c r="E9" s="322"/>
      <c r="F9" s="322"/>
      <c r="G9" s="1382"/>
      <c r="H9" s="322"/>
      <c r="I9" s="1471" t="s">
        <v>1359</v>
      </c>
      <c r="J9" s="322"/>
      <c r="K9" s="1472">
        <v>2015</v>
      </c>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93" t="s">
        <v>2180</v>
      </c>
      <c r="G12" s="2493"/>
      <c r="H12" s="2493"/>
      <c r="I12" s="2493"/>
      <c r="J12" s="2493"/>
      <c r="K12" s="2493"/>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16" t="s">
        <v>2181</v>
      </c>
      <c r="E14" s="2516"/>
      <c r="F14" s="2516"/>
      <c r="H14" s="1474" t="s">
        <v>1370</v>
      </c>
      <c r="I14" s="2517" t="s">
        <v>2182</v>
      </c>
      <c r="J14" s="2517"/>
      <c r="K14" s="2517"/>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17" t="s">
        <v>2183</v>
      </c>
      <c r="E16" s="2517"/>
      <c r="F16" s="2517"/>
      <c r="G16" s="2517"/>
      <c r="H16" s="2517"/>
      <c r="I16" s="2517"/>
      <c r="J16" s="2517"/>
      <c r="K16" s="2517"/>
      <c r="L16" s="322"/>
    </row>
    <row r="17" spans="2:12" ht="13.5" customHeight="1" x14ac:dyDescent="0.2">
      <c r="B17" s="1386" t="s">
        <v>1368</v>
      </c>
      <c r="C17" s="1386"/>
      <c r="D17" s="2518" t="s">
        <v>2092</v>
      </c>
      <c r="E17" s="2518"/>
      <c r="F17" s="2518"/>
      <c r="G17" s="2518"/>
      <c r="H17" s="2518"/>
      <c r="I17" s="2518"/>
      <c r="J17" s="2518"/>
      <c r="K17" s="2518"/>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9.75" customHeight="1" x14ac:dyDescent="0.2">
      <c r="B20" s="2508" t="s">
        <v>2189</v>
      </c>
      <c r="C20" s="2508"/>
      <c r="D20" s="2508"/>
      <c r="E20" s="2508"/>
      <c r="F20" s="2508"/>
      <c r="G20" s="2508"/>
      <c r="H20" s="2508"/>
      <c r="I20" s="2508"/>
      <c r="J20" s="2508"/>
      <c r="K20" s="2508"/>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1859</v>
      </c>
      <c r="C22" s="1476"/>
      <c r="D22" s="322"/>
      <c r="E22" s="322"/>
      <c r="F22" s="322"/>
      <c r="G22" s="1382"/>
      <c r="H22" s="322"/>
      <c r="I22" s="1382"/>
      <c r="J22" s="322"/>
      <c r="K22" s="322"/>
      <c r="L22" s="322"/>
    </row>
    <row r="23" spans="2:12" ht="33.75" customHeight="1" x14ac:dyDescent="0.2">
      <c r="B23" s="2508" t="s">
        <v>2190</v>
      </c>
      <c r="C23" s="2508"/>
      <c r="D23" s="2508"/>
      <c r="E23" s="2508"/>
      <c r="F23" s="2508"/>
      <c r="G23" s="2508"/>
      <c r="H23" s="2508"/>
      <c r="I23" s="2508"/>
      <c r="J23" s="2508"/>
      <c r="K23" s="2508"/>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1860</v>
      </c>
      <c r="C25" s="1476"/>
      <c r="D25" s="322"/>
      <c r="E25" s="322"/>
      <c r="F25" s="322"/>
      <c r="G25" s="1382"/>
      <c r="H25" s="322"/>
      <c r="I25" s="1382"/>
      <c r="J25" s="322"/>
      <c r="K25" s="322"/>
      <c r="L25" s="322"/>
    </row>
    <row r="26" spans="2:12" ht="27" customHeight="1" x14ac:dyDescent="0.2">
      <c r="B26" s="2508" t="s">
        <v>2184</v>
      </c>
      <c r="C26" s="2508"/>
      <c r="D26" s="2508"/>
      <c r="E26" s="2508"/>
      <c r="F26" s="2508"/>
      <c r="G26" s="2508"/>
      <c r="H26" s="2508"/>
      <c r="I26" s="2508"/>
      <c r="J26" s="2508"/>
      <c r="K26" s="2508"/>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1861</v>
      </c>
      <c r="C28" s="1476"/>
      <c r="D28" s="322"/>
      <c r="E28" s="322"/>
      <c r="F28" s="322"/>
      <c r="G28" s="1382"/>
      <c r="H28" s="322"/>
      <c r="I28" s="1382"/>
      <c r="J28" s="322"/>
      <c r="K28" s="322"/>
      <c r="L28" s="322"/>
    </row>
    <row r="29" spans="2:12" ht="41.25" customHeight="1" x14ac:dyDescent="0.2">
      <c r="B29" s="2508" t="s">
        <v>2191</v>
      </c>
      <c r="C29" s="2508"/>
      <c r="D29" s="2508"/>
      <c r="E29" s="2508"/>
      <c r="F29" s="2508"/>
      <c r="G29" s="2508"/>
      <c r="H29" s="2508"/>
      <c r="I29" s="2508"/>
      <c r="J29" s="2508"/>
      <c r="K29" s="2508"/>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8" t="s">
        <v>2185</v>
      </c>
      <c r="C32" s="2508"/>
      <c r="D32" s="2508"/>
      <c r="E32" s="2508"/>
      <c r="F32" s="2508"/>
      <c r="G32" s="2508"/>
      <c r="H32" s="2508"/>
      <c r="I32" s="2508"/>
      <c r="J32" s="2508"/>
      <c r="K32" s="2508"/>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8" t="s">
        <v>2186</v>
      </c>
      <c r="C35" s="2508"/>
      <c r="D35" s="2508"/>
      <c r="E35" s="2508"/>
      <c r="F35" s="2508"/>
      <c r="G35" s="2508"/>
      <c r="H35" s="2508"/>
      <c r="I35" s="2508"/>
      <c r="J35" s="2508"/>
      <c r="K35" s="2508"/>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8" t="s">
        <v>2187</v>
      </c>
      <c r="C38" s="2508"/>
      <c r="D38" s="2508"/>
      <c r="E38" s="2508"/>
      <c r="F38" s="2508"/>
      <c r="G38" s="2508"/>
      <c r="H38" s="2508"/>
      <c r="I38" s="2508"/>
      <c r="J38" s="2508"/>
      <c r="K38" s="2508"/>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1862</v>
      </c>
      <c r="C40" s="1402"/>
      <c r="D40" s="1377"/>
      <c r="E40" s="1378"/>
      <c r="F40" s="1378"/>
      <c r="G40" s="1379"/>
      <c r="H40" s="1378"/>
      <c r="I40" s="1379"/>
      <c r="J40" s="1378"/>
      <c r="K40" s="1378"/>
    </row>
    <row r="41" spans="2:12" s="322" customFormat="1" ht="33.75" customHeight="1" x14ac:dyDescent="0.2">
      <c r="B41" s="2508" t="s">
        <v>2188</v>
      </c>
      <c r="C41" s="2508"/>
      <c r="D41" s="2508"/>
      <c r="E41" s="2508"/>
      <c r="F41" s="2508"/>
      <c r="G41" s="2508"/>
      <c r="H41" s="2508"/>
      <c r="I41" s="2508"/>
      <c r="J41" s="2508"/>
      <c r="K41" s="2508"/>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1863</v>
      </c>
      <c r="C48" s="1418"/>
      <c r="D48" s="322"/>
      <c r="E48" s="322"/>
      <c r="F48" s="322"/>
    </row>
    <row r="49" spans="2:3" s="317" customFormat="1" ht="10.5" customHeight="1" x14ac:dyDescent="0.2">
      <c r="B49" s="1419" t="s">
        <v>1864</v>
      </c>
      <c r="C49" s="1419"/>
    </row>
    <row r="50" spans="2:3" s="317" customFormat="1" ht="11.1" customHeight="1" x14ac:dyDescent="0.2">
      <c r="B50" s="1419" t="s">
        <v>1865</v>
      </c>
      <c r="C50" s="1419"/>
    </row>
    <row r="51" spans="2:3" s="317" customFormat="1" ht="11.1" customHeight="1" x14ac:dyDescent="0.2">
      <c r="B51" s="1419" t="s">
        <v>1866</v>
      </c>
      <c r="C51" s="1419"/>
    </row>
    <row r="52" spans="2:3" s="317" customFormat="1" ht="11.1" customHeight="1" x14ac:dyDescent="0.2">
      <c r="B52" s="1419" t="s">
        <v>1867</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0" zoomScale="110" zoomScaleNormal="110" workbookViewId="0">
      <selection activeCell="B41" sqref="B41:K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3" t="str">
        <f>'Single Audit Cover'!A7</f>
        <v>Paris-Union SD 95</v>
      </c>
      <c r="C1" s="2513"/>
      <c r="D1" s="2513"/>
      <c r="E1" s="2513"/>
      <c r="F1" s="2513"/>
      <c r="G1" s="2513"/>
      <c r="H1" s="2513"/>
      <c r="I1" s="2513"/>
      <c r="J1" s="2513"/>
      <c r="K1" s="2513"/>
      <c r="L1" s="1464"/>
    </row>
    <row r="2" spans="1:12" ht="12.75" customHeight="1" x14ac:dyDescent="0.2">
      <c r="B2" s="2514">
        <f>'Single Audit Cover'!E7</f>
        <v>11023095025</v>
      </c>
      <c r="C2" s="2514"/>
      <c r="D2" s="2514"/>
      <c r="E2" s="2514"/>
      <c r="F2" s="2514"/>
      <c r="G2" s="2514"/>
      <c r="H2" s="2514"/>
      <c r="I2" s="2514"/>
      <c r="J2" s="2514"/>
      <c r="K2" s="2514"/>
      <c r="L2" s="1465"/>
    </row>
    <row r="3" spans="1:12" ht="12.75" customHeight="1" x14ac:dyDescent="0.2">
      <c r="B3" s="2509" t="s">
        <v>1347</v>
      </c>
      <c r="C3" s="2509"/>
      <c r="D3" s="2509"/>
      <c r="E3" s="2509"/>
      <c r="F3" s="2509"/>
      <c r="G3" s="2509"/>
      <c r="H3" s="2509"/>
      <c r="I3" s="2509"/>
      <c r="J3" s="2509"/>
      <c r="K3" s="2509"/>
      <c r="L3" s="1965"/>
    </row>
    <row r="4" spans="1:12" ht="12.75" customHeight="1" x14ac:dyDescent="0.2">
      <c r="B4" s="2509" t="str">
        <f>'Single Audit Cover'!A4</f>
        <v>Year Ending June 30, 2018</v>
      </c>
      <c r="C4" s="2509"/>
      <c r="D4" s="2509"/>
      <c r="E4" s="2509"/>
      <c r="F4" s="2509"/>
      <c r="G4" s="2509"/>
      <c r="H4" s="2509"/>
      <c r="I4" s="2509"/>
      <c r="J4" s="2509"/>
      <c r="K4" s="2509"/>
      <c r="L4" s="1965"/>
    </row>
    <row r="5" spans="1:12" ht="5.25" customHeight="1" x14ac:dyDescent="0.2">
      <c r="B5" s="1259" t="s">
        <v>1231</v>
      </c>
      <c r="C5" s="1259"/>
      <c r="L5" s="322"/>
    </row>
    <row r="6" spans="1:12" ht="30.75" customHeight="1" x14ac:dyDescent="0.2">
      <c r="A6" s="322"/>
      <c r="B6" s="2515" t="s">
        <v>1375</v>
      </c>
      <c r="C6" s="2515"/>
      <c r="D6" s="2515"/>
      <c r="E6" s="2515"/>
      <c r="F6" s="2515"/>
      <c r="G6" s="2515"/>
      <c r="H6" s="2515"/>
      <c r="I6" s="2515"/>
      <c r="J6" s="2515"/>
      <c r="K6" s="2515"/>
      <c r="L6" s="322"/>
    </row>
    <row r="7" spans="1:12" ht="4.5" customHeight="1" x14ac:dyDescent="0.2">
      <c r="B7" s="1378"/>
      <c r="C7" s="1378"/>
      <c r="D7" s="1378"/>
      <c r="E7" s="1378"/>
      <c r="F7" s="1378"/>
      <c r="G7" s="1379"/>
      <c r="H7" s="1378"/>
      <c r="I7" s="1379"/>
      <c r="J7" s="1378"/>
      <c r="K7" s="1378"/>
      <c r="L7" s="322"/>
    </row>
    <row r="8" spans="1:12" ht="13.5" customHeight="1" x14ac:dyDescent="0.2">
      <c r="B8" s="1386" t="s">
        <v>1858</v>
      </c>
      <c r="C8" s="1466" t="s">
        <v>1952</v>
      </c>
      <c r="D8" s="1467">
        <v>7</v>
      </c>
      <c r="E8" s="322"/>
      <c r="F8" s="1383" t="s">
        <v>1362</v>
      </c>
      <c r="G8" s="1468"/>
      <c r="H8" s="1469" t="s">
        <v>1374</v>
      </c>
      <c r="I8" s="1468" t="s">
        <v>2133</v>
      </c>
      <c r="J8" s="1470" t="s">
        <v>1373</v>
      </c>
      <c r="L8" s="322"/>
    </row>
    <row r="9" spans="1:12" ht="13.5" customHeight="1" x14ac:dyDescent="0.2">
      <c r="D9" s="322"/>
      <c r="E9" s="322"/>
      <c r="F9" s="322"/>
      <c r="G9" s="1382"/>
      <c r="H9" s="322"/>
      <c r="I9" s="1471" t="s">
        <v>1359</v>
      </c>
      <c r="J9" s="322"/>
      <c r="K9" s="1472">
        <v>2017</v>
      </c>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93" t="s">
        <v>2192</v>
      </c>
      <c r="G12" s="2493"/>
      <c r="H12" s="2493"/>
      <c r="I12" s="2493"/>
      <c r="J12" s="2493"/>
      <c r="K12" s="2493"/>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16" t="s">
        <v>2193</v>
      </c>
      <c r="E14" s="2516"/>
      <c r="F14" s="2516"/>
      <c r="H14" s="1474" t="s">
        <v>1370</v>
      </c>
      <c r="I14" s="2517" t="s">
        <v>2105</v>
      </c>
      <c r="J14" s="2517"/>
      <c r="K14" s="2517"/>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17" t="s">
        <v>2183</v>
      </c>
      <c r="E16" s="2517"/>
      <c r="F16" s="2517"/>
      <c r="G16" s="2517"/>
      <c r="H16" s="2517"/>
      <c r="I16" s="2517"/>
      <c r="J16" s="2517"/>
      <c r="K16" s="2517"/>
      <c r="L16" s="322"/>
    </row>
    <row r="17" spans="2:12" ht="13.5" customHeight="1" x14ac:dyDescent="0.2">
      <c r="B17" s="1386" t="s">
        <v>1368</v>
      </c>
      <c r="C17" s="1386"/>
      <c r="D17" s="2518" t="s">
        <v>2100</v>
      </c>
      <c r="E17" s="2518"/>
      <c r="F17" s="2518"/>
      <c r="G17" s="2518"/>
      <c r="H17" s="2518"/>
      <c r="I17" s="2518"/>
      <c r="J17" s="2518"/>
      <c r="K17" s="2518"/>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8" t="s">
        <v>2194</v>
      </c>
      <c r="C20" s="2508"/>
      <c r="D20" s="2508"/>
      <c r="E20" s="2508"/>
      <c r="F20" s="2508"/>
      <c r="G20" s="2508"/>
      <c r="H20" s="2508"/>
      <c r="I20" s="2508"/>
      <c r="J20" s="2508"/>
      <c r="K20" s="2508"/>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1859</v>
      </c>
      <c r="C22" s="1476"/>
      <c r="D22" s="322"/>
      <c r="E22" s="322"/>
      <c r="F22" s="322"/>
      <c r="G22" s="1382"/>
      <c r="H22" s="322"/>
      <c r="I22" s="1382"/>
      <c r="J22" s="322"/>
      <c r="K22" s="322"/>
      <c r="L22" s="322"/>
    </row>
    <row r="23" spans="2:12" ht="37.5" customHeight="1" x14ac:dyDescent="0.2">
      <c r="B23" s="2508" t="s">
        <v>2195</v>
      </c>
      <c r="C23" s="2508"/>
      <c r="D23" s="2508"/>
      <c r="E23" s="2508"/>
      <c r="F23" s="2508"/>
      <c r="G23" s="2508"/>
      <c r="H23" s="2508"/>
      <c r="I23" s="2508"/>
      <c r="J23" s="2508"/>
      <c r="K23" s="2508"/>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1860</v>
      </c>
      <c r="C25" s="1476"/>
      <c r="D25" s="322"/>
      <c r="E25" s="322"/>
      <c r="F25" s="322"/>
      <c r="G25" s="1382"/>
      <c r="H25" s="322"/>
      <c r="I25" s="1382"/>
      <c r="J25" s="322"/>
      <c r="K25" s="322"/>
      <c r="L25" s="322"/>
    </row>
    <row r="26" spans="2:12" ht="37.5" customHeight="1" x14ac:dyDescent="0.2">
      <c r="B26" s="2508" t="s">
        <v>2184</v>
      </c>
      <c r="C26" s="2508"/>
      <c r="D26" s="2508"/>
      <c r="E26" s="2508"/>
      <c r="F26" s="2508"/>
      <c r="G26" s="2508"/>
      <c r="H26" s="2508"/>
      <c r="I26" s="2508"/>
      <c r="J26" s="2508"/>
      <c r="K26" s="2508"/>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1861</v>
      </c>
      <c r="C28" s="1476"/>
      <c r="D28" s="322"/>
      <c r="E28" s="322"/>
      <c r="F28" s="322"/>
      <c r="G28" s="1382"/>
      <c r="H28" s="322"/>
      <c r="I28" s="1382"/>
      <c r="J28" s="322"/>
      <c r="K28" s="322"/>
      <c r="L28" s="322"/>
    </row>
    <row r="29" spans="2:12" ht="37.5" customHeight="1" x14ac:dyDescent="0.2">
      <c r="B29" s="2508" t="s">
        <v>2200</v>
      </c>
      <c r="C29" s="2508"/>
      <c r="D29" s="2508"/>
      <c r="E29" s="2508"/>
      <c r="F29" s="2508"/>
      <c r="G29" s="2508"/>
      <c r="H29" s="2508"/>
      <c r="I29" s="2508"/>
      <c r="J29" s="2508"/>
      <c r="K29" s="2508"/>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8" t="s">
        <v>2196</v>
      </c>
      <c r="C32" s="2508"/>
      <c r="D32" s="2508"/>
      <c r="E32" s="2508"/>
      <c r="F32" s="2508"/>
      <c r="G32" s="2508"/>
      <c r="H32" s="2508"/>
      <c r="I32" s="2508"/>
      <c r="J32" s="2508"/>
      <c r="K32" s="2508"/>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8" t="s">
        <v>2197</v>
      </c>
      <c r="C35" s="2508"/>
      <c r="D35" s="2508"/>
      <c r="E35" s="2508"/>
      <c r="F35" s="2508"/>
      <c r="G35" s="2508"/>
      <c r="H35" s="2508"/>
      <c r="I35" s="2508"/>
      <c r="J35" s="2508"/>
      <c r="K35" s="2508"/>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8" t="s">
        <v>2198</v>
      </c>
      <c r="C38" s="2508"/>
      <c r="D38" s="2508"/>
      <c r="E38" s="2508"/>
      <c r="F38" s="2508"/>
      <c r="G38" s="2508"/>
      <c r="H38" s="2508"/>
      <c r="I38" s="2508"/>
      <c r="J38" s="2508"/>
      <c r="K38" s="2508"/>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1862</v>
      </c>
      <c r="C40" s="1402"/>
      <c r="D40" s="1377"/>
      <c r="E40" s="1378"/>
      <c r="F40" s="1378"/>
      <c r="G40" s="1379"/>
      <c r="H40" s="1378"/>
      <c r="I40" s="1379"/>
      <c r="J40" s="1378"/>
      <c r="K40" s="1378"/>
    </row>
    <row r="41" spans="2:12" s="322" customFormat="1" ht="33.75" customHeight="1" x14ac:dyDescent="0.2">
      <c r="B41" s="2508" t="s">
        <v>2199</v>
      </c>
      <c r="C41" s="2508"/>
      <c r="D41" s="2508"/>
      <c r="E41" s="2508"/>
      <c r="F41" s="2508"/>
      <c r="G41" s="2508"/>
      <c r="H41" s="2508"/>
      <c r="I41" s="2508"/>
      <c r="J41" s="2508"/>
      <c r="K41" s="2508"/>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1863</v>
      </c>
      <c r="C48" s="1418"/>
      <c r="D48" s="322"/>
      <c r="E48" s="322"/>
      <c r="F48" s="322"/>
    </row>
    <row r="49" spans="2:3" s="317" customFormat="1" ht="10.5" customHeight="1" x14ac:dyDescent="0.2">
      <c r="B49" s="1419" t="s">
        <v>1864</v>
      </c>
      <c r="C49" s="1419"/>
    </row>
    <row r="50" spans="2:3" s="317" customFormat="1" ht="11.1" customHeight="1" x14ac:dyDescent="0.2">
      <c r="B50" s="1419" t="s">
        <v>1865</v>
      </c>
      <c r="C50" s="1419"/>
    </row>
    <row r="51" spans="2:3" s="317" customFormat="1" ht="11.1" customHeight="1" x14ac:dyDescent="0.2">
      <c r="B51" s="1419" t="s">
        <v>1866</v>
      </c>
      <c r="C51" s="1419"/>
    </row>
    <row r="52" spans="2:3" s="317" customFormat="1" ht="11.1" customHeight="1" x14ac:dyDescent="0.2">
      <c r="B52" s="1419" t="s">
        <v>1867</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20" zoomScale="110" zoomScaleNormal="110" workbookViewId="0">
      <selection activeCell="H28" sqref="H2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3" t="str">
        <f>'Single Audit Cover'!A7</f>
        <v>Paris-Union SD 95</v>
      </c>
      <c r="C1" s="2513"/>
      <c r="D1" s="2513"/>
      <c r="E1" s="2513"/>
      <c r="F1" s="2513"/>
      <c r="G1" s="2513"/>
      <c r="H1" s="2513"/>
      <c r="I1" s="2513"/>
      <c r="J1" s="2513"/>
      <c r="K1" s="2513"/>
      <c r="L1" s="1464"/>
    </row>
    <row r="2" spans="1:12" ht="12.75" customHeight="1" x14ac:dyDescent="0.2">
      <c r="B2" s="2514">
        <f>'Single Audit Cover'!E7</f>
        <v>11023095025</v>
      </c>
      <c r="C2" s="2514"/>
      <c r="D2" s="2514"/>
      <c r="E2" s="2514"/>
      <c r="F2" s="2514"/>
      <c r="G2" s="2514"/>
      <c r="H2" s="2514"/>
      <c r="I2" s="2514"/>
      <c r="J2" s="2514"/>
      <c r="K2" s="2514"/>
      <c r="L2" s="1465"/>
    </row>
    <row r="3" spans="1:12" ht="12.75" customHeight="1" x14ac:dyDescent="0.2">
      <c r="B3" s="2509" t="s">
        <v>1347</v>
      </c>
      <c r="C3" s="2509"/>
      <c r="D3" s="2509"/>
      <c r="E3" s="2509"/>
      <c r="F3" s="2509"/>
      <c r="G3" s="2509"/>
      <c r="H3" s="2509"/>
      <c r="I3" s="2509"/>
      <c r="J3" s="2509"/>
      <c r="K3" s="2509"/>
      <c r="L3" s="1965"/>
    </row>
    <row r="4" spans="1:12" ht="12.75" customHeight="1" x14ac:dyDescent="0.2">
      <c r="B4" s="2509" t="str">
        <f>'Single Audit Cover'!A4</f>
        <v>Year Ending June 30, 2018</v>
      </c>
      <c r="C4" s="2509"/>
      <c r="D4" s="2509"/>
      <c r="E4" s="2509"/>
      <c r="F4" s="2509"/>
      <c r="G4" s="2509"/>
      <c r="H4" s="2509"/>
      <c r="I4" s="2509"/>
      <c r="J4" s="2509"/>
      <c r="K4" s="2509"/>
      <c r="L4" s="1965"/>
    </row>
    <row r="5" spans="1:12" ht="5.25" customHeight="1" x14ac:dyDescent="0.2">
      <c r="B5" s="1259" t="s">
        <v>1231</v>
      </c>
      <c r="C5" s="1259"/>
      <c r="L5" s="322"/>
    </row>
    <row r="6" spans="1:12" ht="30.75" customHeight="1" x14ac:dyDescent="0.2">
      <c r="A6" s="322"/>
      <c r="B6" s="2515" t="s">
        <v>1375</v>
      </c>
      <c r="C6" s="2515"/>
      <c r="D6" s="2515"/>
      <c r="E6" s="2515"/>
      <c r="F6" s="2515"/>
      <c r="G6" s="2515"/>
      <c r="H6" s="2515"/>
      <c r="I6" s="2515"/>
      <c r="J6" s="2515"/>
      <c r="K6" s="2515"/>
      <c r="L6" s="322"/>
    </row>
    <row r="7" spans="1:12" ht="4.5" customHeight="1" x14ac:dyDescent="0.2">
      <c r="B7" s="1378"/>
      <c r="C7" s="1378"/>
      <c r="D7" s="1378"/>
      <c r="E7" s="1378"/>
      <c r="F7" s="1378"/>
      <c r="G7" s="1379"/>
      <c r="H7" s="1378"/>
      <c r="I7" s="1379"/>
      <c r="J7" s="1378"/>
      <c r="K7" s="1378"/>
      <c r="L7" s="322"/>
    </row>
    <row r="8" spans="1:12" ht="13.5" customHeight="1" x14ac:dyDescent="0.2">
      <c r="B8" s="1386" t="s">
        <v>1858</v>
      </c>
      <c r="C8" s="1466" t="s">
        <v>1952</v>
      </c>
      <c r="D8" s="1467">
        <v>8</v>
      </c>
      <c r="E8" s="322"/>
      <c r="F8" s="1383" t="s">
        <v>1362</v>
      </c>
      <c r="G8" s="1468" t="s">
        <v>2133</v>
      </c>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93" t="s">
        <v>2192</v>
      </c>
      <c r="G12" s="2493"/>
      <c r="H12" s="2493"/>
      <c r="I12" s="2493"/>
      <c r="J12" s="2493"/>
      <c r="K12" s="2493"/>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16" t="s">
        <v>2193</v>
      </c>
      <c r="E14" s="2516"/>
      <c r="F14" s="2516"/>
      <c r="H14" s="1474" t="s">
        <v>1370</v>
      </c>
      <c r="I14" s="2517" t="s">
        <v>2105</v>
      </c>
      <c r="J14" s="2517"/>
      <c r="K14" s="2517"/>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17" t="s">
        <v>2183</v>
      </c>
      <c r="E16" s="2517"/>
      <c r="F16" s="2517"/>
      <c r="G16" s="2517"/>
      <c r="H16" s="2517"/>
      <c r="I16" s="2517"/>
      <c r="J16" s="2517"/>
      <c r="K16" s="2517"/>
      <c r="L16" s="322"/>
    </row>
    <row r="17" spans="2:12" ht="13.5" customHeight="1" x14ac:dyDescent="0.2">
      <c r="B17" s="1386" t="s">
        <v>1368</v>
      </c>
      <c r="C17" s="1386"/>
      <c r="D17" s="2518" t="s">
        <v>2100</v>
      </c>
      <c r="E17" s="2518"/>
      <c r="F17" s="2518"/>
      <c r="G17" s="2518"/>
      <c r="H17" s="2518"/>
      <c r="I17" s="2518"/>
      <c r="J17" s="2518"/>
      <c r="K17" s="2518"/>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8" t="s">
        <v>2205</v>
      </c>
      <c r="C20" s="2508"/>
      <c r="D20" s="2508"/>
      <c r="E20" s="2508"/>
      <c r="F20" s="2508"/>
      <c r="G20" s="2508"/>
      <c r="H20" s="2508"/>
      <c r="I20" s="2508"/>
      <c r="J20" s="2508"/>
      <c r="K20" s="2508"/>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1859</v>
      </c>
      <c r="C22" s="1476"/>
      <c r="D22" s="322"/>
      <c r="E22" s="322"/>
      <c r="F22" s="322"/>
      <c r="G22" s="1382"/>
      <c r="H22" s="322"/>
      <c r="I22" s="1382"/>
      <c r="J22" s="322"/>
      <c r="K22" s="322"/>
      <c r="L22" s="322"/>
    </row>
    <row r="23" spans="2:12" ht="37.5" customHeight="1" x14ac:dyDescent="0.2">
      <c r="B23" s="2508" t="s">
        <v>2201</v>
      </c>
      <c r="C23" s="2508"/>
      <c r="D23" s="2508"/>
      <c r="E23" s="2508"/>
      <c r="F23" s="2508"/>
      <c r="G23" s="2508"/>
      <c r="H23" s="2508"/>
      <c r="I23" s="2508"/>
      <c r="J23" s="2508"/>
      <c r="K23" s="2508"/>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1860</v>
      </c>
      <c r="C25" s="1476"/>
      <c r="D25" s="322"/>
      <c r="E25" s="322"/>
      <c r="F25" s="322"/>
      <c r="G25" s="1382"/>
      <c r="H25" s="322"/>
      <c r="I25" s="1382"/>
      <c r="J25" s="322"/>
      <c r="K25" s="322"/>
      <c r="L25" s="322"/>
    </row>
    <row r="26" spans="2:12" ht="34.5" customHeight="1" x14ac:dyDescent="0.2">
      <c r="B26" s="2508" t="s">
        <v>2184</v>
      </c>
      <c r="C26" s="2508"/>
      <c r="D26" s="2508"/>
      <c r="E26" s="2508"/>
      <c r="F26" s="2508"/>
      <c r="G26" s="2508"/>
      <c r="H26" s="2508"/>
      <c r="I26" s="2508"/>
      <c r="J26" s="2508"/>
      <c r="K26" s="2508"/>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1861</v>
      </c>
      <c r="C28" s="1476"/>
      <c r="D28" s="322"/>
      <c r="E28" s="322"/>
      <c r="F28" s="322"/>
      <c r="G28" s="1382"/>
      <c r="H28" s="322"/>
      <c r="I28" s="1382"/>
      <c r="J28" s="322"/>
      <c r="K28" s="322"/>
      <c r="L28" s="322"/>
    </row>
    <row r="29" spans="2:12" ht="40.5" customHeight="1" x14ac:dyDescent="0.2">
      <c r="B29" s="2508" t="s">
        <v>2202</v>
      </c>
      <c r="C29" s="2508"/>
      <c r="D29" s="2508"/>
      <c r="E29" s="2508"/>
      <c r="F29" s="2508"/>
      <c r="G29" s="2508"/>
      <c r="H29" s="2508"/>
      <c r="I29" s="2508"/>
      <c r="J29" s="2508"/>
      <c r="K29" s="2508"/>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8" t="s">
        <v>2203</v>
      </c>
      <c r="C32" s="2508"/>
      <c r="D32" s="2508"/>
      <c r="E32" s="2508"/>
      <c r="F32" s="2508"/>
      <c r="G32" s="2508"/>
      <c r="H32" s="2508"/>
      <c r="I32" s="2508"/>
      <c r="J32" s="2508"/>
      <c r="K32" s="2508"/>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8" t="s">
        <v>2204</v>
      </c>
      <c r="C35" s="2508"/>
      <c r="D35" s="2508"/>
      <c r="E35" s="2508"/>
      <c r="F35" s="2508"/>
      <c r="G35" s="2508"/>
      <c r="H35" s="2508"/>
      <c r="I35" s="2508"/>
      <c r="J35" s="2508"/>
      <c r="K35" s="2508"/>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8" t="s">
        <v>2206</v>
      </c>
      <c r="C38" s="2508"/>
      <c r="D38" s="2508"/>
      <c r="E38" s="2508"/>
      <c r="F38" s="2508"/>
      <c r="G38" s="2508"/>
      <c r="H38" s="2508"/>
      <c r="I38" s="2508"/>
      <c r="J38" s="2508"/>
      <c r="K38" s="2508"/>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1862</v>
      </c>
      <c r="C40" s="1402"/>
      <c r="D40" s="1377"/>
      <c r="E40" s="1378"/>
      <c r="F40" s="1378"/>
      <c r="G40" s="1379"/>
      <c r="H40" s="1378"/>
      <c r="I40" s="1379"/>
      <c r="J40" s="1378"/>
      <c r="K40" s="1378"/>
    </row>
    <row r="41" spans="2:12" s="322" customFormat="1" ht="33.75" customHeight="1" x14ac:dyDescent="0.2">
      <c r="B41" s="2508" t="s">
        <v>2207</v>
      </c>
      <c r="C41" s="2508"/>
      <c r="D41" s="2508"/>
      <c r="E41" s="2508"/>
      <c r="F41" s="2508"/>
      <c r="G41" s="2508"/>
      <c r="H41" s="2508"/>
      <c r="I41" s="2508"/>
      <c r="J41" s="2508"/>
      <c r="K41" s="2508"/>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1863</v>
      </c>
      <c r="C48" s="1418"/>
      <c r="D48" s="322"/>
      <c r="E48" s="322"/>
      <c r="F48" s="322"/>
    </row>
    <row r="49" spans="2:3" s="317" customFormat="1" ht="10.5" customHeight="1" x14ac:dyDescent="0.2">
      <c r="B49" s="1419" t="s">
        <v>1864</v>
      </c>
      <c r="C49" s="1419"/>
    </row>
    <row r="50" spans="2:3" s="317" customFormat="1" ht="11.1" customHeight="1" x14ac:dyDescent="0.2">
      <c r="B50" s="1419" t="s">
        <v>1865</v>
      </c>
      <c r="C50" s="1419"/>
    </row>
    <row r="51" spans="2:3" s="317" customFormat="1" ht="11.1" customHeight="1" x14ac:dyDescent="0.2">
      <c r="B51" s="1419" t="s">
        <v>1866</v>
      </c>
      <c r="C51" s="1419"/>
    </row>
    <row r="52" spans="2:3" s="317" customFormat="1" ht="11.1" customHeight="1" x14ac:dyDescent="0.2">
      <c r="B52" s="1419" t="s">
        <v>1867</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7" t="s">
        <v>404</v>
      </c>
      <c r="B1" s="2117"/>
      <c r="C1" s="2117"/>
      <c r="D1" s="2117"/>
      <c r="E1" s="2117"/>
      <c r="F1" s="2117"/>
      <c r="G1" s="2117"/>
      <c r="H1" s="2117"/>
      <c r="I1" s="2117"/>
      <c r="J1" s="2117"/>
      <c r="K1" s="2117"/>
      <c r="L1" s="2117"/>
      <c r="M1" s="211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81700153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1.84E-2</v>
      </c>
      <c r="E10" s="356" t="s">
        <v>1062</v>
      </c>
      <c r="F10" s="355">
        <v>5.0000000000000001E-3</v>
      </c>
      <c r="G10" s="356" t="s">
        <v>1062</v>
      </c>
      <c r="H10" s="355">
        <v>2E-3</v>
      </c>
      <c r="I10" s="356" t="s">
        <v>1063</v>
      </c>
      <c r="J10" s="1753">
        <f>ROUND(D10+F10+H10,5)</f>
        <v>2.5399999999999999E-2</v>
      </c>
      <c r="K10" s="222"/>
      <c r="L10" s="355">
        <v>5.0000000000000001E-4</v>
      </c>
      <c r="M10" s="222"/>
    </row>
    <row r="11" spans="1:14" ht="7.5" customHeight="1" x14ac:dyDescent="0.2">
      <c r="B11" s="222"/>
      <c r="C11" s="222"/>
      <c r="D11" s="2127" t="str">
        <f>IF(SUM(J10)&lt;=0.0999999,"","Enter the Tax Rates by moving the decimal two places to the left.")</f>
        <v/>
      </c>
      <c r="E11" s="2128"/>
      <c r="F11" s="2128"/>
      <c r="G11" s="2128"/>
      <c r="H11" s="2128"/>
      <c r="I11" s="2128"/>
      <c r="J11" s="212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11574695</v>
      </c>
      <c r="E16" s="356"/>
      <c r="F16" s="1754">
        <f>SUM('Acct Summary 7-8'!C17,'Acct Summary 7-8'!D17,'Acct Summary 7-8'!F17)</f>
        <v>10713477</v>
      </c>
      <c r="G16" s="356"/>
      <c r="H16" s="1754">
        <f>SUM(D16-F16)</f>
        <v>861218</v>
      </c>
      <c r="I16" s="222"/>
      <c r="J16" s="1754">
        <f>SUM('Acct Summary 7-8'!C81,'Acct Summary 7-8'!D81,'Acct Summary 7-8'!F81,'Acct Summary 7-8'!I81)</f>
        <v>5044782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f>IF(B31="X",(J7*0.069),IF(B32="X",(J7*0.138),"Enter x in a.or b."))</f>
        <v>11274621.114</v>
      </c>
      <c r="I31" s="368"/>
      <c r="J31" s="222"/>
      <c r="K31" s="222"/>
      <c r="L31" s="222"/>
      <c r="M31" s="222"/>
    </row>
    <row r="32" spans="1:13" ht="13.35" customHeight="1" x14ac:dyDescent="0.2">
      <c r="B32" s="369" t="s">
        <v>2081</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7429399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8"/>
      <c r="C54" s="2119"/>
      <c r="D54" s="2119"/>
      <c r="E54" s="2119"/>
      <c r="F54" s="2119"/>
      <c r="G54" s="2119"/>
      <c r="H54" s="2119"/>
      <c r="I54" s="2119"/>
      <c r="J54" s="2119"/>
      <c r="K54" s="2119"/>
      <c r="L54" s="2120"/>
      <c r="M54" s="380"/>
    </row>
    <row r="55" spans="1:13" ht="12.75" customHeight="1" x14ac:dyDescent="0.2">
      <c r="B55" s="2121"/>
      <c r="C55" s="2122"/>
      <c r="D55" s="2122"/>
      <c r="E55" s="2122"/>
      <c r="F55" s="2122"/>
      <c r="G55" s="2122"/>
      <c r="H55" s="2122"/>
      <c r="I55" s="2122"/>
      <c r="J55" s="2122"/>
      <c r="K55" s="2122"/>
      <c r="L55" s="2123"/>
      <c r="M55" s="380"/>
    </row>
    <row r="56" spans="1:13" ht="12.75" customHeight="1" x14ac:dyDescent="0.2">
      <c r="B56" s="2121"/>
      <c r="C56" s="2122"/>
      <c r="D56" s="2122"/>
      <c r="E56" s="2122"/>
      <c r="F56" s="2122"/>
      <c r="G56" s="2122"/>
      <c r="H56" s="2122"/>
      <c r="I56" s="2122"/>
      <c r="J56" s="2122"/>
      <c r="K56" s="2122"/>
      <c r="L56" s="2123"/>
      <c r="M56" s="222"/>
    </row>
    <row r="57" spans="1:13" ht="12.75" customHeight="1" x14ac:dyDescent="0.2">
      <c r="B57" s="2121"/>
      <c r="C57" s="2122"/>
      <c r="D57" s="2122"/>
      <c r="E57" s="2122"/>
      <c r="F57" s="2122"/>
      <c r="G57" s="2122"/>
      <c r="H57" s="2122"/>
      <c r="I57" s="2122"/>
      <c r="J57" s="2122"/>
      <c r="K57" s="2122"/>
      <c r="L57" s="2123"/>
      <c r="M57" s="222"/>
    </row>
    <row r="58" spans="1:13" x14ac:dyDescent="0.2">
      <c r="B58" s="2124"/>
      <c r="C58" s="2125"/>
      <c r="D58" s="2125"/>
      <c r="E58" s="2125"/>
      <c r="F58" s="2125"/>
      <c r="G58" s="2125"/>
      <c r="H58" s="2125"/>
      <c r="I58" s="2125"/>
      <c r="J58" s="2125"/>
      <c r="K58" s="2125"/>
      <c r="L58" s="212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9"/>
      <c r="D61" s="213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5"/>
  <sheetViews>
    <sheetView showGridLines="0" zoomScale="110" zoomScaleNormal="110" workbookViewId="0">
      <selection activeCell="C26" sqref="C26"/>
    </sheetView>
  </sheetViews>
  <sheetFormatPr defaultColWidth="9.140625" defaultRowHeight="12.75" x14ac:dyDescent="0.2"/>
  <cols>
    <col min="1" max="1" width="1.5703125" style="317" customWidth="1"/>
    <col min="2" max="2" width="14.7109375" style="317" customWidth="1"/>
    <col min="3" max="3" width="55.42578125" style="317" customWidth="1"/>
    <col min="4" max="4" width="31.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6" t="str">
        <f>'Single Audit Cover'!A7</f>
        <v>Paris-Union SD 95</v>
      </c>
      <c r="C1" s="2486"/>
      <c r="D1" s="2486"/>
      <c r="E1" s="1490"/>
    </row>
    <row r="2" spans="2:5" s="1281" customFormat="1" ht="12.75" customHeight="1" x14ac:dyDescent="0.2">
      <c r="B2" s="2488">
        <f>'Single Audit Cover'!E7</f>
        <v>11023095025</v>
      </c>
      <c r="C2" s="2488"/>
      <c r="D2" s="2488"/>
      <c r="E2" s="1491"/>
    </row>
    <row r="3" spans="2:5" ht="12.75" customHeight="1" x14ac:dyDescent="0.2">
      <c r="B3" s="2509" t="s">
        <v>1868</v>
      </c>
      <c r="C3" s="2509"/>
      <c r="D3" s="2509"/>
      <c r="E3" s="1273"/>
    </row>
    <row r="4" spans="2:5" s="1281" customFormat="1" ht="12.75" customHeight="1" x14ac:dyDescent="0.2">
      <c r="B4" s="2519" t="str">
        <f>'Single Audit Cover'!A4</f>
        <v>Year Ending June 30, 2018</v>
      </c>
      <c r="C4" s="2519"/>
      <c r="D4" s="2519"/>
      <c r="E4" s="1492"/>
    </row>
    <row r="5" spans="2:5" s="1281" customFormat="1" ht="40.15" customHeight="1" x14ac:dyDescent="0.2">
      <c r="B5" s="1493" t="s">
        <v>1869</v>
      </c>
      <c r="C5" s="328"/>
      <c r="D5" s="328"/>
      <c r="E5" s="328"/>
    </row>
    <row r="6" spans="2:5" s="1281" customFormat="1" ht="13.5" customHeight="1" x14ac:dyDescent="0.2">
      <c r="B6" s="1494" t="s">
        <v>1382</v>
      </c>
      <c r="C6" s="1494" t="s">
        <v>1381</v>
      </c>
      <c r="D6" s="1494" t="s">
        <v>1870</v>
      </c>
    </row>
    <row r="7" spans="2:5" ht="13.5" customHeight="1" x14ac:dyDescent="0.2">
      <c r="B7" s="1495" t="s">
        <v>2168</v>
      </c>
      <c r="C7" s="2507" t="s">
        <v>2135</v>
      </c>
      <c r="D7" s="324" t="s">
        <v>2175</v>
      </c>
      <c r="E7" s="324"/>
    </row>
    <row r="8" spans="2:5" ht="13.5" customHeight="1" x14ac:dyDescent="0.2">
      <c r="B8" s="1495"/>
      <c r="C8" s="2507"/>
      <c r="D8" s="324"/>
      <c r="E8" s="324"/>
    </row>
    <row r="9" spans="2:5" ht="13.5" customHeight="1" x14ac:dyDescent="0.2">
      <c r="B9" s="1495"/>
      <c r="C9" s="2507"/>
      <c r="D9" s="324"/>
      <c r="E9" s="324"/>
    </row>
    <row r="10" spans="2:5" ht="13.5" customHeight="1" x14ac:dyDescent="0.2">
      <c r="B10" s="1495"/>
      <c r="C10" s="324"/>
      <c r="D10" s="324"/>
      <c r="E10" s="324"/>
    </row>
    <row r="11" spans="2:5" ht="13.5" customHeight="1" x14ac:dyDescent="0.2">
      <c r="B11" s="1496" t="s">
        <v>2169</v>
      </c>
      <c r="C11" s="2508" t="s">
        <v>2141</v>
      </c>
      <c r="D11" s="323" t="s">
        <v>2176</v>
      </c>
      <c r="E11" s="323"/>
    </row>
    <row r="12" spans="2:5" ht="13.5" customHeight="1" x14ac:dyDescent="0.2">
      <c r="B12" s="1496"/>
      <c r="C12" s="2508"/>
      <c r="D12" s="323"/>
      <c r="E12" s="323"/>
    </row>
    <row r="13" spans="2:5" ht="13.5" customHeight="1" x14ac:dyDescent="0.2">
      <c r="B13" s="1496"/>
      <c r="C13" s="2508"/>
      <c r="D13" s="323"/>
      <c r="E13" s="323"/>
    </row>
    <row r="14" spans="2:5" ht="13.5" customHeight="1" x14ac:dyDescent="0.2">
      <c r="B14" s="1495"/>
      <c r="C14" s="323"/>
      <c r="D14" s="323"/>
      <c r="E14" s="323"/>
    </row>
    <row r="15" spans="2:5" ht="13.5" customHeight="1" x14ac:dyDescent="0.2">
      <c r="B15" s="1495" t="s">
        <v>2170</v>
      </c>
      <c r="C15" s="2508" t="s">
        <v>2149</v>
      </c>
      <c r="D15" s="323" t="s">
        <v>2177</v>
      </c>
      <c r="E15" s="323"/>
    </row>
    <row r="16" spans="2:5" ht="13.5" customHeight="1" x14ac:dyDescent="0.2">
      <c r="B16" s="1495"/>
      <c r="C16" s="2508"/>
      <c r="D16" s="323"/>
      <c r="E16" s="323"/>
    </row>
    <row r="17" spans="2:5" ht="13.5" customHeight="1" x14ac:dyDescent="0.2">
      <c r="B17" s="1495"/>
      <c r="C17" s="323"/>
      <c r="D17" s="323"/>
      <c r="E17" s="323"/>
    </row>
    <row r="18" spans="2:5" ht="13.5" customHeight="1" x14ac:dyDescent="0.2">
      <c r="B18" s="1495" t="s">
        <v>2171</v>
      </c>
      <c r="C18" s="2508" t="s">
        <v>2178</v>
      </c>
      <c r="D18" s="323" t="s">
        <v>2174</v>
      </c>
      <c r="E18" s="323"/>
    </row>
    <row r="19" spans="2:5" ht="13.5" customHeight="1" x14ac:dyDescent="0.2">
      <c r="B19" s="1495"/>
      <c r="C19" s="2508"/>
      <c r="D19" s="323"/>
      <c r="E19" s="323"/>
    </row>
    <row r="20" spans="2:5" ht="13.5" customHeight="1" x14ac:dyDescent="0.2">
      <c r="B20" s="1495"/>
      <c r="C20" s="323"/>
      <c r="D20" s="323"/>
      <c r="E20" s="323"/>
    </row>
    <row r="21" spans="2:5" ht="13.5" customHeight="1" x14ac:dyDescent="0.2">
      <c r="B21" s="1495" t="s">
        <v>2172</v>
      </c>
      <c r="C21" s="2508" t="s">
        <v>2179</v>
      </c>
      <c r="D21" s="323" t="s">
        <v>2173</v>
      </c>
      <c r="E21" s="323"/>
    </row>
    <row r="22" spans="2:5" ht="13.5" customHeight="1" x14ac:dyDescent="0.2">
      <c r="B22" s="1495"/>
      <c r="C22" s="2508"/>
      <c r="D22" s="323"/>
      <c r="E22" s="323"/>
    </row>
    <row r="23" spans="2:5" ht="13.5" customHeight="1" x14ac:dyDescent="0.2">
      <c r="B23" s="1495"/>
      <c r="C23" s="2508"/>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5"/>
      <c r="C32" s="323"/>
      <c r="D32" s="323"/>
      <c r="E32" s="323"/>
    </row>
    <row r="33" spans="2:5" ht="13.5" customHeight="1" x14ac:dyDescent="0.2">
      <c r="B33" s="1495"/>
      <c r="C33" s="323"/>
      <c r="D33" s="323"/>
      <c r="E33" s="323"/>
    </row>
    <row r="34" spans="2:5" ht="13.5" customHeight="1" x14ac:dyDescent="0.2">
      <c r="B34" s="1495"/>
      <c r="C34" s="323"/>
      <c r="D34" s="323"/>
      <c r="E34" s="323"/>
    </row>
    <row r="35" spans="2:5" ht="13.5" customHeight="1" x14ac:dyDescent="0.2">
      <c r="B35" s="1495"/>
      <c r="C35" s="323"/>
      <c r="D35" s="323"/>
      <c r="E35" s="323"/>
    </row>
    <row r="36" spans="2:5" ht="13.5" customHeight="1" x14ac:dyDescent="0.2">
      <c r="B36" s="1497"/>
      <c r="C36" s="323"/>
      <c r="D36" s="323"/>
      <c r="E36" s="323"/>
    </row>
    <row r="37" spans="2:5" ht="13.5" customHeight="1" x14ac:dyDescent="0.2">
      <c r="B37" s="1498"/>
      <c r="C37" s="323"/>
      <c r="D37" s="323"/>
      <c r="E37" s="323"/>
    </row>
    <row r="38" spans="2:5" ht="13.5" customHeight="1" x14ac:dyDescent="0.2">
      <c r="B38" s="1499"/>
      <c r="C38" s="323"/>
      <c r="D38" s="323"/>
      <c r="E38" s="323"/>
    </row>
    <row r="39" spans="2:5" ht="13.5" customHeight="1" x14ac:dyDescent="0.2">
      <c r="B39" s="1498"/>
      <c r="C39" s="323"/>
      <c r="D39" s="323"/>
      <c r="E39" s="323"/>
    </row>
    <row r="40" spans="2:5" ht="13.5" customHeight="1" x14ac:dyDescent="0.2">
      <c r="B40" s="1499"/>
      <c r="C40" s="323"/>
      <c r="D40" s="323"/>
      <c r="E40" s="323"/>
    </row>
    <row r="41" spans="2:5" ht="13.5" customHeight="1" x14ac:dyDescent="0.2">
      <c r="B41" s="1499"/>
      <c r="C41" s="323"/>
      <c r="D41" s="323"/>
      <c r="E41" s="323"/>
    </row>
    <row r="42" spans="2:5" ht="13.5" customHeight="1" x14ac:dyDescent="0.2">
      <c r="B42" s="1498"/>
      <c r="C42" s="323"/>
      <c r="D42" s="323"/>
      <c r="E42" s="323"/>
    </row>
    <row r="43" spans="2:5" ht="13.5" customHeight="1" x14ac:dyDescent="0.2">
      <c r="B43" s="1500"/>
      <c r="C43" s="323"/>
      <c r="D43" s="323"/>
      <c r="E43" s="323"/>
    </row>
    <row r="44" spans="2:5" ht="13.5" customHeight="1" x14ac:dyDescent="0.2">
      <c r="B44" s="1501"/>
      <c r="C44" s="323"/>
      <c r="D44" s="323"/>
      <c r="E44" s="323"/>
    </row>
    <row r="45" spans="2:5" ht="12.75" customHeight="1" x14ac:dyDescent="0.2">
      <c r="B45" s="1502"/>
      <c r="C45" s="1503"/>
      <c r="D45" s="1503"/>
      <c r="E45" s="323"/>
    </row>
    <row r="46" spans="2:5" ht="12.2" customHeight="1" x14ac:dyDescent="0.2">
      <c r="B46" s="1256" t="s">
        <v>1380</v>
      </c>
      <c r="C46" s="322"/>
    </row>
    <row r="47" spans="2:5" ht="12.2" customHeight="1" x14ac:dyDescent="0.2">
      <c r="B47" s="1504" t="s">
        <v>1871</v>
      </c>
    </row>
    <row r="48" spans="2:5" ht="12.2" customHeight="1" x14ac:dyDescent="0.2">
      <c r="B48" s="1504" t="s">
        <v>1872</v>
      </c>
    </row>
    <row r="49" spans="2:5" ht="12.2" customHeight="1" x14ac:dyDescent="0.2">
      <c r="B49" s="1505" t="s">
        <v>1379</v>
      </c>
    </row>
    <row r="50" spans="2:5" ht="12.2" customHeight="1" x14ac:dyDescent="0.2">
      <c r="B50" s="1505" t="s">
        <v>1378</v>
      </c>
    </row>
    <row r="51" spans="2:5" ht="12.2" customHeight="1" x14ac:dyDescent="0.2">
      <c r="B51" s="1505" t="s">
        <v>1377</v>
      </c>
    </row>
    <row r="52" spans="2:5" ht="12.2" customHeight="1" x14ac:dyDescent="0.2">
      <c r="B52" s="1505" t="s">
        <v>1376</v>
      </c>
    </row>
    <row r="55" spans="2:5" ht="12.75" customHeight="1" x14ac:dyDescent="0.2"/>
    <row r="56" spans="2:5" ht="12.75" customHeight="1" x14ac:dyDescent="0.2">
      <c r="B56" s="1266"/>
    </row>
    <row r="57" spans="2:5" ht="12.75" customHeight="1" x14ac:dyDescent="0.2"/>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4" spans="2:5" ht="12.75" customHeight="1" x14ac:dyDescent="0.2">
      <c r="B64" s="322"/>
      <c r="C64" s="322"/>
      <c r="D64" s="322"/>
      <c r="E64" s="322"/>
    </row>
    <row r="65" spans="2:5" ht="12.75" customHeight="1" x14ac:dyDescent="0.2">
      <c r="B65" s="322"/>
      <c r="C65" s="322"/>
      <c r="D65" s="322"/>
      <c r="E65" s="322"/>
    </row>
    <row r="69" spans="2:5" x14ac:dyDescent="0.2">
      <c r="B69" s="1418"/>
    </row>
    <row r="70" spans="2:5" x14ac:dyDescent="0.2">
      <c r="B70" s="1299"/>
    </row>
    <row r="71" spans="2:5" x14ac:dyDescent="0.2">
      <c r="B71" s="1299"/>
    </row>
    <row r="72" spans="2:5" x14ac:dyDescent="0.2">
      <c r="B72" s="1419"/>
    </row>
    <row r="73" spans="2:5" x14ac:dyDescent="0.2">
      <c r="B73" s="1419"/>
    </row>
    <row r="74" spans="2:5" x14ac:dyDescent="0.2">
      <c r="B74" s="1419"/>
    </row>
    <row r="75" spans="2:5" x14ac:dyDescent="0.2">
      <c r="B75" s="1299"/>
    </row>
  </sheetData>
  <sheetProtection sheet="1" objects="1" scenarios="1"/>
  <mergeCells count="9">
    <mergeCell ref="C11:C13"/>
    <mergeCell ref="C15:C16"/>
    <mergeCell ref="C18:C19"/>
    <mergeCell ref="C21:C23"/>
    <mergeCell ref="B1:D1"/>
    <mergeCell ref="B2:D2"/>
    <mergeCell ref="B3:D3"/>
    <mergeCell ref="B4:D4"/>
    <mergeCell ref="C7:C9"/>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F36" sqref="F3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2"/>
      <c r="B1" s="2133"/>
      <c r="C1" s="2133"/>
      <c r="D1" s="384"/>
      <c r="E1" s="384"/>
      <c r="F1" s="384"/>
      <c r="G1" s="384"/>
      <c r="H1" s="384"/>
      <c r="I1" s="384"/>
      <c r="J1" s="384"/>
      <c r="K1" s="384"/>
      <c r="L1" s="384"/>
      <c r="M1" s="384"/>
      <c r="N1" s="384"/>
      <c r="O1" s="2132"/>
      <c r="P1" s="2133"/>
      <c r="Q1" s="2133"/>
    </row>
    <row r="2" spans="1:18" ht="15" x14ac:dyDescent="0.2">
      <c r="A2" s="2136" t="s">
        <v>577</v>
      </c>
      <c r="B2" s="2136"/>
      <c r="C2" s="2136"/>
      <c r="D2" s="2136"/>
      <c r="E2" s="2136"/>
      <c r="F2" s="2136"/>
      <c r="G2" s="2136"/>
      <c r="H2" s="2136"/>
      <c r="I2" s="2136"/>
      <c r="J2" s="2136"/>
      <c r="K2" s="2136"/>
      <c r="L2" s="2136"/>
      <c r="M2" s="2136"/>
      <c r="N2" s="2136"/>
      <c r="O2" s="2136"/>
      <c r="P2" s="2136"/>
      <c r="Q2" s="2136"/>
      <c r="R2" s="2136"/>
    </row>
    <row r="3" spans="1:18" ht="12.75" x14ac:dyDescent="0.2">
      <c r="A3" s="2137" t="s">
        <v>1480</v>
      </c>
      <c r="B3" s="2137"/>
      <c r="C3" s="2137"/>
      <c r="D3" s="2137"/>
      <c r="E3" s="2137"/>
      <c r="F3" s="2137"/>
      <c r="G3" s="2137"/>
      <c r="H3" s="2137"/>
      <c r="I3" s="2137"/>
      <c r="J3" s="2137"/>
      <c r="K3" s="2137"/>
      <c r="L3" s="2137"/>
      <c r="M3" s="2137"/>
      <c r="N3" s="2137"/>
      <c r="O3" s="2137"/>
      <c r="P3" s="2137"/>
      <c r="Q3" s="2137"/>
      <c r="R3" s="2137"/>
    </row>
    <row r="4" spans="1:18" x14ac:dyDescent="0.2">
      <c r="A4" s="2138" t="s">
        <v>1635</v>
      </c>
      <c r="B4" s="2138"/>
      <c r="C4" s="2138"/>
      <c r="D4" s="2138"/>
      <c r="E4" s="2138"/>
      <c r="F4" s="2138"/>
      <c r="G4" s="2138"/>
      <c r="H4" s="2138"/>
      <c r="I4" s="2138"/>
      <c r="J4" s="2138"/>
      <c r="K4" s="2138"/>
      <c r="L4" s="2138"/>
      <c r="M4" s="2138"/>
      <c r="N4" s="2138"/>
      <c r="O4" s="2138"/>
      <c r="P4" s="2138"/>
      <c r="Q4" s="2138"/>
      <c r="R4" s="213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Paris-Union SD 95</v>
      </c>
      <c r="E7" s="391"/>
      <c r="G7" s="252"/>
      <c r="H7" s="387"/>
      <c r="I7" s="387"/>
      <c r="J7" s="387"/>
      <c r="K7" s="387"/>
      <c r="L7" s="329"/>
      <c r="M7" s="329"/>
      <c r="N7" s="329"/>
      <c r="O7" s="329"/>
      <c r="P7" s="329"/>
    </row>
    <row r="8" spans="1:18" ht="12.75" x14ac:dyDescent="0.2">
      <c r="A8" s="329"/>
      <c r="B8" s="329"/>
      <c r="C8" s="389" t="s">
        <v>1187</v>
      </c>
      <c r="D8" s="392">
        <f>COVER!A13</f>
        <v>11023095025</v>
      </c>
      <c r="E8" s="393"/>
      <c r="G8" s="329"/>
      <c r="H8" s="329"/>
      <c r="I8" s="329"/>
      <c r="J8" s="329"/>
      <c r="K8" s="329"/>
      <c r="L8" s="329"/>
      <c r="M8" s="329"/>
      <c r="N8" s="329"/>
      <c r="O8" s="329"/>
      <c r="P8" s="329"/>
    </row>
    <row r="9" spans="1:18" ht="12.75" x14ac:dyDescent="0.2">
      <c r="A9" s="329"/>
      <c r="B9" s="329"/>
      <c r="C9" s="389" t="s">
        <v>737</v>
      </c>
      <c r="D9" s="394" t="str">
        <f>COVER!A15</f>
        <v>Edgar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5044782</v>
      </c>
      <c r="I12" s="404"/>
      <c r="J12" s="404"/>
      <c r="K12" s="405">
        <f>TRUNC((H12/H13*100000),5)/100000</f>
        <v>0.4358457825</v>
      </c>
      <c r="L12" s="406"/>
      <c r="M12" s="360" t="s">
        <v>1206</v>
      </c>
      <c r="N12" s="360"/>
      <c r="O12" s="407">
        <v>0.35</v>
      </c>
      <c r="P12" s="218"/>
      <c r="Q12" s="218"/>
    </row>
    <row r="13" spans="1:18" s="408" customFormat="1" ht="12.75" x14ac:dyDescent="0.2">
      <c r="A13" s="218"/>
      <c r="B13" s="401"/>
      <c r="C13" s="2134" t="s">
        <v>1391</v>
      </c>
      <c r="D13" s="2135"/>
      <c r="E13" s="218"/>
      <c r="F13" s="409" t="s">
        <v>826</v>
      </c>
      <c r="G13" s="402"/>
      <c r="H13" s="403">
        <f>SUM('Acct Summary 7-8'!C8+'Acct Summary 7-8'!D8+'Acct Summary 7-8'!F8+'Acct Summary 7-8'!I8)+H14</f>
        <v>11574695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10713477</v>
      </c>
      <c r="I17" s="404"/>
      <c r="J17" s="416"/>
      <c r="K17" s="405">
        <f>TRUNC((H17/H18*100000),5)/100000</f>
        <v>0.9255947564</v>
      </c>
      <c r="L17" s="406"/>
      <c r="M17" s="417" t="s">
        <v>1233</v>
      </c>
      <c r="O17" s="418" t="str">
        <f>IF(AND(O16="2", J20 &gt; 2),"1",IF(AND(O16 = "1", J20 &gt; 2),"2",IF(AND(O16="1", J20 &gt;1),"1","0")))</f>
        <v>0</v>
      </c>
      <c r="P17" s="218"/>
    </row>
    <row r="18" spans="1:18" s="408" customFormat="1" ht="11.25" x14ac:dyDescent="0.2">
      <c r="A18" s="218"/>
      <c r="B18" s="401"/>
      <c r="C18" s="2134" t="s">
        <v>1384</v>
      </c>
      <c r="D18" s="2135"/>
      <c r="E18" s="218"/>
      <c r="F18" s="419" t="s">
        <v>827</v>
      </c>
      <c r="G18" s="402"/>
      <c r="H18" s="403">
        <f>SUM('Acct Summary 7-8'!C8+'Acct Summary 7-8'!D8+'Acct Summary 7-8'!F8+'Acct Summary 7-8'!I8)+H19</f>
        <v>11574695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31" t="s">
        <v>1479</v>
      </c>
      <c r="D24" s="2131"/>
      <c r="E24" s="218"/>
      <c r="F24" s="218" t="s">
        <v>465</v>
      </c>
      <c r="G24" s="402"/>
      <c r="H24" s="403">
        <f>SUM('Assets-Liab 5-6'!C4+'Assets-Liab 5-6'!D4+'Assets-Liab 5-6'!F4+'Assets-Liab 5-6'!I4+'Assets-Liab 5-6'!C5+'Assets-Liab 5-6'!D5+'Assets-Liab 5-6'!F5+'Assets-Liab 5-6'!I5)</f>
        <v>5045845</v>
      </c>
      <c r="I24" s="422"/>
      <c r="J24" s="422"/>
      <c r="K24" s="423">
        <f>TRUNC(((H24/H25*100000)/100000),2)</f>
        <v>169.55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29759.658329999998</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1763906.30327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7429399</v>
      </c>
      <c r="I32" s="420"/>
      <c r="J32" s="420"/>
      <c r="K32" s="423">
        <f>TRUNC(100-((((H32/H33*100))*100)/100),2)</f>
        <v>34.1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11274621.114</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view="pageLayout" topLeftCell="A19" colorId="8" zoomScaleNormal="110" workbookViewId="0">
      <selection activeCell="A50" sqref="A5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1" t="s">
        <v>1030</v>
      </c>
      <c r="B3" s="2142"/>
      <c r="C3" s="1580"/>
      <c r="D3" s="1581"/>
      <c r="E3" s="1581"/>
      <c r="F3" s="1581"/>
      <c r="G3" s="1581"/>
      <c r="H3" s="1581"/>
      <c r="I3" s="1581"/>
      <c r="J3" s="1581"/>
      <c r="K3" s="1581"/>
      <c r="L3" s="1581"/>
      <c r="M3" s="1582"/>
      <c r="N3" s="1583"/>
    </row>
    <row r="4" spans="1:14" ht="13.5" customHeight="1" x14ac:dyDescent="0.2">
      <c r="A4" s="463" t="s">
        <v>1750</v>
      </c>
      <c r="B4" s="464"/>
      <c r="C4" s="465">
        <v>1352710</v>
      </c>
      <c r="D4" s="466">
        <v>2257189</v>
      </c>
      <c r="E4" s="466">
        <v>11325</v>
      </c>
      <c r="F4" s="466">
        <v>857241</v>
      </c>
      <c r="G4" s="466">
        <v>314106</v>
      </c>
      <c r="H4" s="466">
        <v>229344</v>
      </c>
      <c r="I4" s="466"/>
      <c r="J4" s="467">
        <v>372988</v>
      </c>
      <c r="K4" s="466">
        <v>2866</v>
      </c>
      <c r="L4" s="466">
        <v>97666</v>
      </c>
      <c r="M4" s="468"/>
      <c r="N4" s="469"/>
    </row>
    <row r="5" spans="1:14" x14ac:dyDescent="0.2">
      <c r="A5" s="463" t="s">
        <v>1049</v>
      </c>
      <c r="B5" s="470">
        <v>120</v>
      </c>
      <c r="C5" s="465">
        <v>578705</v>
      </c>
      <c r="D5" s="466"/>
      <c r="E5" s="466"/>
      <c r="F5" s="466"/>
      <c r="G5" s="466">
        <v>40000</v>
      </c>
      <c r="H5" s="466"/>
      <c r="I5" s="466"/>
      <c r="J5" s="467"/>
      <c r="K5" s="471">
        <v>18</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v>8100</v>
      </c>
      <c r="K7" s="467"/>
      <c r="L7" s="477"/>
      <c r="M7" s="468"/>
      <c r="N7" s="469"/>
    </row>
    <row r="8" spans="1:14" ht="13.5" customHeight="1" x14ac:dyDescent="0.2">
      <c r="A8" s="473" t="s">
        <v>287</v>
      </c>
      <c r="B8" s="470">
        <v>150</v>
      </c>
      <c r="C8" s="476">
        <v>34143</v>
      </c>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v>250</v>
      </c>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1965558</v>
      </c>
      <c r="D13" s="1758">
        <f t="shared" ref="D13:L13" si="0">SUM(D4:D12)</f>
        <v>2257439</v>
      </c>
      <c r="E13" s="1758">
        <f t="shared" si="0"/>
        <v>11325</v>
      </c>
      <c r="F13" s="1758">
        <f t="shared" si="0"/>
        <v>857241</v>
      </c>
      <c r="G13" s="1758">
        <f t="shared" si="0"/>
        <v>354106</v>
      </c>
      <c r="H13" s="1758">
        <f t="shared" si="0"/>
        <v>229344</v>
      </c>
      <c r="I13" s="1758">
        <f t="shared" si="0"/>
        <v>0</v>
      </c>
      <c r="J13" s="1758">
        <f t="shared" si="0"/>
        <v>381088</v>
      </c>
      <c r="K13" s="1758">
        <f t="shared" si="0"/>
        <v>2884</v>
      </c>
      <c r="L13" s="1758">
        <f t="shared" si="0"/>
        <v>97666</v>
      </c>
      <c r="M13" s="468"/>
      <c r="N13" s="469"/>
    </row>
    <row r="14" spans="1:14" ht="18" customHeight="1" thickTop="1" x14ac:dyDescent="0.2">
      <c r="A14" s="2143" t="s">
        <v>149</v>
      </c>
      <c r="B14" s="2144"/>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625797</v>
      </c>
      <c r="N16" s="484"/>
    </row>
    <row r="17" spans="1:14" s="485" customFormat="1" ht="12.75" customHeight="1" x14ac:dyDescent="0.2">
      <c r="A17" s="482" t="s">
        <v>1470</v>
      </c>
      <c r="B17" s="483">
        <v>230</v>
      </c>
      <c r="C17" s="477"/>
      <c r="D17" s="477"/>
      <c r="E17" s="477"/>
      <c r="F17" s="477"/>
      <c r="G17" s="477"/>
      <c r="H17" s="477"/>
      <c r="I17" s="477"/>
      <c r="J17" s="477"/>
      <c r="K17" s="477"/>
      <c r="L17" s="477"/>
      <c r="M17" s="467">
        <v>15269798</v>
      </c>
      <c r="N17" s="484"/>
    </row>
    <row r="18" spans="1:14" s="485" customFormat="1" ht="12.75" customHeight="1" x14ac:dyDescent="0.2">
      <c r="A18" s="482" t="s">
        <v>1471</v>
      </c>
      <c r="B18" s="483">
        <v>240</v>
      </c>
      <c r="C18" s="477"/>
      <c r="D18" s="477"/>
      <c r="E18" s="477"/>
      <c r="F18" s="477"/>
      <c r="G18" s="477"/>
      <c r="H18" s="477"/>
      <c r="I18" s="477"/>
      <c r="J18" s="477"/>
      <c r="K18" s="477"/>
      <c r="L18" s="477"/>
      <c r="M18" s="467">
        <v>160089</v>
      </c>
      <c r="N18" s="484"/>
    </row>
    <row r="19" spans="1:14" s="485" customFormat="1" ht="12.75" customHeight="1" x14ac:dyDescent="0.2">
      <c r="A19" s="482" t="s">
        <v>1472</v>
      </c>
      <c r="B19" s="483">
        <v>250</v>
      </c>
      <c r="C19" s="477"/>
      <c r="D19" s="477"/>
      <c r="E19" s="477"/>
      <c r="F19" s="477"/>
      <c r="G19" s="477"/>
      <c r="H19" s="477"/>
      <c r="I19" s="477"/>
      <c r="J19" s="477"/>
      <c r="K19" s="477"/>
      <c r="L19" s="477"/>
      <c r="M19" s="467">
        <v>396406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11325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7418074</v>
      </c>
    </row>
    <row r="23" spans="1:14" ht="13.5" customHeight="1" thickBot="1" x14ac:dyDescent="0.25">
      <c r="A23" s="1757" t="s">
        <v>664</v>
      </c>
      <c r="B23" s="1762"/>
      <c r="C23" s="468"/>
      <c r="D23" s="468"/>
      <c r="E23" s="468"/>
      <c r="F23" s="468"/>
      <c r="G23" s="468"/>
      <c r="H23" s="468"/>
      <c r="I23" s="468"/>
      <c r="J23" s="468"/>
      <c r="K23" s="468"/>
      <c r="L23" s="468"/>
      <c r="M23" s="1709">
        <f>SUM(M15:M22)</f>
        <v>16452090</v>
      </c>
      <c r="N23" s="1709">
        <f>SUM(N21:N22)</f>
        <v>7429399</v>
      </c>
    </row>
    <row r="24" spans="1:14" ht="18" customHeight="1" thickTop="1" x14ac:dyDescent="0.2">
      <c r="A24" s="2145" t="s">
        <v>619</v>
      </c>
      <c r="B24" s="2146"/>
      <c r="C24" s="1589"/>
      <c r="D24" s="1586"/>
      <c r="E24" s="1586"/>
      <c r="F24" s="1586"/>
      <c r="G24" s="1586"/>
      <c r="H24" s="1586"/>
      <c r="I24" s="1586"/>
      <c r="J24" s="1586"/>
      <c r="K24" s="1586"/>
      <c r="L24" s="1586"/>
      <c r="M24" s="1585"/>
      <c r="N24" s="1590"/>
    </row>
    <row r="25" spans="1:14" x14ac:dyDescent="0.2">
      <c r="A25" s="473" t="s">
        <v>666</v>
      </c>
      <c r="B25" s="470">
        <v>410</v>
      </c>
      <c r="C25" s="478">
        <v>8100</v>
      </c>
      <c r="D25" s="478"/>
      <c r="E25" s="478"/>
      <c r="F25" s="478"/>
      <c r="G25" s="478"/>
      <c r="H25" s="479"/>
      <c r="I25" s="468"/>
      <c r="J25" s="478"/>
      <c r="K25" s="478"/>
      <c r="L25" s="468"/>
      <c r="M25" s="468"/>
      <c r="N25" s="468"/>
    </row>
    <row r="26" spans="1:14" x14ac:dyDescent="0.2">
      <c r="A26" s="473" t="s">
        <v>667</v>
      </c>
      <c r="B26" s="470">
        <v>420</v>
      </c>
      <c r="C26" s="467">
        <v>27356</v>
      </c>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97666</v>
      </c>
      <c r="M33" s="468"/>
      <c r="N33" s="469"/>
    </row>
    <row r="34" spans="1:14" ht="13.5" customHeight="1" thickBot="1" x14ac:dyDescent="0.25">
      <c r="A34" s="1759" t="s">
        <v>675</v>
      </c>
      <c r="B34" s="1760"/>
      <c r="C34" s="1761">
        <f>SUM(C25:C33)</f>
        <v>35456</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97666</v>
      </c>
      <c r="M34" s="468"/>
      <c r="N34" s="480"/>
    </row>
    <row r="35" spans="1:14" ht="18" customHeight="1" thickTop="1" x14ac:dyDescent="0.2">
      <c r="A35" s="2147" t="s">
        <v>550</v>
      </c>
      <c r="B35" s="2148"/>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7429399</v>
      </c>
    </row>
    <row r="37" spans="1:14" ht="13.5" thickBot="1" x14ac:dyDescent="0.25">
      <c r="A37" s="1757" t="s">
        <v>674</v>
      </c>
      <c r="B37" s="1762"/>
      <c r="C37" s="477"/>
      <c r="D37" s="477"/>
      <c r="E37" s="477"/>
      <c r="F37" s="477"/>
      <c r="G37" s="477"/>
      <c r="H37" s="477"/>
      <c r="I37" s="477"/>
      <c r="J37" s="477"/>
      <c r="K37" s="477"/>
      <c r="L37" s="480"/>
      <c r="M37" s="468"/>
      <c r="N37" s="1709">
        <f>SUM(N36:N36)</f>
        <v>7429399</v>
      </c>
    </row>
    <row r="38" spans="1:14" s="329" customFormat="1" ht="13.5" customHeight="1" thickTop="1" x14ac:dyDescent="0.2">
      <c r="A38" s="496" t="s">
        <v>440</v>
      </c>
      <c r="B38" s="483">
        <v>714</v>
      </c>
      <c r="C38" s="466"/>
      <c r="D38" s="466"/>
      <c r="E38" s="466"/>
      <c r="F38" s="466"/>
      <c r="G38" s="466">
        <v>168850</v>
      </c>
      <c r="H38" s="466"/>
      <c r="I38" s="466"/>
      <c r="J38" s="467"/>
      <c r="K38" s="466"/>
      <c r="L38" s="481"/>
      <c r="M38" s="497"/>
      <c r="N38" s="497"/>
    </row>
    <row r="39" spans="1:14" s="329" customFormat="1" ht="13.5" customHeight="1" x14ac:dyDescent="0.2">
      <c r="A39" s="496" t="s">
        <v>360</v>
      </c>
      <c r="B39" s="483">
        <v>730</v>
      </c>
      <c r="C39" s="466">
        <v>1930102</v>
      </c>
      <c r="D39" s="466">
        <v>2257439</v>
      </c>
      <c r="E39" s="466">
        <v>11325</v>
      </c>
      <c r="F39" s="466">
        <v>857241</v>
      </c>
      <c r="G39" s="466">
        <v>185256</v>
      </c>
      <c r="H39" s="466">
        <v>229344</v>
      </c>
      <c r="I39" s="466"/>
      <c r="J39" s="467">
        <v>381088</v>
      </c>
      <c r="K39" s="466">
        <v>2884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16452090</v>
      </c>
      <c r="N40" s="497"/>
    </row>
    <row r="41" spans="1:14" ht="13.5" customHeight="1" thickBot="1" x14ac:dyDescent="0.25">
      <c r="A41" s="1757" t="s">
        <v>676</v>
      </c>
      <c r="B41" s="1727"/>
      <c r="C41" s="1709">
        <f>(SUM(C34,C37,C38,C39))</f>
        <v>1965558</v>
      </c>
      <c r="D41" s="1709">
        <f t="shared" ref="D41:L41" si="2">SUM(D34,D37,D38:D39)</f>
        <v>2257439</v>
      </c>
      <c r="E41" s="1709">
        <f t="shared" si="2"/>
        <v>11325</v>
      </c>
      <c r="F41" s="1709">
        <f t="shared" si="2"/>
        <v>857241</v>
      </c>
      <c r="G41" s="1709">
        <f t="shared" si="2"/>
        <v>354106</v>
      </c>
      <c r="H41" s="1709">
        <f t="shared" si="2"/>
        <v>229344</v>
      </c>
      <c r="I41" s="1709">
        <f t="shared" si="2"/>
        <v>0</v>
      </c>
      <c r="J41" s="1709">
        <f t="shared" si="2"/>
        <v>381088</v>
      </c>
      <c r="K41" s="1709">
        <f t="shared" si="2"/>
        <v>2884</v>
      </c>
      <c r="L41" s="1709">
        <f t="shared" si="2"/>
        <v>97666</v>
      </c>
      <c r="M41" s="1709">
        <f>SUM(M40)</f>
        <v>16452090</v>
      </c>
      <c r="N41" s="1709">
        <f>SUM(N37)</f>
        <v>7429399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the financial statements and auditors' reports.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8" sqref="C1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9" t="s">
        <v>1237</v>
      </c>
      <c r="B3" s="2170"/>
      <c r="C3" s="1594"/>
      <c r="D3" s="1595"/>
      <c r="E3" s="1595"/>
      <c r="F3" s="1595"/>
      <c r="G3" s="1595"/>
      <c r="H3" s="1595"/>
      <c r="I3" s="1595"/>
      <c r="J3" s="1595"/>
      <c r="K3" s="1596"/>
      <c r="L3" s="506"/>
    </row>
    <row r="4" spans="1:13" ht="15.75" customHeight="1" x14ac:dyDescent="0.2">
      <c r="A4" s="1953" t="s">
        <v>1579</v>
      </c>
      <c r="B4" s="1954">
        <v>1000</v>
      </c>
      <c r="C4" s="1763">
        <f>'Revenues 9-14'!C109</f>
        <v>1769725</v>
      </c>
      <c r="D4" s="1763">
        <f>'Revenues 9-14'!D109</f>
        <v>676364</v>
      </c>
      <c r="E4" s="1763">
        <f>'Revenues 9-14'!E109</f>
        <v>518029</v>
      </c>
      <c r="F4" s="1763">
        <f>'Revenues 9-14'!F109</f>
        <v>157196</v>
      </c>
      <c r="G4" s="1763">
        <f>'Revenues 9-14'!G109</f>
        <v>403643</v>
      </c>
      <c r="H4" s="1763">
        <f>'Revenues 9-14'!H109</f>
        <v>372862</v>
      </c>
      <c r="I4" s="1763">
        <f>'Revenues 9-14'!I109</f>
        <v>36389</v>
      </c>
      <c r="J4" s="1763">
        <f>'Revenues 9-14'!J109</f>
        <v>59467</v>
      </c>
      <c r="K4" s="1763">
        <f>'Revenues 9-14'!K109</f>
        <v>0</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7207100</v>
      </c>
      <c r="D6" s="1764">
        <f>'Revenues 9-14'!D173</f>
        <v>649091</v>
      </c>
      <c r="E6" s="1764">
        <f>'Revenues 9-14'!E173</f>
        <v>0</v>
      </c>
      <c r="F6" s="1764">
        <f>'Revenues 9-14'!F173</f>
        <v>126873</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951957</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9928782</v>
      </c>
      <c r="D8" s="1709">
        <f t="shared" ref="D8:K8" si="0">SUM(D4:D7)</f>
        <v>1325455</v>
      </c>
      <c r="E8" s="1709">
        <f t="shared" si="0"/>
        <v>518029</v>
      </c>
      <c r="F8" s="1709">
        <f t="shared" si="0"/>
        <v>284069</v>
      </c>
      <c r="G8" s="1709">
        <f t="shared" si="0"/>
        <v>403643</v>
      </c>
      <c r="H8" s="1709">
        <f t="shared" si="0"/>
        <v>372862</v>
      </c>
      <c r="I8" s="1709">
        <f t="shared" si="0"/>
        <v>36389</v>
      </c>
      <c r="J8" s="1709">
        <f t="shared" si="0"/>
        <v>59467</v>
      </c>
      <c r="K8" s="1709">
        <f t="shared" si="0"/>
        <v>0</v>
      </c>
      <c r="L8" s="347"/>
    </row>
    <row r="9" spans="1:13" ht="15.75" thickTop="1" x14ac:dyDescent="0.2">
      <c r="A9" s="514" t="s">
        <v>1752</v>
      </c>
      <c r="B9" s="515">
        <v>3998</v>
      </c>
      <c r="C9" s="481">
        <f>2700852+34150</f>
        <v>2735002</v>
      </c>
      <c r="D9" s="516"/>
      <c r="E9" s="481"/>
      <c r="F9" s="481"/>
      <c r="G9" s="517"/>
      <c r="H9" s="481"/>
      <c r="I9" s="509" t="s">
        <v>1231</v>
      </c>
      <c r="J9" s="478"/>
      <c r="K9" s="481"/>
      <c r="L9" s="347"/>
    </row>
    <row r="10" spans="1:13" s="519" customFormat="1" ht="13.5" thickBot="1" x14ac:dyDescent="0.25">
      <c r="A10" s="1757" t="s">
        <v>1235</v>
      </c>
      <c r="B10" s="1730"/>
      <c r="C10" s="1709">
        <f>SUM(C8:C9)</f>
        <v>12663784</v>
      </c>
      <c r="D10" s="1709">
        <f t="shared" ref="D10:K10" si="1">SUM(D8:D9)</f>
        <v>1325455</v>
      </c>
      <c r="E10" s="1709">
        <f t="shared" si="1"/>
        <v>518029</v>
      </c>
      <c r="F10" s="1709">
        <f t="shared" si="1"/>
        <v>284069</v>
      </c>
      <c r="G10" s="1709">
        <f t="shared" si="1"/>
        <v>403643</v>
      </c>
      <c r="H10" s="1709">
        <f t="shared" si="1"/>
        <v>372862</v>
      </c>
      <c r="I10" s="1709">
        <f t="shared" si="1"/>
        <v>36389</v>
      </c>
      <c r="J10" s="1709">
        <f t="shared" si="1"/>
        <v>59467</v>
      </c>
      <c r="K10" s="1709">
        <f t="shared" si="1"/>
        <v>0</v>
      </c>
      <c r="L10" s="518"/>
    </row>
    <row r="11" spans="1:13" s="519" customFormat="1" ht="16.7" customHeight="1" thickTop="1" x14ac:dyDescent="0.2">
      <c r="A11" s="2143" t="s">
        <v>1238</v>
      </c>
      <c r="B11" s="2144"/>
      <c r="C11" s="1591"/>
      <c r="D11" s="1592"/>
      <c r="E11" s="1592"/>
      <c r="F11" s="1592"/>
      <c r="G11" s="1592"/>
      <c r="H11" s="1592"/>
      <c r="I11" s="1592"/>
      <c r="J11" s="1592"/>
      <c r="K11" s="1593"/>
      <c r="L11" s="518"/>
    </row>
    <row r="12" spans="1:13" ht="15.75" customHeight="1" x14ac:dyDescent="0.2">
      <c r="A12" s="1597" t="s">
        <v>476</v>
      </c>
      <c r="B12" s="1599">
        <v>1000</v>
      </c>
      <c r="C12" s="1763">
        <f>'Expenditures 15-22'!K33</f>
        <v>5184983</v>
      </c>
      <c r="D12" s="520" t="s">
        <v>1231</v>
      </c>
      <c r="E12" s="468" t="s">
        <v>1231</v>
      </c>
      <c r="F12" s="468" t="s">
        <v>1231</v>
      </c>
      <c r="G12" s="1763">
        <f>'Expenditures 15-22'!K229</f>
        <v>143325</v>
      </c>
      <c r="H12" s="521"/>
      <c r="I12" s="468" t="s">
        <v>1231</v>
      </c>
      <c r="J12" s="468" t="s">
        <v>1231</v>
      </c>
      <c r="K12" s="521" t="s">
        <v>1231</v>
      </c>
      <c r="L12" s="347"/>
    </row>
    <row r="13" spans="1:13" ht="15.75" customHeight="1" x14ac:dyDescent="0.2">
      <c r="A13" s="1597" t="s">
        <v>477</v>
      </c>
      <c r="B13" s="1599">
        <v>2000</v>
      </c>
      <c r="C13" s="1764">
        <f>'Expenditures 15-22'!K74</f>
        <v>1702403</v>
      </c>
      <c r="D13" s="1764">
        <f>'Expenditures 15-22'!K129</f>
        <v>960844</v>
      </c>
      <c r="E13" s="469" t="s">
        <v>1231</v>
      </c>
      <c r="F13" s="1764">
        <f>'Expenditures 15-22'!K184</f>
        <v>293309</v>
      </c>
      <c r="G13" s="1764">
        <f>'Expenditures 15-22'!K279</f>
        <v>144441</v>
      </c>
      <c r="H13" s="1764">
        <f>'Expenditures 15-22'!K303</f>
        <v>143518</v>
      </c>
      <c r="I13" s="468" t="s">
        <v>1231</v>
      </c>
      <c r="J13" s="1764">
        <f>'Expenditures 15-22'!K330</f>
        <v>225007</v>
      </c>
      <c r="K13" s="1768">
        <f>'Expenditures 15-22'!K352</f>
        <v>0</v>
      </c>
      <c r="L13" s="347"/>
    </row>
    <row r="14" spans="1:13" ht="15.75" customHeight="1" x14ac:dyDescent="0.2">
      <c r="A14" s="1597" t="s">
        <v>469</v>
      </c>
      <c r="B14" s="1599">
        <v>3000</v>
      </c>
      <c r="C14" s="1764">
        <f>'Expenditures 15-22'!K75</f>
        <v>108787</v>
      </c>
      <c r="D14" s="1764">
        <f>'Expenditures 15-22'!K130</f>
        <v>0</v>
      </c>
      <c r="E14" s="520" t="s">
        <v>1231</v>
      </c>
      <c r="F14" s="1764">
        <f>'Expenditures 15-22'!K185</f>
        <v>0</v>
      </c>
      <c r="G14" s="1764">
        <f>'Expenditures 15-22'!K280</f>
        <v>8439</v>
      </c>
      <c r="H14" s="512"/>
      <c r="I14" s="468" t="s">
        <v>1231</v>
      </c>
      <c r="J14" s="468" t="s">
        <v>1231</v>
      </c>
      <c r="K14" s="512" t="s">
        <v>1231</v>
      </c>
      <c r="L14" s="347"/>
    </row>
    <row r="15" spans="1:13" ht="15.75" customHeight="1" x14ac:dyDescent="0.2">
      <c r="A15" s="1597" t="s">
        <v>109</v>
      </c>
      <c r="B15" s="1599">
        <v>4000</v>
      </c>
      <c r="C15" s="1764">
        <f>'Expenditures 15-22'!K102</f>
        <v>2230444</v>
      </c>
      <c r="D15" s="1764">
        <f>'Expenditures 15-22'!K139</f>
        <v>195000</v>
      </c>
      <c r="E15" s="1764">
        <f>'Expenditures 15-22'!K160</f>
        <v>0</v>
      </c>
      <c r="F15" s="1764">
        <f>'Expenditures 15-22'!K196</f>
        <v>36389</v>
      </c>
      <c r="G15" s="1764">
        <f>'Expenditures 15-22'!K285</f>
        <v>56152</v>
      </c>
      <c r="H15" s="1764">
        <f>'Expenditures 15-22'!K310</f>
        <v>0</v>
      </c>
      <c r="I15" s="468" t="s">
        <v>1231</v>
      </c>
      <c r="J15" s="1857">
        <f>'Expenditures 15-22'!K334</f>
        <v>61647</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549825</v>
      </c>
      <c r="F16" s="1764">
        <f>'Expenditures 15-22'!K208</f>
        <v>1318</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9226617</v>
      </c>
      <c r="D17" s="1709">
        <f t="shared" si="2"/>
        <v>1155844</v>
      </c>
      <c r="E17" s="1709">
        <f t="shared" si="2"/>
        <v>549825</v>
      </c>
      <c r="F17" s="1709">
        <f t="shared" si="2"/>
        <v>331016</v>
      </c>
      <c r="G17" s="1709">
        <f t="shared" si="2"/>
        <v>352357</v>
      </c>
      <c r="H17" s="1709">
        <f t="shared" si="2"/>
        <v>143518</v>
      </c>
      <c r="I17" s="468"/>
      <c r="J17" s="1709">
        <f>SUM(J12:J16)</f>
        <v>286654</v>
      </c>
      <c r="K17" s="1709">
        <f>SUM(K12:K16)</f>
        <v>0</v>
      </c>
      <c r="L17" s="347"/>
    </row>
    <row r="18" spans="1:12" ht="15" customHeight="1" thickTop="1" x14ac:dyDescent="0.2">
      <c r="A18" s="1765" t="s">
        <v>1753</v>
      </c>
      <c r="B18" s="1766">
        <v>4180</v>
      </c>
      <c r="C18" s="1763">
        <f t="shared" ref="C18:H18" si="3">C9</f>
        <v>2735002</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11961619</v>
      </c>
      <c r="D19" s="1709">
        <f t="shared" si="4"/>
        <v>1155844</v>
      </c>
      <c r="E19" s="1709">
        <f t="shared" si="4"/>
        <v>549825</v>
      </c>
      <c r="F19" s="1709">
        <f t="shared" si="4"/>
        <v>331016</v>
      </c>
      <c r="G19" s="1709">
        <f t="shared" si="4"/>
        <v>352357</v>
      </c>
      <c r="H19" s="1709">
        <f t="shared" si="4"/>
        <v>143518</v>
      </c>
      <c r="I19" s="468"/>
      <c r="J19" s="1709">
        <f>SUM(J17:J18)</f>
        <v>286654</v>
      </c>
      <c r="K19" s="1709">
        <f>SUM(K17:K18)</f>
        <v>0</v>
      </c>
      <c r="L19" s="347"/>
    </row>
    <row r="20" spans="1:12" ht="16.5" thickTop="1" thickBot="1" x14ac:dyDescent="0.25">
      <c r="A20" s="2159" t="s">
        <v>1754</v>
      </c>
      <c r="B20" s="2160"/>
      <c r="C20" s="1767">
        <f>C8-C17</f>
        <v>702165</v>
      </c>
      <c r="D20" s="1767">
        <f t="shared" ref="D20:K20" si="5">D8-D17</f>
        <v>169611</v>
      </c>
      <c r="E20" s="1767">
        <f t="shared" si="5"/>
        <v>-31796</v>
      </c>
      <c r="F20" s="1767">
        <f t="shared" si="5"/>
        <v>-46947</v>
      </c>
      <c r="G20" s="1767">
        <f t="shared" si="5"/>
        <v>51286</v>
      </c>
      <c r="H20" s="1767">
        <f t="shared" si="5"/>
        <v>229344</v>
      </c>
      <c r="I20" s="1767">
        <f t="shared" si="5"/>
        <v>36389</v>
      </c>
      <c r="J20" s="1767">
        <f t="shared" si="5"/>
        <v>-227187</v>
      </c>
      <c r="K20" s="1767">
        <f t="shared" si="5"/>
        <v>0</v>
      </c>
      <c r="L20" s="347"/>
    </row>
    <row r="21" spans="1:12" ht="16.7" customHeight="1" thickTop="1" x14ac:dyDescent="0.2">
      <c r="A21" s="2171" t="s">
        <v>616</v>
      </c>
      <c r="B21" s="2172"/>
      <c r="C21" s="1591"/>
      <c r="D21" s="1592"/>
      <c r="E21" s="1592"/>
      <c r="F21" s="1592"/>
      <c r="G21" s="1592"/>
      <c r="H21" s="1592"/>
      <c r="I21" s="1592"/>
      <c r="J21" s="1592"/>
      <c r="K21" s="1593"/>
      <c r="L21" s="524"/>
    </row>
    <row r="22" spans="1:12" ht="15.75" customHeight="1" collapsed="1" x14ac:dyDescent="0.2">
      <c r="A22" s="2167" t="s">
        <v>617</v>
      </c>
      <c r="B22" s="2168"/>
      <c r="C22" s="477"/>
      <c r="D22" s="477"/>
      <c r="E22" s="477"/>
      <c r="F22" s="477"/>
      <c r="G22" s="477"/>
      <c r="H22" s="477"/>
      <c r="I22" s="477"/>
      <c r="J22" s="477"/>
      <c r="K22" s="477"/>
      <c r="L22" s="347"/>
    </row>
    <row r="23" spans="1:12" s="485" customFormat="1" ht="15.75" customHeight="1" x14ac:dyDescent="0.2">
      <c r="A23" s="2163" t="s">
        <v>311</v>
      </c>
      <c r="B23" s="2164"/>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v>36389</v>
      </c>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1896</v>
      </c>
      <c r="B30" s="527">
        <v>7160</v>
      </c>
      <c r="C30" s="477"/>
      <c r="D30" s="467"/>
      <c r="E30" s="477"/>
      <c r="F30" s="477"/>
      <c r="G30" s="477"/>
      <c r="H30" s="477"/>
      <c r="I30" s="477"/>
      <c r="J30" s="477"/>
      <c r="K30" s="477"/>
      <c r="L30" s="524"/>
    </row>
    <row r="31" spans="1:12" s="485" customFormat="1" ht="26.25" x14ac:dyDescent="0.2">
      <c r="A31" s="1510" t="s">
        <v>1900</v>
      </c>
      <c r="B31" s="527">
        <v>7170</v>
      </c>
      <c r="C31" s="477"/>
      <c r="D31" s="477"/>
      <c r="E31" s="474"/>
      <c r="F31" s="477"/>
      <c r="G31" s="477"/>
      <c r="H31" s="477"/>
      <c r="I31" s="477"/>
      <c r="J31" s="477"/>
      <c r="K31" s="477"/>
      <c r="L31" s="524"/>
    </row>
    <row r="32" spans="1:12" s="485" customFormat="1" ht="15.75" customHeight="1" x14ac:dyDescent="0.2">
      <c r="A32" s="2165" t="s">
        <v>1038</v>
      </c>
      <c r="B32" s="2166"/>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73" t="s">
        <v>392</v>
      </c>
      <c r="B44" s="2174"/>
      <c r="C44" s="1724">
        <f>SUM(C24:C43)</f>
        <v>36389</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67" t="s">
        <v>110</v>
      </c>
      <c r="B45" s="2168"/>
      <c r="C45" s="528"/>
      <c r="D45" s="528"/>
      <c r="E45" s="528"/>
      <c r="F45" s="528"/>
      <c r="G45" s="528"/>
      <c r="H45" s="528"/>
      <c r="I45" s="528"/>
      <c r="J45" s="528"/>
      <c r="K45" s="528"/>
      <c r="L45" s="347"/>
    </row>
    <row r="46" spans="1:12" s="485" customFormat="1" ht="15.75" customHeight="1" x14ac:dyDescent="0.2">
      <c r="A46" s="2175" t="s">
        <v>111</v>
      </c>
      <c r="B46" s="2176"/>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36389</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1899</v>
      </c>
      <c r="B52" s="483">
        <v>8160</v>
      </c>
      <c r="C52" s="477"/>
      <c r="D52" s="477"/>
      <c r="E52" s="477"/>
      <c r="F52" s="477"/>
      <c r="G52" s="477"/>
      <c r="H52" s="477"/>
      <c r="I52" s="477"/>
      <c r="J52" s="477"/>
      <c r="K52" s="1764">
        <f>D30</f>
        <v>0</v>
      </c>
      <c r="L52" s="524"/>
    </row>
    <row r="53" spans="1:12" s="485" customFormat="1" ht="26.25" x14ac:dyDescent="0.2">
      <c r="A53" s="1511" t="s">
        <v>1898</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49" t="s">
        <v>460</v>
      </c>
      <c r="B76" s="2150"/>
      <c r="C76" s="1724">
        <f t="shared" ref="C76:K76" si="7">SUM(C47:C75)</f>
        <v>0</v>
      </c>
      <c r="D76" s="1724">
        <f t="shared" si="7"/>
        <v>0</v>
      </c>
      <c r="E76" s="1724">
        <f t="shared" si="7"/>
        <v>0</v>
      </c>
      <c r="F76" s="1724">
        <f t="shared" si="7"/>
        <v>0</v>
      </c>
      <c r="G76" s="1724">
        <f t="shared" si="7"/>
        <v>0</v>
      </c>
      <c r="H76" s="1724">
        <f t="shared" si="7"/>
        <v>0</v>
      </c>
      <c r="I76" s="1724">
        <f t="shared" si="7"/>
        <v>36389</v>
      </c>
      <c r="J76" s="1724">
        <f t="shared" si="7"/>
        <v>0</v>
      </c>
      <c r="K76" s="1724">
        <f t="shared" si="7"/>
        <v>0</v>
      </c>
      <c r="L76" s="524"/>
    </row>
    <row r="77" spans="1:12" ht="14.25" thickTop="1" thickBot="1" x14ac:dyDescent="0.25">
      <c r="A77" s="2151" t="s">
        <v>1239</v>
      </c>
      <c r="B77" s="2152"/>
      <c r="C77" s="1724">
        <f t="shared" ref="C77:K77" si="8">C44-C76</f>
        <v>36389</v>
      </c>
      <c r="D77" s="1724">
        <f t="shared" si="8"/>
        <v>0</v>
      </c>
      <c r="E77" s="1724">
        <f t="shared" si="8"/>
        <v>0</v>
      </c>
      <c r="F77" s="1724">
        <f t="shared" si="8"/>
        <v>0</v>
      </c>
      <c r="G77" s="1724">
        <f t="shared" si="8"/>
        <v>0</v>
      </c>
      <c r="H77" s="1724">
        <f t="shared" si="8"/>
        <v>0</v>
      </c>
      <c r="I77" s="1724">
        <f t="shared" si="8"/>
        <v>-36389</v>
      </c>
      <c r="J77" s="1724">
        <f t="shared" si="8"/>
        <v>0</v>
      </c>
      <c r="K77" s="1724">
        <f t="shared" si="8"/>
        <v>0</v>
      </c>
      <c r="L77" s="347"/>
    </row>
    <row r="78" spans="1:12" ht="21.75" customHeight="1" thickTop="1" thickBot="1" x14ac:dyDescent="0.25">
      <c r="A78" s="2155" t="s">
        <v>618</v>
      </c>
      <c r="B78" s="2156"/>
      <c r="C78" s="1723">
        <f t="shared" ref="C78:K78" si="9">C20+C77</f>
        <v>738554</v>
      </c>
      <c r="D78" s="1723">
        <f t="shared" si="9"/>
        <v>169611</v>
      </c>
      <c r="E78" s="1723">
        <f t="shared" si="9"/>
        <v>-31796</v>
      </c>
      <c r="F78" s="1723">
        <f t="shared" si="9"/>
        <v>-46947</v>
      </c>
      <c r="G78" s="1723">
        <f t="shared" si="9"/>
        <v>51286</v>
      </c>
      <c r="H78" s="1723">
        <f t="shared" si="9"/>
        <v>229344</v>
      </c>
      <c r="I78" s="1723">
        <f t="shared" si="9"/>
        <v>0</v>
      </c>
      <c r="J78" s="1723">
        <f t="shared" si="9"/>
        <v>-227187</v>
      </c>
      <c r="K78" s="1723">
        <f t="shared" si="9"/>
        <v>0</v>
      </c>
      <c r="L78" s="533"/>
    </row>
    <row r="79" spans="1:12" ht="13.5" thickTop="1" x14ac:dyDescent="0.2">
      <c r="A79" s="1515" t="s">
        <v>2072</v>
      </c>
      <c r="B79" s="534"/>
      <c r="C79" s="478">
        <v>1191548</v>
      </c>
      <c r="D79" s="535">
        <v>2087828</v>
      </c>
      <c r="E79" s="535">
        <v>43121</v>
      </c>
      <c r="F79" s="535">
        <v>904188</v>
      </c>
      <c r="G79" s="535">
        <v>302820</v>
      </c>
      <c r="H79" s="535"/>
      <c r="I79" s="535"/>
      <c r="J79" s="535">
        <v>608275</v>
      </c>
      <c r="K79" s="535">
        <v>2884</v>
      </c>
      <c r="L79" s="347"/>
    </row>
    <row r="80" spans="1:12" x14ac:dyDescent="0.2">
      <c r="A80" s="2161" t="s">
        <v>1897</v>
      </c>
      <c r="B80" s="2162"/>
      <c r="C80" s="467"/>
      <c r="D80" s="467"/>
      <c r="E80" s="467"/>
      <c r="F80" s="467"/>
      <c r="G80" s="467"/>
      <c r="H80" s="467"/>
      <c r="I80" s="467"/>
      <c r="J80" s="467"/>
      <c r="K80" s="467"/>
      <c r="L80" s="347"/>
    </row>
    <row r="81" spans="1:12" ht="13.5" thickBot="1" x14ac:dyDescent="0.25">
      <c r="A81" s="2153" t="s">
        <v>2073</v>
      </c>
      <c r="B81" s="2154"/>
      <c r="C81" s="1709">
        <f>(SUM(C78:C80))</f>
        <v>1930102</v>
      </c>
      <c r="D81" s="1709">
        <f>SUM(D78:D80)</f>
        <v>2257439</v>
      </c>
      <c r="E81" s="1709">
        <f t="shared" ref="E81:K81" si="10">SUM(E78:E80)</f>
        <v>11325</v>
      </c>
      <c r="F81" s="1709">
        <f t="shared" si="10"/>
        <v>857241</v>
      </c>
      <c r="G81" s="1709">
        <f t="shared" si="10"/>
        <v>354106</v>
      </c>
      <c r="H81" s="1709">
        <f t="shared" si="10"/>
        <v>229344</v>
      </c>
      <c r="I81" s="1709">
        <f t="shared" si="10"/>
        <v>0</v>
      </c>
      <c r="J81" s="1709">
        <f t="shared" si="10"/>
        <v>381088</v>
      </c>
      <c r="K81" s="1709">
        <f t="shared" si="10"/>
        <v>2884</v>
      </c>
      <c r="L81" s="347"/>
    </row>
    <row r="82" spans="1:12" ht="0.75" customHeight="1" thickTop="1" thickBot="1" x14ac:dyDescent="0.25">
      <c r="A82" s="536" t="s">
        <v>361</v>
      </c>
      <c r="B82" s="537"/>
      <c r="C82" s="538">
        <f>(C81-C79)</f>
        <v>738554</v>
      </c>
      <c r="D82" s="538">
        <f t="shared" ref="D82:K82" si="11">(D81-D79)</f>
        <v>169611</v>
      </c>
      <c r="E82" s="538">
        <f t="shared" si="11"/>
        <v>-31796</v>
      </c>
      <c r="F82" s="538">
        <f t="shared" si="11"/>
        <v>-46947</v>
      </c>
      <c r="G82" s="538">
        <f t="shared" si="11"/>
        <v>51286</v>
      </c>
      <c r="H82" s="538">
        <f t="shared" si="11"/>
        <v>229344</v>
      </c>
      <c r="I82" s="538">
        <f t="shared" si="11"/>
        <v>0</v>
      </c>
      <c r="J82" s="538">
        <f t="shared" si="11"/>
        <v>-227187</v>
      </c>
      <c r="K82" s="538">
        <f t="shared" si="11"/>
        <v>0</v>
      </c>
    </row>
    <row r="83" spans="1:12" ht="14.25" hidden="1" thickTop="1" thickBot="1" x14ac:dyDescent="0.25">
      <c r="A83" s="539" t="s">
        <v>362</v>
      </c>
      <c r="B83" s="464"/>
      <c r="C83" s="540">
        <f>C82/C81</f>
        <v>0.38265024335501441</v>
      </c>
      <c r="D83" s="540">
        <f t="shared" ref="D83:K83" si="12">D82/D81</f>
        <v>7.5134256119434459E-2</v>
      </c>
      <c r="E83" s="540">
        <f t="shared" si="12"/>
        <v>-2.8075938189845475</v>
      </c>
      <c r="F83" s="540">
        <f t="shared" si="12"/>
        <v>-5.4765229381235847E-2</v>
      </c>
      <c r="G83" s="540">
        <f t="shared" si="12"/>
        <v>0.14483233833936732</v>
      </c>
      <c r="H83" s="540">
        <f t="shared" si="12"/>
        <v>1</v>
      </c>
      <c r="I83" s="540" t="e">
        <f t="shared" si="12"/>
        <v>#DIV/0!</v>
      </c>
      <c r="J83" s="540">
        <f t="shared" si="12"/>
        <v>-0.59615364430262829</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the financial statements and auditors' reports.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7" t="s">
        <v>1904</v>
      </c>
      <c r="B1" s="452"/>
      <c r="C1" s="453" t="s">
        <v>445</v>
      </c>
      <c r="D1" s="453" t="s">
        <v>446</v>
      </c>
      <c r="E1" s="453" t="s">
        <v>447</v>
      </c>
      <c r="F1" s="453" t="s">
        <v>448</v>
      </c>
      <c r="G1" s="453" t="s">
        <v>449</v>
      </c>
      <c r="H1" s="453" t="s">
        <v>450</v>
      </c>
      <c r="I1" s="453" t="s">
        <v>451</v>
      </c>
      <c r="J1" s="453" t="s">
        <v>452</v>
      </c>
      <c r="K1" s="453" t="s">
        <v>780</v>
      </c>
    </row>
    <row r="2" spans="1:12" ht="36" x14ac:dyDescent="0.2">
      <c r="A2" s="215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1339120</v>
      </c>
      <c r="D5" s="481">
        <v>363891</v>
      </c>
      <c r="E5" s="466">
        <v>508029</v>
      </c>
      <c r="F5" s="548">
        <v>145557</v>
      </c>
      <c r="G5" s="466">
        <v>197608</v>
      </c>
      <c r="H5" s="466"/>
      <c r="I5" s="466">
        <v>36389</v>
      </c>
      <c r="J5" s="467">
        <v>59467</v>
      </c>
      <c r="K5" s="466"/>
    </row>
    <row r="6" spans="1:12" ht="15" x14ac:dyDescent="0.2">
      <c r="A6" s="463" t="s">
        <v>1761</v>
      </c>
      <c r="B6" s="470">
        <v>1130</v>
      </c>
      <c r="C6" s="466">
        <v>36389</v>
      </c>
      <c r="D6" s="466"/>
      <c r="E6" s="475"/>
      <c r="F6" s="475"/>
      <c r="G6" s="468"/>
      <c r="H6" s="468"/>
      <c r="I6" s="468"/>
      <c r="J6" s="468"/>
      <c r="K6" s="468"/>
    </row>
    <row r="7" spans="1:12" x14ac:dyDescent="0.2">
      <c r="A7" s="463" t="s">
        <v>112</v>
      </c>
      <c r="B7" s="549">
        <v>1140</v>
      </c>
      <c r="C7" s="466">
        <v>29111</v>
      </c>
      <c r="D7" s="466"/>
      <c r="E7" s="468"/>
      <c r="F7" s="467"/>
      <c r="G7" s="467"/>
      <c r="H7" s="467"/>
      <c r="I7" s="468"/>
      <c r="J7" s="468"/>
      <c r="K7" s="468"/>
    </row>
    <row r="8" spans="1:12" x14ac:dyDescent="0.2">
      <c r="A8" s="463" t="s">
        <v>433</v>
      </c>
      <c r="B8" s="470">
        <v>1150</v>
      </c>
      <c r="C8" s="475"/>
      <c r="D8" s="475"/>
      <c r="E8" s="477"/>
      <c r="F8" s="477"/>
      <c r="G8" s="481">
        <v>197608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1404620</v>
      </c>
      <c r="D12" s="1728">
        <f t="shared" si="0"/>
        <v>363891</v>
      </c>
      <c r="E12" s="1728">
        <f t="shared" si="0"/>
        <v>508029</v>
      </c>
      <c r="F12" s="1728">
        <f t="shared" si="0"/>
        <v>145557</v>
      </c>
      <c r="G12" s="1728">
        <f t="shared" si="0"/>
        <v>395216</v>
      </c>
      <c r="H12" s="1728">
        <f t="shared" si="0"/>
        <v>0</v>
      </c>
      <c r="I12" s="1728">
        <f t="shared" si="0"/>
        <v>36389</v>
      </c>
      <c r="J12" s="1728">
        <f t="shared" si="0"/>
        <v>59467</v>
      </c>
      <c r="K12" s="1709">
        <f t="shared" si="0"/>
        <v>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254198</v>
      </c>
      <c r="E16" s="466"/>
      <c r="F16" s="466"/>
      <c r="G16" s="466">
        <v>5000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0</v>
      </c>
      <c r="D18" s="1731">
        <f t="shared" ref="D18:K18" si="1">SUM(D14:D17)</f>
        <v>254198</v>
      </c>
      <c r="E18" s="1731">
        <f t="shared" si="1"/>
        <v>0</v>
      </c>
      <c r="F18" s="1731">
        <f t="shared" si="1"/>
        <v>0</v>
      </c>
      <c r="G18" s="1731">
        <f t="shared" si="1"/>
        <v>5000</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43752</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43752</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15946</v>
      </c>
      <c r="D65" s="466">
        <v>25465</v>
      </c>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15946</v>
      </c>
      <c r="D67" s="1709">
        <f t="shared" ref="D67:K67" si="2">SUM(D65:D66)</f>
        <v>25465</v>
      </c>
      <c r="E67" s="1709">
        <f t="shared" si="2"/>
        <v>0</v>
      </c>
      <c r="F67" s="1709">
        <f t="shared" si="2"/>
        <v>0</v>
      </c>
      <c r="G67" s="1709">
        <f t="shared" si="2"/>
        <v>0</v>
      </c>
      <c r="H67" s="1709">
        <f t="shared" si="2"/>
        <v>0</v>
      </c>
      <c r="I67" s="1709">
        <f t="shared" si="2"/>
        <v>0</v>
      </c>
      <c r="J67" s="1709">
        <f t="shared" si="2"/>
        <v>0</v>
      </c>
      <c r="K67" s="1709">
        <f t="shared" si="2"/>
        <v>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47678</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v>40000</v>
      </c>
      <c r="D74" s="468"/>
      <c r="E74" s="468"/>
      <c r="F74" s="468"/>
      <c r="G74" s="468"/>
      <c r="H74" s="468"/>
      <c r="I74" s="468"/>
      <c r="J74" s="468"/>
      <c r="K74" s="468"/>
    </row>
    <row r="75" spans="1:11" ht="12.75" customHeight="1" thickBot="1" x14ac:dyDescent="0.25">
      <c r="A75" s="1729" t="s">
        <v>569</v>
      </c>
      <c r="B75" s="1730"/>
      <c r="C75" s="1709">
        <f>SUM(C69:C74)</f>
        <v>87678</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7494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22828</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6200</v>
      </c>
      <c r="D81" s="466"/>
      <c r="E81" s="468"/>
      <c r="F81" s="468"/>
      <c r="G81" s="468"/>
      <c r="H81" s="468"/>
      <c r="I81" s="468"/>
      <c r="J81" s="468"/>
      <c r="K81" s="468"/>
    </row>
    <row r="82" spans="1:11" ht="12.75" customHeight="1" thickBot="1" x14ac:dyDescent="0.25">
      <c r="A82" s="1729" t="s">
        <v>259</v>
      </c>
      <c r="B82" s="1730"/>
      <c r="C82" s="1728">
        <f>SUM(C77:C81)</f>
        <v>36522</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0</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v>21600</v>
      </c>
      <c r="E95" s="521"/>
      <c r="F95" s="521"/>
      <c r="G95" s="521"/>
      <c r="H95" s="521"/>
      <c r="I95" s="521"/>
      <c r="J95" s="521"/>
      <c r="K95" s="521"/>
    </row>
    <row r="96" spans="1:11" ht="12.75" customHeight="1" x14ac:dyDescent="0.2">
      <c r="A96" s="463" t="s">
        <v>409</v>
      </c>
      <c r="B96" s="470">
        <v>1920</v>
      </c>
      <c r="C96" s="551">
        <v>18455</v>
      </c>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v>103151</v>
      </c>
      <c r="D98" s="466">
        <v>6702</v>
      </c>
      <c r="E98" s="512"/>
      <c r="F98" s="466">
        <v>11639</v>
      </c>
      <c r="G98" s="512"/>
      <c r="H98" s="512"/>
      <c r="I98" s="510"/>
      <c r="J98" s="512"/>
      <c r="K98" s="512"/>
    </row>
    <row r="99" spans="1:12" ht="12.75" customHeight="1" x14ac:dyDescent="0.2">
      <c r="A99" s="463" t="s">
        <v>875</v>
      </c>
      <c r="B99" s="470">
        <v>1950</v>
      </c>
      <c r="C99" s="489">
        <v>40761</v>
      </c>
      <c r="D99" s="466"/>
      <c r="E99" s="466">
        <v>10000</v>
      </c>
      <c r="F99" s="466"/>
      <c r="G99" s="466"/>
      <c r="H99" s="466"/>
      <c r="I99" s="468"/>
      <c r="J99" s="467"/>
      <c r="K99" s="466"/>
    </row>
    <row r="100" spans="1:12" ht="12.75" customHeight="1" x14ac:dyDescent="0.2">
      <c r="A100" s="463" t="s">
        <v>263</v>
      </c>
      <c r="B100" s="470">
        <v>1960</v>
      </c>
      <c r="C100" s="489">
        <v>5049</v>
      </c>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361362</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13791</v>
      </c>
      <c r="D107" s="466">
        <v>4508</v>
      </c>
      <c r="E107" s="466"/>
      <c r="F107" s="466"/>
      <c r="G107" s="466">
        <v>3427</v>
      </c>
      <c r="H107" s="466">
        <v>11500</v>
      </c>
      <c r="I107" s="466"/>
      <c r="J107" s="467"/>
      <c r="K107" s="466"/>
    </row>
    <row r="108" spans="1:12" ht="12.75" customHeight="1" thickBot="1" x14ac:dyDescent="0.25">
      <c r="A108" s="1729" t="s">
        <v>508</v>
      </c>
      <c r="B108" s="1733"/>
      <c r="C108" s="1728">
        <f>SUM(C95:C107)</f>
        <v>181207</v>
      </c>
      <c r="D108" s="1728">
        <f t="shared" ref="D108:K108" si="3">SUM(D95:D107)</f>
        <v>32810</v>
      </c>
      <c r="E108" s="1728">
        <f t="shared" si="3"/>
        <v>10000</v>
      </c>
      <c r="F108" s="1728">
        <f t="shared" si="3"/>
        <v>11639</v>
      </c>
      <c r="G108" s="1728">
        <f t="shared" si="3"/>
        <v>3427</v>
      </c>
      <c r="H108" s="1728">
        <f t="shared" si="3"/>
        <v>372862</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1769725</v>
      </c>
      <c r="D109" s="1736">
        <f t="shared" si="4"/>
        <v>676364</v>
      </c>
      <c r="E109" s="1736">
        <f t="shared" si="4"/>
        <v>518029</v>
      </c>
      <c r="F109" s="1736">
        <f t="shared" si="4"/>
        <v>157196</v>
      </c>
      <c r="G109" s="1736">
        <f t="shared" si="4"/>
        <v>403643</v>
      </c>
      <c r="H109" s="1736">
        <f t="shared" si="4"/>
        <v>372862</v>
      </c>
      <c r="I109" s="1736">
        <f t="shared" si="4"/>
        <v>36389</v>
      </c>
      <c r="J109" s="1736">
        <f t="shared" si="4"/>
        <v>59467</v>
      </c>
      <c r="K109" s="1723">
        <f t="shared" si="4"/>
        <v>0</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6496998</v>
      </c>
      <c r="D117" s="481">
        <v>649091</v>
      </c>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7" t="s">
        <v>1903</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6496998</v>
      </c>
      <c r="D121" s="1728">
        <f t="shared" si="5"/>
        <v>649091</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35573</v>
      </c>
      <c r="D124" s="561"/>
      <c r="E124" s="468"/>
      <c r="F124" s="548"/>
      <c r="G124" s="468"/>
      <c r="H124" s="468"/>
      <c r="I124" s="468"/>
      <c r="J124" s="468"/>
      <c r="K124" s="468"/>
    </row>
    <row r="125" spans="1:11" ht="12.75" customHeight="1" x14ac:dyDescent="0.2">
      <c r="A125" s="463" t="s">
        <v>1521</v>
      </c>
      <c r="B125" s="562">
        <v>3105</v>
      </c>
      <c r="C125" s="466">
        <v>91482</v>
      </c>
      <c r="D125" s="561"/>
      <c r="E125" s="468"/>
      <c r="F125" s="466"/>
      <c r="G125" s="468"/>
      <c r="H125" s="468"/>
      <c r="I125" s="468"/>
      <c r="J125" s="468"/>
      <c r="K125" s="468"/>
    </row>
    <row r="126" spans="1:11" ht="12.75" customHeight="1" x14ac:dyDescent="0.2">
      <c r="A126" s="463" t="s">
        <v>922</v>
      </c>
      <c r="B126" s="562">
        <v>3110</v>
      </c>
      <c r="C126" s="551">
        <v>99731</v>
      </c>
      <c r="D126" s="466"/>
      <c r="E126" s="468"/>
      <c r="F126" s="466"/>
      <c r="G126" s="468"/>
      <c r="H126" s="468"/>
      <c r="I126" s="468"/>
      <c r="J126" s="468"/>
      <c r="K126" s="468"/>
    </row>
    <row r="127" spans="1:11" ht="12.75" customHeight="1" x14ac:dyDescent="0.2">
      <c r="A127" s="463" t="s">
        <v>107</v>
      </c>
      <c r="B127" s="562">
        <v>3120</v>
      </c>
      <c r="C127" s="466">
        <v>13571</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240357</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2115</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2115</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3998</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13370</v>
      </c>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97167</v>
      </c>
      <c r="G151" s="467"/>
      <c r="H151" s="468"/>
      <c r="I151" s="468"/>
      <c r="J151" s="468"/>
      <c r="K151" s="468"/>
    </row>
    <row r="152" spans="1:11" ht="12.75" customHeight="1" x14ac:dyDescent="0.2">
      <c r="A152" s="463" t="s">
        <v>1117</v>
      </c>
      <c r="B152" s="562">
        <v>3510</v>
      </c>
      <c r="C152" s="551"/>
      <c r="D152" s="466"/>
      <c r="E152" s="561"/>
      <c r="F152" s="466">
        <v>29706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126873</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v>379479</v>
      </c>
      <c r="D158" s="578"/>
      <c r="E158" s="561"/>
      <c r="F158" s="576"/>
      <c r="G158" s="576"/>
      <c r="H158" s="468"/>
      <c r="I158" s="468"/>
      <c r="J158" s="468"/>
      <c r="K158" s="468"/>
    </row>
    <row r="159" spans="1:11" ht="12.75" customHeight="1" thickTop="1" thickBot="1" x14ac:dyDescent="0.25">
      <c r="A159" s="1521" t="s">
        <v>39</v>
      </c>
      <c r="B159" s="574">
        <v>3715</v>
      </c>
      <c r="C159" s="576">
        <v>1500</v>
      </c>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69283</v>
      </c>
      <c r="D171" s="580"/>
      <c r="E171" s="580"/>
      <c r="F171" s="580"/>
      <c r="G171" s="581"/>
      <c r="H171" s="582"/>
      <c r="I171" s="581"/>
      <c r="J171" s="581"/>
      <c r="K171" s="582"/>
    </row>
    <row r="172" spans="1:11" ht="12.75" customHeight="1" thickTop="1" thickBot="1" x14ac:dyDescent="0.25">
      <c r="A172" s="2177" t="s">
        <v>418</v>
      </c>
      <c r="B172" s="2178"/>
      <c r="C172" s="1743">
        <f t="shared" ref="C172:K172" si="6">SUM(C131,C140,C144,C145:C149,C154,C155:C170,C171)</f>
        <v>710102</v>
      </c>
      <c r="D172" s="1743">
        <f t="shared" si="6"/>
        <v>0</v>
      </c>
      <c r="E172" s="1743">
        <f t="shared" si="6"/>
        <v>0</v>
      </c>
      <c r="F172" s="1743">
        <f t="shared" si="6"/>
        <v>126873</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7207100</v>
      </c>
      <c r="D173" s="1736">
        <f>SUM(D121,D172)</f>
        <v>649091</v>
      </c>
      <c r="E173" s="1736">
        <f>SUM(E121,E172)</f>
        <v>0</v>
      </c>
      <c r="F173" s="1736">
        <f t="shared" ref="F173:K173" si="7">SUM(F121,F172)</f>
        <v>126873</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9" t="s">
        <v>1572</v>
      </c>
      <c r="B175" s="2180"/>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3" t="s">
        <v>1764</v>
      </c>
      <c r="B178" s="2184"/>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87" t="s">
        <v>1763</v>
      </c>
      <c r="B179" s="2188"/>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5" t="s">
        <v>818</v>
      </c>
      <c r="B184" s="2186"/>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81" t="s">
        <v>1905</v>
      </c>
      <c r="B185" s="2182"/>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216280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42583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258863</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387458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387458</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16238</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16238</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123310</v>
      </c>
      <c r="D220" s="466"/>
      <c r="E220" s="468"/>
      <c r="F220" s="466"/>
      <c r="G220" s="466"/>
      <c r="H220" s="468"/>
      <c r="I220" s="468"/>
      <c r="J220" s="468"/>
      <c r="K220" s="468"/>
    </row>
    <row r="221" spans="1:11" ht="12.75" customHeight="1" x14ac:dyDescent="0.2">
      <c r="A221" s="463" t="s">
        <v>1114</v>
      </c>
      <c r="B221" s="470">
        <v>4625</v>
      </c>
      <c r="C221" s="551">
        <v>4792</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128102</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71908</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43276</v>
      </c>
      <c r="D270" s="576"/>
      <c r="E270" s="468"/>
      <c r="F270" s="576"/>
      <c r="G270" s="576"/>
      <c r="H270" s="468"/>
      <c r="I270" s="468"/>
      <c r="J270" s="468"/>
      <c r="K270" s="468"/>
    </row>
    <row r="271" spans="1:11" ht="12.75" customHeight="1" thickTop="1" thickBot="1" x14ac:dyDescent="0.25">
      <c r="A271" s="463" t="s">
        <v>395</v>
      </c>
      <c r="B271" s="470">
        <v>4992</v>
      </c>
      <c r="C271" s="575">
        <v>32202</v>
      </c>
      <c r="D271" s="576"/>
      <c r="E271" s="468"/>
      <c r="F271" s="576"/>
      <c r="G271" s="576"/>
      <c r="H271" s="468"/>
      <c r="I271" s="468"/>
      <c r="J271" s="468"/>
      <c r="K271" s="468"/>
    </row>
    <row r="272" spans="1:11" s="594" customFormat="1" ht="12.75" customHeight="1" thickTop="1" thickBot="1" x14ac:dyDescent="0.25">
      <c r="A272" s="563" t="s">
        <v>77</v>
      </c>
      <c r="B272" s="557">
        <v>4999</v>
      </c>
      <c r="C272" s="575">
        <v>13910</v>
      </c>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951957</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951957</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9928782</v>
      </c>
      <c r="D275" s="1736">
        <f t="shared" si="12"/>
        <v>1325455</v>
      </c>
      <c r="E275" s="1736">
        <f t="shared" si="12"/>
        <v>518029</v>
      </c>
      <c r="F275" s="1736">
        <f t="shared" si="12"/>
        <v>284069</v>
      </c>
      <c r="G275" s="1736">
        <f t="shared" si="12"/>
        <v>403643</v>
      </c>
      <c r="H275" s="1736">
        <f t="shared" si="12"/>
        <v>372862</v>
      </c>
      <c r="I275" s="1736">
        <f t="shared" si="12"/>
        <v>36389</v>
      </c>
      <c r="J275" s="1736">
        <f t="shared" si="12"/>
        <v>59467</v>
      </c>
      <c r="K275" s="1723">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the financial statements and auditors' reports.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P27" sqref="P2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7"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7" t="s">
        <v>315</v>
      </c>
      <c r="B3" s="2198"/>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2556239</v>
      </c>
      <c r="D5" s="466">
        <v>575111</v>
      </c>
      <c r="E5" s="466">
        <v>1975</v>
      </c>
      <c r="F5" s="466">
        <v>224719</v>
      </c>
      <c r="G5" s="466"/>
      <c r="H5" s="466">
        <v>1139</v>
      </c>
      <c r="I5" s="467"/>
      <c r="J5" s="467"/>
      <c r="K5" s="1692">
        <f>SUM(C5:J5)</f>
        <v>3359183</v>
      </c>
      <c r="L5" s="466">
        <v>3359123</v>
      </c>
    </row>
    <row r="6" spans="1:14" x14ac:dyDescent="0.2">
      <c r="A6" s="1525" t="s">
        <v>1508</v>
      </c>
      <c r="B6" s="615" t="s">
        <v>1506</v>
      </c>
      <c r="C6" s="477"/>
      <c r="D6" s="477"/>
      <c r="E6" s="466"/>
      <c r="F6" s="477"/>
      <c r="G6" s="477"/>
      <c r="H6" s="477"/>
      <c r="I6" s="477"/>
      <c r="J6" s="477"/>
      <c r="K6" s="1692">
        <f>SUM(C6,E6)</f>
        <v>0</v>
      </c>
      <c r="L6" s="466">
        <v>1800</v>
      </c>
    </row>
    <row r="7" spans="1:14" x14ac:dyDescent="0.2">
      <c r="A7" s="1525" t="s">
        <v>165</v>
      </c>
      <c r="B7" s="615" t="s">
        <v>1024</v>
      </c>
      <c r="C7" s="467">
        <v>15235</v>
      </c>
      <c r="D7" s="467">
        <v>931</v>
      </c>
      <c r="E7" s="467">
        <v>3593</v>
      </c>
      <c r="F7" s="467">
        <v>19274</v>
      </c>
      <c r="G7" s="467">
        <v>17023</v>
      </c>
      <c r="H7" s="467"/>
      <c r="I7" s="467"/>
      <c r="J7" s="467"/>
      <c r="K7" s="1692">
        <f t="shared" ref="K7:K32" si="0">SUM(C7:J7)</f>
        <v>56056</v>
      </c>
      <c r="L7" s="466">
        <v>18000</v>
      </c>
    </row>
    <row r="8" spans="1:14" x14ac:dyDescent="0.2">
      <c r="A8" s="1525" t="s">
        <v>166</v>
      </c>
      <c r="B8" s="615">
        <v>1200</v>
      </c>
      <c r="C8" s="466">
        <v>991978</v>
      </c>
      <c r="D8" s="466">
        <v>225277</v>
      </c>
      <c r="E8" s="466">
        <v>1461</v>
      </c>
      <c r="F8" s="466">
        <v>1841</v>
      </c>
      <c r="G8" s="466"/>
      <c r="H8" s="466"/>
      <c r="I8" s="467"/>
      <c r="J8" s="467"/>
      <c r="K8" s="1692">
        <f t="shared" si="0"/>
        <v>1220557</v>
      </c>
      <c r="L8" s="466">
        <v>1325042</v>
      </c>
    </row>
    <row r="9" spans="1:14" x14ac:dyDescent="0.2">
      <c r="A9" s="1525" t="s">
        <v>745</v>
      </c>
      <c r="B9" s="615" t="s">
        <v>1025</v>
      </c>
      <c r="C9" s="467">
        <v>35138</v>
      </c>
      <c r="D9" s="467">
        <v>10138</v>
      </c>
      <c r="E9" s="467"/>
      <c r="F9" s="467">
        <v>164</v>
      </c>
      <c r="G9" s="467"/>
      <c r="H9" s="467"/>
      <c r="I9" s="467"/>
      <c r="J9" s="467"/>
      <c r="K9" s="1692">
        <f t="shared" si="0"/>
        <v>45440</v>
      </c>
      <c r="L9" s="466">
        <v>0</v>
      </c>
    </row>
    <row r="10" spans="1:14" x14ac:dyDescent="0.2">
      <c r="A10" s="1525" t="s">
        <v>746</v>
      </c>
      <c r="B10" s="615">
        <v>1250</v>
      </c>
      <c r="C10" s="466">
        <v>257592</v>
      </c>
      <c r="D10" s="466">
        <v>55848</v>
      </c>
      <c r="E10" s="466">
        <v>29279</v>
      </c>
      <c r="F10" s="466">
        <v>100949</v>
      </c>
      <c r="G10" s="466"/>
      <c r="H10" s="466"/>
      <c r="I10" s="467"/>
      <c r="J10" s="467"/>
      <c r="K10" s="1692">
        <f t="shared" si="0"/>
        <v>443668</v>
      </c>
      <c r="L10" s="466">
        <v>301880</v>
      </c>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c r="D13" s="466"/>
      <c r="E13" s="466"/>
      <c r="F13" s="466"/>
      <c r="G13" s="466"/>
      <c r="H13" s="466"/>
      <c r="I13" s="467"/>
      <c r="J13" s="467"/>
      <c r="K13" s="1692">
        <f t="shared" si="0"/>
        <v>0</v>
      </c>
      <c r="L13" s="466"/>
    </row>
    <row r="14" spans="1:14" x14ac:dyDescent="0.2">
      <c r="A14" s="1525" t="s">
        <v>1020</v>
      </c>
      <c r="B14" s="615">
        <v>1500</v>
      </c>
      <c r="C14" s="466">
        <v>35006</v>
      </c>
      <c r="D14" s="466">
        <v>3468</v>
      </c>
      <c r="E14" s="466">
        <v>7044</v>
      </c>
      <c r="F14" s="466">
        <v>13526</v>
      </c>
      <c r="G14" s="466"/>
      <c r="H14" s="466">
        <v>1035</v>
      </c>
      <c r="I14" s="467"/>
      <c r="J14" s="467"/>
      <c r="K14" s="1692">
        <f t="shared" si="0"/>
        <v>60079</v>
      </c>
      <c r="L14" s="466">
        <v>70500</v>
      </c>
    </row>
    <row r="15" spans="1:14" x14ac:dyDescent="0.2">
      <c r="A15" s="1525" t="s">
        <v>1021</v>
      </c>
      <c r="B15" s="615">
        <v>1600</v>
      </c>
      <c r="C15" s="466"/>
      <c r="D15" s="466"/>
      <c r="E15" s="466"/>
      <c r="F15" s="466"/>
      <c r="G15" s="466"/>
      <c r="H15" s="466"/>
      <c r="I15" s="467"/>
      <c r="J15" s="467"/>
      <c r="K15" s="1692">
        <f t="shared" si="0"/>
        <v>0</v>
      </c>
      <c r="L15" s="466"/>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c r="D17" s="467"/>
      <c r="E17" s="467"/>
      <c r="F17" s="467"/>
      <c r="G17" s="467"/>
      <c r="H17" s="467"/>
      <c r="I17" s="467"/>
      <c r="J17" s="467"/>
      <c r="K17" s="1692">
        <f t="shared" si="0"/>
        <v>0</v>
      </c>
      <c r="L17" s="466"/>
    </row>
    <row r="18" spans="1:12" x14ac:dyDescent="0.2">
      <c r="A18" s="1525" t="s">
        <v>1148</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c r="I22" s="617"/>
      <c r="J22" s="477"/>
      <c r="K22" s="1692">
        <f t="shared" si="0"/>
        <v>0</v>
      </c>
      <c r="L22" s="471"/>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3891188</v>
      </c>
      <c r="D33" s="1691">
        <f t="shared" ref="D33:L33" si="1">SUM(D5:D32)</f>
        <v>870773</v>
      </c>
      <c r="E33" s="1691">
        <f t="shared" si="1"/>
        <v>43352</v>
      </c>
      <c r="F33" s="1691">
        <f t="shared" si="1"/>
        <v>360473</v>
      </c>
      <c r="G33" s="1691">
        <f t="shared" si="1"/>
        <v>17023</v>
      </c>
      <c r="H33" s="1691">
        <f t="shared" si="1"/>
        <v>2174</v>
      </c>
      <c r="I33" s="1691">
        <f t="shared" si="1"/>
        <v>0</v>
      </c>
      <c r="J33" s="1691">
        <f t="shared" si="1"/>
        <v>0</v>
      </c>
      <c r="K33" s="1691">
        <f t="shared" si="1"/>
        <v>5184983</v>
      </c>
      <c r="L33" s="1691">
        <f t="shared" si="1"/>
        <v>5076345</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64976</v>
      </c>
      <c r="D36" s="481">
        <v>13066</v>
      </c>
      <c r="E36" s="481">
        <v>164</v>
      </c>
      <c r="F36" s="481">
        <v>201</v>
      </c>
      <c r="G36" s="481"/>
      <c r="H36" s="481"/>
      <c r="I36" s="467"/>
      <c r="J36" s="467"/>
      <c r="K36" s="1692">
        <f t="shared" ref="K36:K41" si="2">SUM(C36:J36)</f>
        <v>78407</v>
      </c>
      <c r="L36" s="466">
        <v>81707</v>
      </c>
    </row>
    <row r="37" spans="1:14" x14ac:dyDescent="0.2">
      <c r="A37" s="1525" t="s">
        <v>1151</v>
      </c>
      <c r="B37" s="615">
        <v>2120</v>
      </c>
      <c r="C37" s="466">
        <v>57894</v>
      </c>
      <c r="D37" s="466">
        <v>11672</v>
      </c>
      <c r="E37" s="466"/>
      <c r="F37" s="466">
        <v>209</v>
      </c>
      <c r="G37" s="466"/>
      <c r="H37" s="466"/>
      <c r="I37" s="467"/>
      <c r="J37" s="467"/>
      <c r="K37" s="1692">
        <f t="shared" si="2"/>
        <v>69775</v>
      </c>
      <c r="L37" s="466">
        <v>71291</v>
      </c>
    </row>
    <row r="38" spans="1:14" x14ac:dyDescent="0.2">
      <c r="A38" s="1525" t="s">
        <v>207</v>
      </c>
      <c r="B38" s="615">
        <v>2130</v>
      </c>
      <c r="C38" s="466">
        <v>54445</v>
      </c>
      <c r="D38" s="466">
        <v>12406</v>
      </c>
      <c r="E38" s="466">
        <v>4460</v>
      </c>
      <c r="F38" s="466">
        <v>1979</v>
      </c>
      <c r="G38" s="466">
        <v>1854</v>
      </c>
      <c r="H38" s="466"/>
      <c r="I38" s="467"/>
      <c r="J38" s="467"/>
      <c r="K38" s="1692">
        <f t="shared" si="2"/>
        <v>75144</v>
      </c>
      <c r="L38" s="466">
        <v>75717</v>
      </c>
    </row>
    <row r="39" spans="1:14" x14ac:dyDescent="0.2">
      <c r="A39" s="1525" t="s">
        <v>208</v>
      </c>
      <c r="B39" s="615">
        <v>2140</v>
      </c>
      <c r="C39" s="466">
        <v>89110</v>
      </c>
      <c r="D39" s="466">
        <v>22939</v>
      </c>
      <c r="E39" s="466">
        <v>1730</v>
      </c>
      <c r="F39" s="466">
        <v>3365</v>
      </c>
      <c r="G39" s="466"/>
      <c r="H39" s="466"/>
      <c r="I39" s="467"/>
      <c r="J39" s="467"/>
      <c r="K39" s="1692">
        <f t="shared" si="2"/>
        <v>117144</v>
      </c>
      <c r="L39" s="466">
        <v>121436</v>
      </c>
    </row>
    <row r="40" spans="1:14" x14ac:dyDescent="0.2">
      <c r="A40" s="1525" t="s">
        <v>209</v>
      </c>
      <c r="B40" s="615">
        <v>2150</v>
      </c>
      <c r="C40" s="466"/>
      <c r="D40" s="466"/>
      <c r="E40" s="466"/>
      <c r="F40" s="466"/>
      <c r="G40" s="466"/>
      <c r="H40" s="466"/>
      <c r="I40" s="467"/>
      <c r="J40" s="467"/>
      <c r="K40" s="1692">
        <f t="shared" si="2"/>
        <v>0</v>
      </c>
      <c r="L40" s="466"/>
    </row>
    <row r="41" spans="1:14" x14ac:dyDescent="0.2">
      <c r="A41" s="1525"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266425</v>
      </c>
      <c r="D42" s="1691">
        <f t="shared" ref="D42:L42" si="3">SUM(D36:D41)</f>
        <v>60083</v>
      </c>
      <c r="E42" s="1691">
        <f t="shared" si="3"/>
        <v>6354</v>
      </c>
      <c r="F42" s="1691">
        <f t="shared" si="3"/>
        <v>5754</v>
      </c>
      <c r="G42" s="1691">
        <f t="shared" si="3"/>
        <v>1854</v>
      </c>
      <c r="H42" s="1691">
        <f t="shared" si="3"/>
        <v>0</v>
      </c>
      <c r="I42" s="1691">
        <f t="shared" si="3"/>
        <v>0</v>
      </c>
      <c r="J42" s="1691">
        <f t="shared" si="3"/>
        <v>0</v>
      </c>
      <c r="K42" s="1691">
        <f t="shared" si="3"/>
        <v>340470</v>
      </c>
      <c r="L42" s="1691">
        <f t="shared" si="3"/>
        <v>350151</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112116</v>
      </c>
      <c r="D44" s="481">
        <v>16308</v>
      </c>
      <c r="E44" s="481">
        <v>35865</v>
      </c>
      <c r="F44" s="481"/>
      <c r="G44" s="481"/>
      <c r="H44" s="481"/>
      <c r="I44" s="467"/>
      <c r="J44" s="467"/>
      <c r="K44" s="1693">
        <f>SUM(C44:J44)</f>
        <v>164289</v>
      </c>
      <c r="L44" s="481">
        <v>13971</v>
      </c>
    </row>
    <row r="45" spans="1:14" x14ac:dyDescent="0.2">
      <c r="A45" s="1525" t="s">
        <v>869</v>
      </c>
      <c r="B45" s="615">
        <v>2220</v>
      </c>
      <c r="C45" s="466"/>
      <c r="D45" s="466"/>
      <c r="E45" s="466">
        <v>14</v>
      </c>
      <c r="F45" s="466">
        <v>1541</v>
      </c>
      <c r="G45" s="466">
        <v>6121</v>
      </c>
      <c r="H45" s="466"/>
      <c r="I45" s="467"/>
      <c r="J45" s="467"/>
      <c r="K45" s="1693">
        <f>SUM(C45:J45)</f>
        <v>7676</v>
      </c>
      <c r="L45" s="466">
        <v>4825</v>
      </c>
    </row>
    <row r="46" spans="1:14" x14ac:dyDescent="0.2">
      <c r="A46" s="1525" t="s">
        <v>870</v>
      </c>
      <c r="B46" s="615">
        <v>2230</v>
      </c>
      <c r="C46" s="466"/>
      <c r="D46" s="466"/>
      <c r="E46" s="466"/>
      <c r="F46" s="466">
        <v>25177</v>
      </c>
      <c r="G46" s="466"/>
      <c r="H46" s="466"/>
      <c r="I46" s="467"/>
      <c r="J46" s="467"/>
      <c r="K46" s="1693">
        <f>SUM(C46:J46)</f>
        <v>25177</v>
      </c>
      <c r="L46" s="466">
        <v>1500</v>
      </c>
    </row>
    <row r="47" spans="1:14" ht="12.75" customHeight="1" thickBot="1" x14ac:dyDescent="0.25">
      <c r="A47" s="1689" t="s">
        <v>582</v>
      </c>
      <c r="B47" s="1690" t="s">
        <v>32</v>
      </c>
      <c r="C47" s="1691">
        <f>SUM(C44:C46)</f>
        <v>112116</v>
      </c>
      <c r="D47" s="1691">
        <f t="shared" ref="D47:K47" si="4">SUM(D44:D46)</f>
        <v>16308</v>
      </c>
      <c r="E47" s="1691">
        <f t="shared" si="4"/>
        <v>35879</v>
      </c>
      <c r="F47" s="1691">
        <f t="shared" si="4"/>
        <v>26718</v>
      </c>
      <c r="G47" s="1691">
        <f t="shared" si="4"/>
        <v>6121</v>
      </c>
      <c r="H47" s="1691">
        <f t="shared" si="4"/>
        <v>0</v>
      </c>
      <c r="I47" s="1691">
        <f t="shared" si="4"/>
        <v>0</v>
      </c>
      <c r="J47" s="1691">
        <f t="shared" si="4"/>
        <v>0</v>
      </c>
      <c r="K47" s="1691">
        <f t="shared" si="4"/>
        <v>197142</v>
      </c>
      <c r="L47" s="1691">
        <f>SUM(L44:L46)</f>
        <v>20296</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c r="D49" s="481"/>
      <c r="E49" s="481">
        <v>89251</v>
      </c>
      <c r="F49" s="481">
        <v>51</v>
      </c>
      <c r="G49" s="481"/>
      <c r="H49" s="481">
        <v>8693</v>
      </c>
      <c r="I49" s="467"/>
      <c r="J49" s="467"/>
      <c r="K49" s="1693">
        <f>SUM(C49:J49)</f>
        <v>97995</v>
      </c>
      <c r="L49" s="481">
        <v>80500</v>
      </c>
    </row>
    <row r="50" spans="1:14" x14ac:dyDescent="0.2">
      <c r="A50" s="1525" t="s">
        <v>872</v>
      </c>
      <c r="B50" s="615">
        <v>2320</v>
      </c>
      <c r="C50" s="466">
        <v>57356</v>
      </c>
      <c r="D50" s="466">
        <v>4715</v>
      </c>
      <c r="E50" s="466">
        <v>3758</v>
      </c>
      <c r="F50" s="466">
        <v>1127</v>
      </c>
      <c r="G50" s="466">
        <v>434</v>
      </c>
      <c r="H50" s="466">
        <v>2689</v>
      </c>
      <c r="I50" s="467"/>
      <c r="J50" s="467"/>
      <c r="K50" s="1693">
        <f>SUM(C50:J50)</f>
        <v>70079</v>
      </c>
      <c r="L50" s="466">
        <v>76641</v>
      </c>
    </row>
    <row r="51" spans="1:14" x14ac:dyDescent="0.2">
      <c r="A51" s="1525" t="s">
        <v>44</v>
      </c>
      <c r="B51" s="615">
        <v>2330</v>
      </c>
      <c r="C51" s="466"/>
      <c r="D51" s="466"/>
      <c r="E51" s="466">
        <v>507</v>
      </c>
      <c r="F51" s="466">
        <v>567</v>
      </c>
      <c r="G51" s="466"/>
      <c r="H51" s="466"/>
      <c r="I51" s="467"/>
      <c r="J51" s="467"/>
      <c r="K51" s="1693">
        <f>SUM(C51:J51)</f>
        <v>1074</v>
      </c>
      <c r="L51" s="466"/>
    </row>
    <row r="52" spans="1:14" ht="22.5" x14ac:dyDescent="0.2">
      <c r="A52" s="1526"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57356</v>
      </c>
      <c r="D53" s="1691">
        <f t="shared" ref="D53:L53" si="5">SUM(D49:D52)</f>
        <v>4715</v>
      </c>
      <c r="E53" s="1691">
        <f t="shared" si="5"/>
        <v>93516</v>
      </c>
      <c r="F53" s="1691">
        <f t="shared" si="5"/>
        <v>1745</v>
      </c>
      <c r="G53" s="1691">
        <f t="shared" si="5"/>
        <v>434</v>
      </c>
      <c r="H53" s="1691">
        <f t="shared" si="5"/>
        <v>11382</v>
      </c>
      <c r="I53" s="1691">
        <f t="shared" si="5"/>
        <v>0</v>
      </c>
      <c r="J53" s="1691">
        <f t="shared" si="5"/>
        <v>0</v>
      </c>
      <c r="K53" s="1691">
        <f t="shared" si="5"/>
        <v>169148</v>
      </c>
      <c r="L53" s="1691">
        <f t="shared" si="5"/>
        <v>157141</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342243</v>
      </c>
      <c r="D55" s="481">
        <v>68050</v>
      </c>
      <c r="E55" s="481">
        <v>40491</v>
      </c>
      <c r="F55" s="481">
        <v>27358</v>
      </c>
      <c r="G55" s="481">
        <v>1774</v>
      </c>
      <c r="H55" s="481">
        <v>2744</v>
      </c>
      <c r="I55" s="467"/>
      <c r="J55" s="467"/>
      <c r="K55" s="1693">
        <f>SUM(C55:J55)</f>
        <v>482660</v>
      </c>
      <c r="L55" s="481">
        <v>485125</v>
      </c>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342243</v>
      </c>
      <c r="D57" s="1695">
        <f t="shared" ref="D57:K57" si="6">SUM(D55:D56)</f>
        <v>68050</v>
      </c>
      <c r="E57" s="1695">
        <f t="shared" si="6"/>
        <v>40491</v>
      </c>
      <c r="F57" s="1695">
        <f t="shared" si="6"/>
        <v>27358</v>
      </c>
      <c r="G57" s="1695">
        <f t="shared" si="6"/>
        <v>1774</v>
      </c>
      <c r="H57" s="1695">
        <f t="shared" si="6"/>
        <v>2744</v>
      </c>
      <c r="I57" s="1695">
        <f t="shared" si="6"/>
        <v>0</v>
      </c>
      <c r="J57" s="1695">
        <f t="shared" si="6"/>
        <v>0</v>
      </c>
      <c r="K57" s="1695">
        <f t="shared" si="6"/>
        <v>482660</v>
      </c>
      <c r="L57" s="1691">
        <f>SUM(L55:L56)</f>
        <v>485125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483</v>
      </c>
      <c r="B60" s="615">
        <v>2520</v>
      </c>
      <c r="C60" s="466">
        <v>110061</v>
      </c>
      <c r="D60" s="466">
        <v>32</v>
      </c>
      <c r="E60" s="466">
        <v>7263</v>
      </c>
      <c r="F60" s="466">
        <v>144</v>
      </c>
      <c r="G60" s="466"/>
      <c r="H60" s="466"/>
      <c r="I60" s="467"/>
      <c r="J60" s="467"/>
      <c r="K60" s="1693">
        <f t="shared" si="7"/>
        <v>117500</v>
      </c>
      <c r="L60" s="466">
        <v>119798</v>
      </c>
      <c r="M60" s="610"/>
      <c r="N60" s="610"/>
    </row>
    <row r="61" spans="1:14" s="343" customFormat="1" x14ac:dyDescent="0.2">
      <c r="A61" s="1525" t="s">
        <v>206</v>
      </c>
      <c r="B61" s="615">
        <v>2540</v>
      </c>
      <c r="C61" s="466"/>
      <c r="D61" s="466"/>
      <c r="E61" s="466"/>
      <c r="F61" s="466"/>
      <c r="G61" s="466"/>
      <c r="H61" s="466"/>
      <c r="I61" s="467"/>
      <c r="J61" s="467"/>
      <c r="K61" s="1693">
        <f t="shared" si="7"/>
        <v>0</v>
      </c>
      <c r="L61" s="466"/>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v>118980</v>
      </c>
      <c r="D63" s="466">
        <v>22079</v>
      </c>
      <c r="E63" s="466">
        <v>25856</v>
      </c>
      <c r="F63" s="466">
        <v>194990</v>
      </c>
      <c r="G63" s="466">
        <v>4935</v>
      </c>
      <c r="H63" s="466"/>
      <c r="I63" s="467"/>
      <c r="J63" s="467"/>
      <c r="K63" s="1693">
        <f t="shared" si="7"/>
        <v>366840</v>
      </c>
      <c r="L63" s="466">
        <v>356999</v>
      </c>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229041</v>
      </c>
      <c r="D65" s="1691">
        <f t="shared" ref="D65:L65" si="8">SUM(D59:D64)</f>
        <v>22111</v>
      </c>
      <c r="E65" s="1691">
        <f t="shared" si="8"/>
        <v>33119</v>
      </c>
      <c r="F65" s="1691">
        <f t="shared" si="8"/>
        <v>195134</v>
      </c>
      <c r="G65" s="1691">
        <f t="shared" si="8"/>
        <v>4935</v>
      </c>
      <c r="H65" s="1691">
        <f t="shared" si="8"/>
        <v>0</v>
      </c>
      <c r="I65" s="1691">
        <f t="shared" si="8"/>
        <v>0</v>
      </c>
      <c r="J65" s="1691">
        <f t="shared" si="8"/>
        <v>0</v>
      </c>
      <c r="K65" s="1691">
        <f t="shared" si="8"/>
        <v>484340</v>
      </c>
      <c r="L65" s="1691">
        <f t="shared" si="8"/>
        <v>476797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c r="D69" s="466"/>
      <c r="E69" s="466"/>
      <c r="F69" s="466"/>
      <c r="G69" s="466"/>
      <c r="H69" s="466"/>
      <c r="I69" s="467"/>
      <c r="J69" s="467"/>
      <c r="K69" s="1693">
        <f>SUM(C69:J69)</f>
        <v>0</v>
      </c>
      <c r="L69" s="466"/>
      <c r="M69" s="610"/>
      <c r="N69" s="610"/>
    </row>
    <row r="70" spans="1:14" s="343" customFormat="1" x14ac:dyDescent="0.2">
      <c r="A70" s="1525" t="s">
        <v>423</v>
      </c>
      <c r="B70" s="615">
        <v>2640</v>
      </c>
      <c r="C70" s="466"/>
      <c r="D70" s="466"/>
      <c r="E70" s="466"/>
      <c r="F70" s="466"/>
      <c r="G70" s="466"/>
      <c r="H70" s="466"/>
      <c r="I70" s="467"/>
      <c r="J70" s="467"/>
      <c r="K70" s="1693">
        <f>SUM(C70:J70)</f>
        <v>0</v>
      </c>
      <c r="L70" s="466"/>
      <c r="M70" s="610"/>
      <c r="N70" s="610"/>
    </row>
    <row r="71" spans="1:14" s="343" customFormat="1" x14ac:dyDescent="0.2">
      <c r="A71" s="1525" t="s">
        <v>424</v>
      </c>
      <c r="B71" s="615">
        <v>2660</v>
      </c>
      <c r="C71" s="466"/>
      <c r="D71" s="466"/>
      <c r="E71" s="466">
        <v>21226</v>
      </c>
      <c r="F71" s="466">
        <v>7417</v>
      </c>
      <c r="G71" s="466"/>
      <c r="H71" s="466"/>
      <c r="I71" s="467"/>
      <c r="J71" s="467"/>
      <c r="K71" s="1693">
        <f>SUM(C71:J71)</f>
        <v>28643</v>
      </c>
      <c r="L71" s="466">
        <v>14000</v>
      </c>
      <c r="M71" s="610"/>
      <c r="N71" s="610"/>
    </row>
    <row r="72" spans="1:14" s="343" customFormat="1" ht="12.75" customHeight="1" thickBot="1" x14ac:dyDescent="0.25">
      <c r="A72" s="1689" t="s">
        <v>37</v>
      </c>
      <c r="B72" s="1696" t="s">
        <v>36</v>
      </c>
      <c r="C72" s="1691">
        <f>SUM(C67:C71)</f>
        <v>0</v>
      </c>
      <c r="D72" s="1691">
        <f t="shared" ref="D72:K72" si="9">SUM(D67:D71)</f>
        <v>0</v>
      </c>
      <c r="E72" s="1691">
        <f t="shared" si="9"/>
        <v>21226</v>
      </c>
      <c r="F72" s="1691">
        <f t="shared" si="9"/>
        <v>7417</v>
      </c>
      <c r="G72" s="1691">
        <f t="shared" si="9"/>
        <v>0</v>
      </c>
      <c r="H72" s="1691">
        <f t="shared" si="9"/>
        <v>0</v>
      </c>
      <c r="I72" s="1691">
        <f t="shared" si="9"/>
        <v>0</v>
      </c>
      <c r="J72" s="1691">
        <f t="shared" si="9"/>
        <v>0</v>
      </c>
      <c r="K72" s="1691">
        <f t="shared" si="9"/>
        <v>28643</v>
      </c>
      <c r="L72" s="1691">
        <f>SUM(L67:L71)</f>
        <v>14000</v>
      </c>
      <c r="M72" s="610"/>
      <c r="N72" s="610"/>
    </row>
    <row r="73" spans="1:14" s="343" customFormat="1" ht="14.25" thickTop="1" thickBot="1" x14ac:dyDescent="0.25">
      <c r="A73" s="1531"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1007181</v>
      </c>
      <c r="D74" s="1698">
        <f t="shared" ref="D74:K74" si="10">SUM(D42,D47,D53,D57,D65,D72,D73)</f>
        <v>171267</v>
      </c>
      <c r="E74" s="1698">
        <f t="shared" si="10"/>
        <v>230585</v>
      </c>
      <c r="F74" s="1698">
        <f t="shared" si="10"/>
        <v>264126</v>
      </c>
      <c r="G74" s="1698">
        <f t="shared" si="10"/>
        <v>15118</v>
      </c>
      <c r="H74" s="1698">
        <f t="shared" si="10"/>
        <v>14126</v>
      </c>
      <c r="I74" s="1698">
        <f t="shared" si="10"/>
        <v>0</v>
      </c>
      <c r="J74" s="1698">
        <f t="shared" si="10"/>
        <v>0</v>
      </c>
      <c r="K74" s="1698">
        <f t="shared" si="10"/>
        <v>1702403</v>
      </c>
      <c r="L74" s="1698">
        <f>SUM(L42,L47,L53,L57,L65,L72,L73)</f>
        <v>1503510</v>
      </c>
    </row>
    <row r="75" spans="1:14" s="259" customFormat="1" ht="15.75" customHeight="1" thickTop="1" thickBot="1" x14ac:dyDescent="0.25">
      <c r="A75" s="1631" t="s">
        <v>49</v>
      </c>
      <c r="B75" s="1632" t="s">
        <v>596</v>
      </c>
      <c r="C75" s="573">
        <v>62048</v>
      </c>
      <c r="D75" s="573">
        <v>6201</v>
      </c>
      <c r="E75" s="573">
        <v>19953</v>
      </c>
      <c r="F75" s="573">
        <v>20585</v>
      </c>
      <c r="G75" s="573"/>
      <c r="H75" s="573"/>
      <c r="I75" s="531"/>
      <c r="J75" s="531"/>
      <c r="K75" s="1691">
        <f>SUM(C75:J75)</f>
        <v>108787</v>
      </c>
      <c r="L75" s="576">
        <v>76538</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v>2172308</v>
      </c>
      <c r="F78" s="617"/>
      <c r="G78" s="617"/>
      <c r="H78" s="635"/>
      <c r="I78" s="477"/>
      <c r="J78" s="477"/>
      <c r="K78" s="1692">
        <f t="shared" ref="K78:K83" si="11">SUM(C78:J78)</f>
        <v>2172308</v>
      </c>
      <c r="L78" s="481">
        <v>2007253</v>
      </c>
    </row>
    <row r="79" spans="1:14" x14ac:dyDescent="0.2">
      <c r="A79" s="1525" t="s">
        <v>322</v>
      </c>
      <c r="B79" s="615">
        <v>4120</v>
      </c>
      <c r="C79" s="617"/>
      <c r="D79" s="617"/>
      <c r="E79" s="466"/>
      <c r="F79" s="617"/>
      <c r="G79" s="617"/>
      <c r="H79" s="466">
        <v>58136</v>
      </c>
      <c r="I79" s="477"/>
      <c r="J79" s="477"/>
      <c r="K79" s="1692">
        <f t="shared" si="11"/>
        <v>58136</v>
      </c>
      <c r="L79" s="466">
        <v>80000</v>
      </c>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2172308</v>
      </c>
      <c r="F84" s="617"/>
      <c r="G84" s="617"/>
      <c r="H84" s="1691">
        <f>SUM(H78:H83)</f>
        <v>58136</v>
      </c>
      <c r="I84" s="477"/>
      <c r="J84" s="477"/>
      <c r="K84" s="1691">
        <f>SUM(K78:K83)</f>
        <v>2230444</v>
      </c>
      <c r="L84" s="1691">
        <f>SUM(L78:L83)</f>
        <v>2087253</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723</v>
      </c>
      <c r="B86" s="638">
        <v>4220</v>
      </c>
      <c r="C86" s="617"/>
      <c r="D86" s="617"/>
      <c r="E86" s="639"/>
      <c r="F86" s="617"/>
      <c r="G86" s="617"/>
      <c r="H86" s="467"/>
      <c r="I86" s="477"/>
      <c r="J86" s="477"/>
      <c r="K86" s="1698">
        <f t="shared" ref="K86:K98" si="12">H86</f>
        <v>0</v>
      </c>
      <c r="L86" s="530"/>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c r="I88" s="477"/>
      <c r="J88" s="477"/>
      <c r="K88" s="1698">
        <f t="shared" si="12"/>
        <v>0</v>
      </c>
      <c r="L88" s="530"/>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0</v>
      </c>
      <c r="I92" s="477"/>
      <c r="J92" s="477"/>
      <c r="K92" s="1698">
        <f t="shared" si="12"/>
        <v>0</v>
      </c>
      <c r="L92" s="1691">
        <f>SUM(L85:L91)</f>
        <v>0</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2172308</v>
      </c>
      <c r="F102" s="617"/>
      <c r="G102" s="617"/>
      <c r="H102" s="1698">
        <f>SUM(H84,H92,H100,H101)</f>
        <v>58136</v>
      </c>
      <c r="I102" s="477"/>
      <c r="J102" s="477"/>
      <c r="K102" s="1698">
        <f>SUM(K84,K92,K100,K101)</f>
        <v>2230444</v>
      </c>
      <c r="L102" s="1698">
        <f>SUM(L84,L92,L100,L101)</f>
        <v>2087253</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4960417</v>
      </c>
      <c r="D114" s="1691">
        <f t="shared" ref="D114:K114" si="13">SUM(D33,D74,D75,D102,D112,D113)</f>
        <v>1048241</v>
      </c>
      <c r="E114" s="1691">
        <f t="shared" si="13"/>
        <v>2466198</v>
      </c>
      <c r="F114" s="1691">
        <f t="shared" si="13"/>
        <v>645184</v>
      </c>
      <c r="G114" s="1691">
        <f t="shared" si="13"/>
        <v>32141</v>
      </c>
      <c r="H114" s="1691">
        <f>SUM(H33,H74,H75,H102,H112,H113)</f>
        <v>74436</v>
      </c>
      <c r="I114" s="1691">
        <f t="shared" si="13"/>
        <v>0</v>
      </c>
      <c r="J114" s="1691">
        <f t="shared" si="13"/>
        <v>0</v>
      </c>
      <c r="K114" s="1691">
        <f t="shared" si="13"/>
        <v>9226617</v>
      </c>
      <c r="L114" s="1691">
        <f>SUM(L33,L74,L75,L102,L112,L113)</f>
        <v>8743646</v>
      </c>
    </row>
    <row r="115" spans="1:14" ht="13.5" thickTop="1" x14ac:dyDescent="0.2">
      <c r="A115" s="2189" t="s">
        <v>1053</v>
      </c>
      <c r="B115" s="2190"/>
      <c r="C115" s="619"/>
      <c r="D115" s="619"/>
      <c r="E115" s="619"/>
      <c r="F115" s="619"/>
      <c r="G115" s="619"/>
      <c r="H115" s="619"/>
      <c r="I115" s="619"/>
      <c r="J115" s="619"/>
      <c r="K115" s="1705">
        <f>'Revenues 9-14'!C275-'Expenditures 15-22'!K114</f>
        <v>702165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4" t="s">
        <v>314</v>
      </c>
      <c r="B117" s="2195"/>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v>385905</v>
      </c>
      <c r="D124" s="466">
        <v>36333</v>
      </c>
      <c r="E124" s="466">
        <v>356474</v>
      </c>
      <c r="F124" s="466">
        <v>94323</v>
      </c>
      <c r="G124" s="466">
        <v>87809</v>
      </c>
      <c r="H124" s="466"/>
      <c r="I124" s="467"/>
      <c r="J124" s="467"/>
      <c r="K124" s="1691">
        <f>SUM(C124:J124)</f>
        <v>960844</v>
      </c>
      <c r="L124" s="466">
        <v>1002035</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385905</v>
      </c>
      <c r="D127" s="1691">
        <f t="shared" ref="D127:L127" si="14">SUM(D122:D126)</f>
        <v>36333</v>
      </c>
      <c r="E127" s="1691">
        <f t="shared" si="14"/>
        <v>356474</v>
      </c>
      <c r="F127" s="1691">
        <f t="shared" si="14"/>
        <v>94323</v>
      </c>
      <c r="G127" s="1691">
        <f t="shared" si="14"/>
        <v>87809</v>
      </c>
      <c r="H127" s="1691">
        <f t="shared" si="14"/>
        <v>0</v>
      </c>
      <c r="I127" s="1691">
        <f t="shared" si="14"/>
        <v>0</v>
      </c>
      <c r="J127" s="1691">
        <f t="shared" si="14"/>
        <v>0</v>
      </c>
      <c r="K127" s="1691">
        <f t="shared" si="14"/>
        <v>960844</v>
      </c>
      <c r="L127" s="1691">
        <f t="shared" si="14"/>
        <v>1002035</v>
      </c>
    </row>
    <row r="128" spans="1:14" ht="12.75" customHeight="1" thickTop="1" x14ac:dyDescent="0.2">
      <c r="A128" s="1532"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385905</v>
      </c>
      <c r="D129" s="1698">
        <f t="shared" ref="D129:L129" si="15">SUM(D120,D127,D128)</f>
        <v>36333</v>
      </c>
      <c r="E129" s="1698">
        <f t="shared" si="15"/>
        <v>356474</v>
      </c>
      <c r="F129" s="1698">
        <f t="shared" si="15"/>
        <v>94323</v>
      </c>
      <c r="G129" s="1698">
        <f t="shared" si="15"/>
        <v>87809</v>
      </c>
      <c r="H129" s="1698">
        <f t="shared" si="15"/>
        <v>0</v>
      </c>
      <c r="I129" s="1698">
        <f t="shared" si="15"/>
        <v>0</v>
      </c>
      <c r="J129" s="1698">
        <f t="shared" si="15"/>
        <v>0</v>
      </c>
      <c r="K129" s="1698">
        <f t="shared" si="15"/>
        <v>960844</v>
      </c>
      <c r="L129" s="1698">
        <f t="shared" si="15"/>
        <v>1002035</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v>195000</v>
      </c>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1956</v>
      </c>
      <c r="C133" s="468"/>
      <c r="D133" s="468"/>
      <c r="E133" s="642">
        <v>195000</v>
      </c>
      <c r="F133" s="468"/>
      <c r="G133" s="468"/>
      <c r="H133" s="642"/>
      <c r="I133" s="468"/>
      <c r="J133" s="468"/>
      <c r="K133" s="1843">
        <f>SUM(E133,H133)</f>
        <v>195000</v>
      </c>
      <c r="L133" s="642">
        <v>195000</v>
      </c>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c r="I135" s="477"/>
      <c r="J135" s="617"/>
      <c r="K135" s="1693">
        <f>SUM(E135,H135)</f>
        <v>0</v>
      </c>
      <c r="L135" s="466"/>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195000</v>
      </c>
      <c r="F137" s="617"/>
      <c r="G137" s="617"/>
      <c r="H137" s="1691">
        <f>SUM(H133:H136)</f>
        <v>0</v>
      </c>
      <c r="I137" s="477"/>
      <c r="J137" s="617"/>
      <c r="K137" s="1691">
        <f>SUM(K133:K136)</f>
        <v>195000</v>
      </c>
      <c r="L137" s="1691">
        <f>SUM(L133:L136)</f>
        <v>195000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195000</v>
      </c>
      <c r="F139" s="617"/>
      <c r="G139" s="617"/>
      <c r="H139" s="1700">
        <f>SUM(H137:H138)</f>
        <v>0</v>
      </c>
      <c r="I139" s="477"/>
      <c r="J139" s="617"/>
      <c r="K139" s="1693">
        <f>SUM(K137,K138)</f>
        <v>195000</v>
      </c>
      <c r="L139" s="1700">
        <f>SUM(L137,L138)</f>
        <v>195000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206" t="s">
        <v>641</v>
      </c>
      <c r="B151" s="2186"/>
      <c r="C151" s="1691">
        <f>SUM(C129,C130,C139,C149,C150)</f>
        <v>385905</v>
      </c>
      <c r="D151" s="1691">
        <f t="shared" ref="D151:K151" si="16">SUM(D129,D130,D139,D149,D150)</f>
        <v>36333</v>
      </c>
      <c r="E151" s="1691">
        <f t="shared" si="16"/>
        <v>551474</v>
      </c>
      <c r="F151" s="1691">
        <f t="shared" si="16"/>
        <v>94323</v>
      </c>
      <c r="G151" s="1691">
        <f t="shared" si="16"/>
        <v>87809</v>
      </c>
      <c r="H151" s="1691">
        <f t="shared" si="16"/>
        <v>0</v>
      </c>
      <c r="I151" s="1691">
        <f t="shared" si="16"/>
        <v>0</v>
      </c>
      <c r="J151" s="1691">
        <f t="shared" si="16"/>
        <v>0</v>
      </c>
      <c r="K151" s="1691">
        <f t="shared" si="16"/>
        <v>1155844</v>
      </c>
      <c r="L151" s="1691">
        <f>SUM(L129,L130,L139,L149,L150)</f>
        <v>1392035</v>
      </c>
    </row>
    <row r="152" spans="1:14" ht="12.75" customHeight="1" thickTop="1" x14ac:dyDescent="0.2">
      <c r="A152" s="2209" t="s">
        <v>1240</v>
      </c>
      <c r="B152" s="2210"/>
      <c r="C152" s="619"/>
      <c r="D152" s="619"/>
      <c r="E152" s="619"/>
      <c r="F152" s="619"/>
      <c r="G152" s="619"/>
      <c r="H152" s="619"/>
      <c r="I152" s="619"/>
      <c r="J152" s="617"/>
      <c r="K152" s="1705">
        <f>'Revenues 9-14'!D275-'Expenditures 15-22'!K151</f>
        <v>169611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4" t="s">
        <v>642</v>
      </c>
      <c r="B154" s="2196"/>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1957</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1956</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1958</v>
      </c>
      <c r="C158" s="617"/>
      <c r="D158" s="617"/>
      <c r="E158" s="617"/>
      <c r="F158" s="617"/>
      <c r="G158" s="617"/>
      <c r="H158" s="467"/>
      <c r="I158" s="617"/>
      <c r="J158" s="617"/>
      <c r="K158" s="1692">
        <f>H158</f>
        <v>0</v>
      </c>
      <c r="L158" s="467"/>
      <c r="M158" s="620"/>
      <c r="N158" s="620"/>
    </row>
    <row r="159" spans="1:14" s="621" customFormat="1" ht="12" x14ac:dyDescent="0.2">
      <c r="A159" s="1848" t="s">
        <v>1959</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1960</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v>275278</v>
      </c>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275278</v>
      </c>
    </row>
    <row r="169" spans="1:14" ht="15.75" customHeight="1" thickTop="1" x14ac:dyDescent="0.2">
      <c r="A169" s="670" t="s">
        <v>85</v>
      </c>
      <c r="B169" s="671" t="s">
        <v>38</v>
      </c>
      <c r="C169" s="617"/>
      <c r="D169" s="617"/>
      <c r="E169" s="617"/>
      <c r="F169" s="617"/>
      <c r="G169" s="617"/>
      <c r="H169" s="657">
        <v>249825</v>
      </c>
      <c r="I169" s="617"/>
      <c r="J169" s="617"/>
      <c r="K169" s="1692">
        <f>SUM(C169:H169)</f>
        <v>249825</v>
      </c>
      <c r="L169" s="657">
        <v>274546</v>
      </c>
    </row>
    <row r="170" spans="1:14" ht="33.75" customHeight="1" x14ac:dyDescent="0.2">
      <c r="A170" s="670" t="s">
        <v>1769</v>
      </c>
      <c r="B170" s="672" t="s">
        <v>31</v>
      </c>
      <c r="C170" s="617"/>
      <c r="D170" s="617"/>
      <c r="E170" s="617"/>
      <c r="F170" s="617"/>
      <c r="G170" s="617"/>
      <c r="H170" s="569">
        <v>300000</v>
      </c>
      <c r="I170" s="617"/>
      <c r="J170" s="617"/>
      <c r="K170" s="1692">
        <f>SUM(C170:J170)</f>
        <v>300000</v>
      </c>
      <c r="L170" s="569"/>
    </row>
    <row r="171" spans="1:14" ht="15.75" customHeight="1" x14ac:dyDescent="0.2">
      <c r="A171" s="622" t="s">
        <v>790</v>
      </c>
      <c r="B171" s="673" t="s">
        <v>86</v>
      </c>
      <c r="C171" s="617"/>
      <c r="D171" s="617"/>
      <c r="E171" s="466"/>
      <c r="F171" s="617"/>
      <c r="G171" s="617"/>
      <c r="H171" s="569"/>
      <c r="I171" s="477"/>
      <c r="J171" s="617"/>
      <c r="K171" s="1692">
        <f>SUM(C171:J171)</f>
        <v>0</v>
      </c>
      <c r="L171" s="569"/>
    </row>
    <row r="172" spans="1:14" ht="12.75" customHeight="1" thickBot="1" x14ac:dyDescent="0.25">
      <c r="A172" s="1689" t="s">
        <v>659</v>
      </c>
      <c r="B172" s="1690" t="s">
        <v>513</v>
      </c>
      <c r="C172" s="617"/>
      <c r="D172" s="617"/>
      <c r="E172" s="1698">
        <f>SUM(E168,E169,E170,E171)</f>
        <v>0</v>
      </c>
      <c r="F172" s="617"/>
      <c r="G172" s="617"/>
      <c r="H172" s="1698">
        <f>SUM(H168,H169,H170,H171)</f>
        <v>549825</v>
      </c>
      <c r="I172" s="639"/>
      <c r="J172" s="617"/>
      <c r="K172" s="1698">
        <f>SUM(K168,K169,K170,K171)</f>
        <v>549825</v>
      </c>
      <c r="L172" s="1698">
        <f>SUM(L168,L169,L170,L171)</f>
        <v>549824</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549825</v>
      </c>
      <c r="I174" s="639"/>
      <c r="J174" s="617"/>
      <c r="K174" s="1698">
        <f>SUM(K160,K172,K173)</f>
        <v>549825</v>
      </c>
      <c r="L174" s="1698">
        <f>SUM(L160,L172,L173)</f>
        <v>549824</v>
      </c>
    </row>
    <row r="175" spans="1:14" ht="13.5" thickTop="1" x14ac:dyDescent="0.2">
      <c r="A175" s="2189" t="s">
        <v>1053</v>
      </c>
      <c r="B175" s="2190"/>
      <c r="C175" s="617"/>
      <c r="D175" s="617"/>
      <c r="E175" s="617"/>
      <c r="F175" s="617"/>
      <c r="G175" s="617"/>
      <c r="H175" s="619"/>
      <c r="I175" s="617"/>
      <c r="J175" s="617"/>
      <c r="K175" s="1705">
        <f>'Revenues 9-14'!E275-'Expenditures 15-22'!K174</f>
        <v>-31796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17045</v>
      </c>
      <c r="D182" s="466">
        <v>482</v>
      </c>
      <c r="E182" s="466">
        <v>275782</v>
      </c>
      <c r="F182" s="466"/>
      <c r="G182" s="466"/>
      <c r="H182" s="466"/>
      <c r="I182" s="467"/>
      <c r="J182" s="467"/>
      <c r="K182" s="1692">
        <f>SUM(C182:J182)</f>
        <v>293309</v>
      </c>
      <c r="L182" s="466">
        <v>311750</v>
      </c>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17045</v>
      </c>
      <c r="D184" s="1698">
        <f t="shared" ref="D184:J184" si="17">SUM(D180,D182,D183)</f>
        <v>482</v>
      </c>
      <c r="E184" s="1698">
        <f t="shared" si="17"/>
        <v>275782</v>
      </c>
      <c r="F184" s="1698">
        <f t="shared" si="17"/>
        <v>0</v>
      </c>
      <c r="G184" s="1698">
        <f t="shared" si="17"/>
        <v>0</v>
      </c>
      <c r="H184" s="1698">
        <f t="shared" si="17"/>
        <v>0</v>
      </c>
      <c r="I184" s="1698">
        <f t="shared" si="17"/>
        <v>0</v>
      </c>
      <c r="J184" s="1698">
        <f t="shared" si="17"/>
        <v>0</v>
      </c>
      <c r="K184" s="1698">
        <f>SUM(K180,K182,K183)</f>
        <v>293309</v>
      </c>
      <c r="L184" s="1698">
        <f>SUM(L180, L182:L183)</f>
        <v>311750</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v>36389</v>
      </c>
      <c r="F188" s="617"/>
      <c r="G188" s="617"/>
      <c r="H188" s="466"/>
      <c r="I188" s="477"/>
      <c r="J188" s="617"/>
      <c r="K188" s="1692">
        <f t="shared" ref="K188:K193" si="18">SUM(E188,H188)</f>
        <v>36389</v>
      </c>
      <c r="L188" s="466">
        <v>36389</v>
      </c>
    </row>
    <row r="189" spans="1:14" x14ac:dyDescent="0.2">
      <c r="A189" s="1525" t="s">
        <v>322</v>
      </c>
      <c r="B189" s="615">
        <v>4120</v>
      </c>
      <c r="C189" s="617"/>
      <c r="D189" s="617"/>
      <c r="E189" s="466"/>
      <c r="F189" s="617"/>
      <c r="G189" s="617"/>
      <c r="H189" s="466"/>
      <c r="I189" s="477"/>
      <c r="J189" s="617"/>
      <c r="K189" s="1692">
        <f t="shared" si="18"/>
        <v>0</v>
      </c>
      <c r="L189" s="466"/>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36389</v>
      </c>
      <c r="F194" s="617"/>
      <c r="G194" s="617"/>
      <c r="H194" s="1691">
        <f>SUM(H188:H193)</f>
        <v>0</v>
      </c>
      <c r="I194" s="477"/>
      <c r="J194" s="617"/>
      <c r="K194" s="1691">
        <f>SUM(K188:K193)</f>
        <v>36389</v>
      </c>
      <c r="L194" s="1691">
        <f>SUM(L188:L193)</f>
        <v>36389</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36389</v>
      </c>
      <c r="F196" s="617"/>
      <c r="G196" s="617"/>
      <c r="H196" s="1698">
        <f>SUM(H194,H195)</f>
        <v>0</v>
      </c>
      <c r="I196" s="477"/>
      <c r="J196" s="617"/>
      <c r="K196" s="1698">
        <f>SUM(K194,K195)</f>
        <v>36389</v>
      </c>
      <c r="L196" s="1698">
        <f>SUM(L194,L195)</f>
        <v>36389</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149</v>
      </c>
      <c r="I205" s="617"/>
      <c r="J205" s="617"/>
      <c r="K205" s="1706">
        <f>SUM(H205)</f>
        <v>149</v>
      </c>
      <c r="L205" s="535"/>
    </row>
    <row r="206" spans="1:14" ht="30" customHeight="1" x14ac:dyDescent="0.2">
      <c r="A206" s="682" t="s">
        <v>1770</v>
      </c>
      <c r="B206" s="673" t="s">
        <v>31</v>
      </c>
      <c r="C206" s="617"/>
      <c r="D206" s="617"/>
      <c r="E206" s="617"/>
      <c r="F206" s="617"/>
      <c r="G206" s="617"/>
      <c r="H206" s="466">
        <v>1169</v>
      </c>
      <c r="I206" s="617"/>
      <c r="J206" s="617"/>
      <c r="K206" s="1692">
        <f>SUM(H206)</f>
        <v>1169</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1318</v>
      </c>
      <c r="I208" s="617"/>
      <c r="J208" s="617"/>
      <c r="K208" s="1698">
        <f>SUM(K204,K205,K206,K207)</f>
        <v>1318</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17045</v>
      </c>
      <c r="D210" s="1691">
        <f>SUM(D184,D185)</f>
        <v>482</v>
      </c>
      <c r="E210" s="1691">
        <f>SUM(E184,E185,E196)</f>
        <v>312171</v>
      </c>
      <c r="F210" s="1691">
        <f>SUM(F184,F185)</f>
        <v>0</v>
      </c>
      <c r="G210" s="1691">
        <f>SUM(G184,G185)</f>
        <v>0</v>
      </c>
      <c r="H210" s="1691">
        <f>SUM(H184,H185,H196,H208,H209)</f>
        <v>1318</v>
      </c>
      <c r="I210" s="1691">
        <f>SUM(I184,I185)</f>
        <v>0</v>
      </c>
      <c r="J210" s="1691">
        <f>SUM(J184,J185)</f>
        <v>0</v>
      </c>
      <c r="K210" s="1692">
        <f>SUM(K184,K185,K196,K208,K209)</f>
        <v>331016</v>
      </c>
      <c r="L210" s="1691">
        <f>SUM(L184,L185,L196,L208,L209)</f>
        <v>348139</v>
      </c>
    </row>
    <row r="211" spans="1:14" ht="13.5" thickTop="1" x14ac:dyDescent="0.2">
      <c r="A211" s="2189" t="s">
        <v>1053</v>
      </c>
      <c r="B211" s="2190"/>
      <c r="C211" s="619"/>
      <c r="D211" s="619"/>
      <c r="E211" s="619"/>
      <c r="F211" s="619"/>
      <c r="G211" s="619"/>
      <c r="H211" s="619"/>
      <c r="I211" s="617"/>
      <c r="J211" s="617"/>
      <c r="K211" s="1705">
        <f>'Revenues 9-14'!F275-'Expenditures 15-22'!K210</f>
        <v>-46947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1" t="s">
        <v>1022</v>
      </c>
      <c r="B213" s="2212"/>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f>55693+3</f>
        <v>55696</v>
      </c>
      <c r="E215" s="617"/>
      <c r="F215" s="617"/>
      <c r="G215" s="617"/>
      <c r="H215" s="617"/>
      <c r="I215" s="617"/>
      <c r="J215" s="617"/>
      <c r="K215" s="1692">
        <f>D215</f>
        <v>55696</v>
      </c>
      <c r="L215" s="466">
        <v>64750</v>
      </c>
    </row>
    <row r="216" spans="1:14" x14ac:dyDescent="0.2">
      <c r="A216" s="1525" t="s">
        <v>165</v>
      </c>
      <c r="B216" s="615" t="s">
        <v>1024</v>
      </c>
      <c r="C216" s="617"/>
      <c r="D216" s="467">
        <v>373</v>
      </c>
      <c r="E216" s="617"/>
      <c r="F216" s="617"/>
      <c r="G216" s="617"/>
      <c r="H216" s="617"/>
      <c r="I216" s="617"/>
      <c r="J216" s="617"/>
      <c r="K216" s="1692">
        <f t="shared" ref="K216:K228" si="19">D216</f>
        <v>373</v>
      </c>
      <c r="L216" s="466"/>
    </row>
    <row r="217" spans="1:14" x14ac:dyDescent="0.2">
      <c r="A217" s="1525" t="s">
        <v>166</v>
      </c>
      <c r="B217" s="615">
        <v>1200</v>
      </c>
      <c r="C217" s="617"/>
      <c r="D217" s="466">
        <v>49278</v>
      </c>
      <c r="E217" s="617"/>
      <c r="F217" s="617"/>
      <c r="G217" s="617"/>
      <c r="H217" s="617"/>
      <c r="I217" s="617"/>
      <c r="J217" s="617"/>
      <c r="K217" s="1692">
        <f t="shared" si="19"/>
        <v>49278</v>
      </c>
      <c r="L217" s="466">
        <v>48716</v>
      </c>
    </row>
    <row r="218" spans="1:14" x14ac:dyDescent="0.2">
      <c r="A218" s="1525" t="s">
        <v>296</v>
      </c>
      <c r="B218" s="615" t="s">
        <v>1025</v>
      </c>
      <c r="C218" s="617"/>
      <c r="D218" s="467"/>
      <c r="E218" s="617"/>
      <c r="F218" s="617"/>
      <c r="G218" s="617"/>
      <c r="H218" s="617"/>
      <c r="I218" s="617"/>
      <c r="J218" s="617"/>
      <c r="K218" s="1692">
        <f t="shared" si="19"/>
        <v>0</v>
      </c>
      <c r="L218" s="466"/>
    </row>
    <row r="219" spans="1:14" x14ac:dyDescent="0.2">
      <c r="A219" s="1525" t="s">
        <v>297</v>
      </c>
      <c r="B219" s="615">
        <v>1250</v>
      </c>
      <c r="C219" s="617"/>
      <c r="D219" s="466">
        <v>36206</v>
      </c>
      <c r="E219" s="617"/>
      <c r="F219" s="617"/>
      <c r="G219" s="617"/>
      <c r="H219" s="617"/>
      <c r="I219" s="617"/>
      <c r="J219" s="617"/>
      <c r="K219" s="1692">
        <f t="shared" si="19"/>
        <v>36206</v>
      </c>
      <c r="L219" s="466">
        <v>36500</v>
      </c>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c r="E222" s="617"/>
      <c r="F222" s="617"/>
      <c r="G222" s="617"/>
      <c r="H222" s="617"/>
      <c r="I222" s="617"/>
      <c r="J222" s="617"/>
      <c r="K222" s="1692">
        <f t="shared" si="19"/>
        <v>0</v>
      </c>
      <c r="L222" s="466"/>
    </row>
    <row r="223" spans="1:14" x14ac:dyDescent="0.2">
      <c r="A223" s="1525" t="s">
        <v>1020</v>
      </c>
      <c r="B223" s="615">
        <v>1500</v>
      </c>
      <c r="C223" s="617"/>
      <c r="D223" s="466">
        <v>1772</v>
      </c>
      <c r="E223" s="617"/>
      <c r="F223" s="617"/>
      <c r="G223" s="617"/>
      <c r="H223" s="617"/>
      <c r="I223" s="617"/>
      <c r="J223" s="617"/>
      <c r="K223" s="1692">
        <f t="shared" si="19"/>
        <v>1772</v>
      </c>
      <c r="L223" s="466">
        <v>1850</v>
      </c>
    </row>
    <row r="224" spans="1:14" x14ac:dyDescent="0.2">
      <c r="A224" s="1525" t="s">
        <v>1021</v>
      </c>
      <c r="B224" s="615">
        <v>1600</v>
      </c>
      <c r="C224" s="617"/>
      <c r="D224" s="466"/>
      <c r="E224" s="617"/>
      <c r="F224" s="617"/>
      <c r="G224" s="617"/>
      <c r="H224" s="617"/>
      <c r="I224" s="617"/>
      <c r="J224" s="617"/>
      <c r="K224" s="1692">
        <f t="shared" si="19"/>
        <v>0</v>
      </c>
      <c r="L224" s="466"/>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c r="E226" s="617"/>
      <c r="F226" s="617"/>
      <c r="G226" s="617"/>
      <c r="H226" s="617"/>
      <c r="I226" s="617"/>
      <c r="J226" s="617"/>
      <c r="K226" s="1692">
        <f t="shared" si="19"/>
        <v>0</v>
      </c>
      <c r="L226" s="466"/>
    </row>
    <row r="227" spans="1:12" x14ac:dyDescent="0.2">
      <c r="A227" s="1525" t="s">
        <v>1148</v>
      </c>
      <c r="B227" s="615">
        <v>1800</v>
      </c>
      <c r="C227" s="617"/>
      <c r="D227" s="466"/>
      <c r="E227" s="617"/>
      <c r="F227" s="617"/>
      <c r="G227" s="617"/>
      <c r="H227" s="617"/>
      <c r="I227" s="617"/>
      <c r="J227" s="617"/>
      <c r="K227" s="1692">
        <f t="shared" si="19"/>
        <v>0</v>
      </c>
      <c r="L227" s="466"/>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143325</v>
      </c>
      <c r="E229" s="617"/>
      <c r="F229" s="617"/>
      <c r="G229" s="617"/>
      <c r="H229" s="617"/>
      <c r="I229" s="617"/>
      <c r="J229" s="617"/>
      <c r="K229" s="1691">
        <f>SUM(K215:K228)</f>
        <v>143325</v>
      </c>
      <c r="L229" s="1691">
        <f>SUM(L215:L228)</f>
        <v>151816</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v>927</v>
      </c>
      <c r="E232" s="617"/>
      <c r="F232" s="617"/>
      <c r="G232" s="617"/>
      <c r="H232" s="617"/>
      <c r="I232" s="617"/>
      <c r="J232" s="617"/>
      <c r="K232" s="1692">
        <f t="shared" ref="K232:K237" si="20">D232</f>
        <v>927</v>
      </c>
      <c r="L232" s="466">
        <v>1000</v>
      </c>
    </row>
    <row r="233" spans="1:12" x14ac:dyDescent="0.2">
      <c r="A233" s="1525" t="s">
        <v>1151</v>
      </c>
      <c r="B233" s="615">
        <v>2120</v>
      </c>
      <c r="C233" s="617"/>
      <c r="D233" s="466">
        <v>821</v>
      </c>
      <c r="E233" s="617"/>
      <c r="F233" s="617"/>
      <c r="G233" s="617"/>
      <c r="H233" s="617"/>
      <c r="I233" s="617"/>
      <c r="J233" s="617"/>
      <c r="K233" s="1692">
        <f t="shared" si="20"/>
        <v>821</v>
      </c>
      <c r="L233" s="466">
        <v>1625</v>
      </c>
    </row>
    <row r="234" spans="1:12" x14ac:dyDescent="0.2">
      <c r="A234" s="1525" t="s">
        <v>207</v>
      </c>
      <c r="B234" s="615">
        <v>2130</v>
      </c>
      <c r="C234" s="617"/>
      <c r="D234" s="466">
        <v>9254</v>
      </c>
      <c r="E234" s="617"/>
      <c r="F234" s="617"/>
      <c r="G234" s="617"/>
      <c r="H234" s="617"/>
      <c r="I234" s="617"/>
      <c r="J234" s="617"/>
      <c r="K234" s="1692">
        <f t="shared" si="20"/>
        <v>9254</v>
      </c>
      <c r="L234" s="466">
        <v>9000</v>
      </c>
    </row>
    <row r="235" spans="1:12" x14ac:dyDescent="0.2">
      <c r="A235" s="1525" t="s">
        <v>208</v>
      </c>
      <c r="B235" s="615">
        <v>2140</v>
      </c>
      <c r="C235" s="617"/>
      <c r="D235" s="466">
        <v>1260</v>
      </c>
      <c r="E235" s="617"/>
      <c r="F235" s="617"/>
      <c r="G235" s="617"/>
      <c r="H235" s="617"/>
      <c r="I235" s="617"/>
      <c r="J235" s="617"/>
      <c r="K235" s="1692">
        <f t="shared" si="20"/>
        <v>1260</v>
      </c>
      <c r="L235" s="466">
        <v>1500</v>
      </c>
    </row>
    <row r="236" spans="1:12" x14ac:dyDescent="0.2">
      <c r="A236" s="1525" t="s">
        <v>209</v>
      </c>
      <c r="B236" s="615">
        <v>2150</v>
      </c>
      <c r="C236" s="617"/>
      <c r="D236" s="466"/>
      <c r="E236" s="617"/>
      <c r="F236" s="617"/>
      <c r="G236" s="617"/>
      <c r="H236" s="617"/>
      <c r="I236" s="617"/>
      <c r="J236" s="617"/>
      <c r="K236" s="1692">
        <f t="shared" si="20"/>
        <v>0</v>
      </c>
      <c r="L236" s="466"/>
    </row>
    <row r="237" spans="1:12" x14ac:dyDescent="0.2">
      <c r="A237" s="1525"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12262</v>
      </c>
      <c r="E238" s="617"/>
      <c r="F238" s="617"/>
      <c r="G238" s="617"/>
      <c r="H238" s="617"/>
      <c r="I238" s="617"/>
      <c r="J238" s="617"/>
      <c r="K238" s="1691">
        <f>SUM(K232:K237)</f>
        <v>12262</v>
      </c>
      <c r="L238" s="1691">
        <f>SUM(L232:L237)</f>
        <v>13125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2733</v>
      </c>
      <c r="E240" s="617"/>
      <c r="F240" s="617"/>
      <c r="G240" s="617"/>
      <c r="H240" s="617"/>
      <c r="I240" s="617"/>
      <c r="J240" s="617"/>
      <c r="K240" s="1693">
        <f>D240</f>
        <v>2733</v>
      </c>
      <c r="L240" s="481"/>
    </row>
    <row r="241" spans="1:12" x14ac:dyDescent="0.2">
      <c r="A241" s="1525" t="s">
        <v>869</v>
      </c>
      <c r="B241" s="615">
        <v>2220</v>
      </c>
      <c r="C241" s="617"/>
      <c r="D241" s="466"/>
      <c r="E241" s="617"/>
      <c r="F241" s="617"/>
      <c r="G241" s="617"/>
      <c r="H241" s="617"/>
      <c r="I241" s="617"/>
      <c r="J241" s="617"/>
      <c r="K241" s="1693">
        <f>D241</f>
        <v>0</v>
      </c>
      <c r="L241" s="466"/>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2733</v>
      </c>
      <c r="E243" s="617"/>
      <c r="F243" s="617"/>
      <c r="G243" s="617"/>
      <c r="H243" s="617"/>
      <c r="I243" s="617"/>
      <c r="J243" s="617"/>
      <c r="K243" s="1691">
        <f>SUM(K240:K242)</f>
        <v>2733</v>
      </c>
      <c r="L243" s="169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93">
        <f>D245</f>
        <v>0</v>
      </c>
      <c r="L245" s="481"/>
    </row>
    <row r="246" spans="1:12" x14ac:dyDescent="0.2">
      <c r="A246" s="1525" t="s">
        <v>872</v>
      </c>
      <c r="B246" s="615">
        <v>2320</v>
      </c>
      <c r="C246" s="617"/>
      <c r="D246" s="466">
        <v>9572</v>
      </c>
      <c r="E246" s="617"/>
      <c r="F246" s="617"/>
      <c r="G246" s="617"/>
      <c r="H246" s="617"/>
      <c r="I246" s="617"/>
      <c r="J246" s="617"/>
      <c r="K246" s="1693">
        <f t="shared" ref="K246:K256" si="21">D246</f>
        <v>9572</v>
      </c>
      <c r="L246" s="466">
        <v>10575</v>
      </c>
    </row>
    <row r="247" spans="1:12" x14ac:dyDescent="0.2">
      <c r="A247" s="1525" t="s">
        <v>873</v>
      </c>
      <c r="B247" s="615">
        <v>2330</v>
      </c>
      <c r="C247" s="617"/>
      <c r="D247" s="466"/>
      <c r="E247" s="617"/>
      <c r="F247" s="617"/>
      <c r="G247" s="617"/>
      <c r="H247" s="617"/>
      <c r="I247" s="617"/>
      <c r="J247" s="617"/>
      <c r="K247" s="1693">
        <f t="shared" si="21"/>
        <v>0</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1907</v>
      </c>
      <c r="B249" s="684" t="s">
        <v>300</v>
      </c>
      <c r="C249" s="617"/>
      <c r="D249" s="474"/>
      <c r="E249" s="617"/>
      <c r="F249" s="617"/>
      <c r="G249" s="617"/>
      <c r="H249" s="617"/>
      <c r="I249" s="617"/>
      <c r="J249" s="617"/>
      <c r="K249" s="1693">
        <f t="shared" si="21"/>
        <v>0</v>
      </c>
      <c r="L249" s="466"/>
    </row>
    <row r="250" spans="1:12" x14ac:dyDescent="0.2">
      <c r="A250" s="1526" t="s">
        <v>1908</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c r="E254" s="617"/>
      <c r="F254" s="617"/>
      <c r="G254" s="617"/>
      <c r="H254" s="617"/>
      <c r="I254" s="617"/>
      <c r="J254" s="617"/>
      <c r="K254" s="1693">
        <f t="shared" si="21"/>
        <v>0</v>
      </c>
      <c r="L254" s="466"/>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9572</v>
      </c>
      <c r="E257" s="617"/>
      <c r="F257" s="617"/>
      <c r="G257" s="617"/>
      <c r="H257" s="617"/>
      <c r="I257" s="617"/>
      <c r="J257" s="617"/>
      <c r="K257" s="1691">
        <f>SUM(K245:K256)</f>
        <v>9572</v>
      </c>
      <c r="L257" s="1691">
        <f>SUM(L245:L256)</f>
        <v>10575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17095</v>
      </c>
      <c r="E259" s="617"/>
      <c r="F259" s="617"/>
      <c r="G259" s="617"/>
      <c r="H259" s="617"/>
      <c r="I259" s="617"/>
      <c r="J259" s="617"/>
      <c r="K259" s="1693">
        <f>D259</f>
        <v>17095</v>
      </c>
      <c r="L259" s="481">
        <v>16600</v>
      </c>
    </row>
    <row r="260" spans="1:14" s="598" customFormat="1" x14ac:dyDescent="0.2">
      <c r="A260" s="1543" t="s">
        <v>1906</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17095</v>
      </c>
      <c r="E261" s="617"/>
      <c r="F261" s="617"/>
      <c r="G261" s="617"/>
      <c r="H261" s="617"/>
      <c r="I261" s="617"/>
      <c r="J261" s="617"/>
      <c r="K261" s="1691">
        <f>SUM(K259:K260)</f>
        <v>17095</v>
      </c>
      <c r="L261" s="1691">
        <f>SUM(L259:L260)</f>
        <v>16600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row>
    <row r="264" spans="1:14" x14ac:dyDescent="0.2">
      <c r="A264" s="1525" t="s">
        <v>483</v>
      </c>
      <c r="B264" s="686">
        <v>2520</v>
      </c>
      <c r="C264" s="617"/>
      <c r="D264" s="466">
        <v>19024</v>
      </c>
      <c r="E264" s="617"/>
      <c r="F264" s="617"/>
      <c r="G264" s="617"/>
      <c r="H264" s="617"/>
      <c r="I264" s="617"/>
      <c r="J264" s="617"/>
      <c r="K264" s="1693">
        <f t="shared" ref="K264:K269" si="22">D264</f>
        <v>19024</v>
      </c>
      <c r="L264" s="466">
        <v>19020</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64380</v>
      </c>
      <c r="E266" s="617"/>
      <c r="F266" s="617"/>
      <c r="G266" s="617"/>
      <c r="H266" s="617"/>
      <c r="I266" s="617"/>
      <c r="J266" s="617"/>
      <c r="K266" s="1693">
        <f t="shared" si="22"/>
        <v>64380</v>
      </c>
      <c r="L266" s="466">
        <v>65000</v>
      </c>
    </row>
    <row r="267" spans="1:14" x14ac:dyDescent="0.2">
      <c r="A267" s="1525" t="s">
        <v>1010</v>
      </c>
      <c r="B267" s="615">
        <v>2550</v>
      </c>
      <c r="C267" s="617"/>
      <c r="D267" s="466">
        <v>1898</v>
      </c>
      <c r="E267" s="617"/>
      <c r="F267" s="617"/>
      <c r="G267" s="617"/>
      <c r="H267" s="617"/>
      <c r="I267" s="617"/>
      <c r="J267" s="617"/>
      <c r="K267" s="1693">
        <f t="shared" si="22"/>
        <v>1898</v>
      </c>
      <c r="L267" s="466">
        <v>1100</v>
      </c>
    </row>
    <row r="268" spans="1:14" x14ac:dyDescent="0.2">
      <c r="A268" s="1525" t="s">
        <v>102</v>
      </c>
      <c r="B268" s="615">
        <v>2560</v>
      </c>
      <c r="C268" s="617"/>
      <c r="D268" s="466">
        <v>17477</v>
      </c>
      <c r="E268" s="617"/>
      <c r="F268" s="617"/>
      <c r="G268" s="617"/>
      <c r="H268" s="617"/>
      <c r="I268" s="617"/>
      <c r="J268" s="617"/>
      <c r="K268" s="1693">
        <f t="shared" si="22"/>
        <v>17477</v>
      </c>
      <c r="L268" s="466">
        <v>18810</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102779</v>
      </c>
      <c r="E270" s="617"/>
      <c r="F270" s="617"/>
      <c r="G270" s="617"/>
      <c r="H270" s="617"/>
      <c r="I270" s="617"/>
      <c r="J270" s="617"/>
      <c r="K270" s="1691">
        <f>SUM(K263:K269)</f>
        <v>102779</v>
      </c>
      <c r="L270" s="1691">
        <f>SUM(L263:L269)</f>
        <v>103930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c r="E274" s="617"/>
      <c r="F274" s="617"/>
      <c r="G274" s="617"/>
      <c r="H274" s="617"/>
      <c r="I274" s="617"/>
      <c r="J274" s="617"/>
      <c r="K274" s="1693">
        <f>D274</f>
        <v>0</v>
      </c>
      <c r="L274" s="466"/>
    </row>
    <row r="275" spans="1:12" x14ac:dyDescent="0.2">
      <c r="A275" s="1525" t="s">
        <v>423</v>
      </c>
      <c r="B275" s="615">
        <v>2640</v>
      </c>
      <c r="C275" s="617"/>
      <c r="D275" s="466"/>
      <c r="E275" s="617"/>
      <c r="F275" s="617"/>
      <c r="G275" s="617"/>
      <c r="H275" s="617"/>
      <c r="I275" s="617"/>
      <c r="J275" s="617"/>
      <c r="K275" s="1693">
        <f>D275</f>
        <v>0</v>
      </c>
      <c r="L275" s="466"/>
    </row>
    <row r="276" spans="1:12" x14ac:dyDescent="0.2">
      <c r="A276" s="1525"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144441</v>
      </c>
      <c r="E279" s="617"/>
      <c r="F279" s="617"/>
      <c r="G279" s="617"/>
      <c r="H279" s="617"/>
      <c r="I279" s="617"/>
      <c r="J279" s="617"/>
      <c r="K279" s="1698">
        <f>SUM(K238,K243,K257,K261,K270,K277,K278)</f>
        <v>144441</v>
      </c>
      <c r="L279" s="1698">
        <f>SUM(L238,L243,L257,L261,L270,L277,L278)</f>
        <v>144230</v>
      </c>
    </row>
    <row r="280" spans="1:12" ht="15.75" customHeight="1" thickTop="1" thickBot="1" x14ac:dyDescent="0.25">
      <c r="A280" s="1645" t="s">
        <v>930</v>
      </c>
      <c r="B280" s="1634">
        <v>3000</v>
      </c>
      <c r="C280" s="617"/>
      <c r="D280" s="576">
        <v>8439</v>
      </c>
      <c r="E280" s="617"/>
      <c r="F280" s="617"/>
      <c r="G280" s="617"/>
      <c r="H280" s="617"/>
      <c r="I280" s="617"/>
      <c r="J280" s="617"/>
      <c r="K280" s="1700">
        <f>D280</f>
        <v>8439</v>
      </c>
      <c r="L280" s="576">
        <v>6291</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1956</v>
      </c>
      <c r="C282" s="617"/>
      <c r="D282" s="467">
        <v>56152</v>
      </c>
      <c r="E282" s="617"/>
      <c r="F282" s="617"/>
      <c r="G282" s="617"/>
      <c r="H282" s="617"/>
      <c r="I282" s="617"/>
      <c r="J282" s="617"/>
      <c r="K282" s="1692">
        <f>D282</f>
        <v>56152</v>
      </c>
      <c r="L282" s="467"/>
    </row>
    <row r="283" spans="1:12" x14ac:dyDescent="0.2">
      <c r="A283" s="1525" t="s">
        <v>322</v>
      </c>
      <c r="B283" s="615">
        <v>4120</v>
      </c>
      <c r="C283" s="617"/>
      <c r="D283" s="466"/>
      <c r="E283" s="617"/>
      <c r="F283" s="617"/>
      <c r="G283" s="617"/>
      <c r="H283" s="617"/>
      <c r="I283" s="617"/>
      <c r="J283" s="617"/>
      <c r="K283" s="1692">
        <f>D283</f>
        <v>0</v>
      </c>
      <c r="L283" s="466">
        <v>56152</v>
      </c>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56152</v>
      </c>
      <c r="E285" s="617"/>
      <c r="F285" s="617"/>
      <c r="G285" s="617"/>
      <c r="H285" s="617"/>
      <c r="I285" s="617"/>
      <c r="J285" s="617"/>
      <c r="K285" s="1691">
        <f>SUM(K282:K284)</f>
        <v>56152</v>
      </c>
      <c r="L285" s="1691">
        <f>SUM(L282:L284)</f>
        <v>56152</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207" t="s">
        <v>526</v>
      </c>
      <c r="B295" s="2208"/>
      <c r="C295" s="617"/>
      <c r="D295" s="1691">
        <f>SUM(D229,D279,D280,D285)</f>
        <v>352357</v>
      </c>
      <c r="E295" s="617"/>
      <c r="F295" s="617"/>
      <c r="G295" s="617"/>
      <c r="H295" s="1691">
        <f>H293</f>
        <v>0</v>
      </c>
      <c r="I295" s="617"/>
      <c r="J295" s="617"/>
      <c r="K295" s="1691">
        <f>SUM(K229,K279,K280,K285,K293,K294)</f>
        <v>352357</v>
      </c>
      <c r="L295" s="1691">
        <f>SUM(L229,L279,L280,L285,L293,L294)</f>
        <v>358489</v>
      </c>
    </row>
    <row r="296" spans="1:14" ht="13.5" thickTop="1" x14ac:dyDescent="0.2">
      <c r="A296" s="2189" t="s">
        <v>1053</v>
      </c>
      <c r="B296" s="2190"/>
      <c r="C296" s="617"/>
      <c r="D296" s="619"/>
      <c r="E296" s="617"/>
      <c r="F296" s="617"/>
      <c r="G296" s="617"/>
      <c r="H296" s="688"/>
      <c r="I296" s="617"/>
      <c r="J296" s="617"/>
      <c r="K296" s="1705">
        <f>'Revenues 9-14'!G275-'Expenditures 15-22'!K295</f>
        <v>51286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9" t="s">
        <v>145</v>
      </c>
      <c r="B298" s="2193"/>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v>818</v>
      </c>
      <c r="F301" s="466"/>
      <c r="G301" s="466">
        <v>142700</v>
      </c>
      <c r="H301" s="466"/>
      <c r="I301" s="467"/>
      <c r="J301" s="467"/>
      <c r="K301" s="1692">
        <f>SUM(C301:J301)</f>
        <v>143518</v>
      </c>
      <c r="L301" s="467">
        <v>435000</v>
      </c>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818</v>
      </c>
      <c r="F303" s="1698">
        <f t="shared" si="23"/>
        <v>0</v>
      </c>
      <c r="G303" s="1698">
        <f t="shared" si="23"/>
        <v>142700</v>
      </c>
      <c r="H303" s="1698">
        <f t="shared" si="23"/>
        <v>0</v>
      </c>
      <c r="I303" s="1698">
        <f t="shared" si="23"/>
        <v>0</v>
      </c>
      <c r="J303" s="1698">
        <f t="shared" si="23"/>
        <v>0</v>
      </c>
      <c r="K303" s="1698">
        <f t="shared" si="23"/>
        <v>143518</v>
      </c>
      <c r="L303" s="1698">
        <f t="shared" si="23"/>
        <v>435000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1961</v>
      </c>
      <c r="B306" s="691" t="s">
        <v>1956</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204" t="s">
        <v>295</v>
      </c>
      <c r="B312" s="2205"/>
      <c r="C312" s="1691">
        <f>SUM(C303)</f>
        <v>0</v>
      </c>
      <c r="D312" s="1691">
        <f>SUM(D303)</f>
        <v>0</v>
      </c>
      <c r="E312" s="1691">
        <f>SUM(E303,E310)</f>
        <v>818</v>
      </c>
      <c r="F312" s="1691">
        <f>SUM(F303)</f>
        <v>0</v>
      </c>
      <c r="G312" s="1691">
        <f>SUM(G303)</f>
        <v>142700</v>
      </c>
      <c r="H312" s="1691">
        <f>SUM(H303,H310)</f>
        <v>0</v>
      </c>
      <c r="I312" s="1691">
        <f>SUM(I303)</f>
        <v>0</v>
      </c>
      <c r="J312" s="1691">
        <f>SUM(J303)</f>
        <v>0</v>
      </c>
      <c r="K312" s="1691">
        <f>SUM(K303,K310,K311)</f>
        <v>143518</v>
      </c>
      <c r="L312" s="1691">
        <f>SUM(L303,L310,L311)</f>
        <v>435000</v>
      </c>
      <c r="M312" s="666"/>
      <c r="N312" s="666"/>
    </row>
    <row r="313" spans="1:14" ht="13.5" thickTop="1" x14ac:dyDescent="0.2">
      <c r="A313" s="2200" t="s">
        <v>1053</v>
      </c>
      <c r="B313" s="2201"/>
      <c r="C313" s="627"/>
      <c r="D313" s="627"/>
      <c r="E313" s="627"/>
      <c r="F313" s="627"/>
      <c r="G313" s="627"/>
      <c r="H313" s="627"/>
      <c r="I313" s="627"/>
      <c r="J313" s="627"/>
      <c r="K313" s="1706">
        <f>'Revenues 9-14'!H275-'Expenditures 15-22'!K312</f>
        <v>229344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3" t="s">
        <v>151</v>
      </c>
      <c r="B315" s="2214"/>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5" t="s">
        <v>954</v>
      </c>
      <c r="B317" s="2214"/>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1907</v>
      </c>
      <c r="B320" s="699" t="s">
        <v>300</v>
      </c>
      <c r="C320" s="467"/>
      <c r="D320" s="467"/>
      <c r="E320" s="467"/>
      <c r="F320" s="467"/>
      <c r="G320" s="467"/>
      <c r="H320" s="467"/>
      <c r="I320" s="467"/>
      <c r="J320" s="467"/>
      <c r="K320" s="1692">
        <f t="shared" ref="K320:K327" si="24">SUM(C320:J320)</f>
        <v>0</v>
      </c>
      <c r="L320" s="467"/>
      <c r="M320" s="666"/>
      <c r="N320" s="666"/>
    </row>
    <row r="321" spans="1:14" s="675" customFormat="1" x14ac:dyDescent="0.2">
      <c r="A321" s="1540"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0" t="s">
        <v>256</v>
      </c>
      <c r="B322" s="698" t="s">
        <v>302</v>
      </c>
      <c r="C322" s="467"/>
      <c r="D322" s="467"/>
      <c r="E322" s="467"/>
      <c r="F322" s="467"/>
      <c r="G322" s="467"/>
      <c r="H322" s="467"/>
      <c r="I322" s="467"/>
      <c r="J322" s="467"/>
      <c r="K322" s="1692">
        <f t="shared" si="24"/>
        <v>0</v>
      </c>
      <c r="L322" s="467"/>
      <c r="M322" s="666"/>
      <c r="N322" s="666"/>
    </row>
    <row r="323" spans="1:14" s="675" customFormat="1" x14ac:dyDescent="0.2">
      <c r="A323" s="1540" t="s">
        <v>726</v>
      </c>
      <c r="B323" s="698" t="s">
        <v>303</v>
      </c>
      <c r="C323" s="467"/>
      <c r="D323" s="467"/>
      <c r="E323" s="467">
        <v>173744</v>
      </c>
      <c r="F323" s="467"/>
      <c r="G323" s="467"/>
      <c r="H323" s="467"/>
      <c r="I323" s="467"/>
      <c r="J323" s="467"/>
      <c r="K323" s="1692">
        <f t="shared" si="24"/>
        <v>173744</v>
      </c>
      <c r="L323" s="467">
        <v>203645</v>
      </c>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v>49200</v>
      </c>
      <c r="D325" s="467">
        <v>2063</v>
      </c>
      <c r="E325" s="467"/>
      <c r="F325" s="467"/>
      <c r="G325" s="467"/>
      <c r="H325" s="467"/>
      <c r="I325" s="467"/>
      <c r="J325" s="467"/>
      <c r="K325" s="1692">
        <f t="shared" si="24"/>
        <v>51263</v>
      </c>
      <c r="L325" s="467"/>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c r="F327" s="467"/>
      <c r="G327" s="467"/>
      <c r="H327" s="467"/>
      <c r="I327" s="467"/>
      <c r="J327" s="467"/>
      <c r="K327" s="1692">
        <f t="shared" si="24"/>
        <v>0</v>
      </c>
      <c r="L327" s="467"/>
      <c r="M327" s="666"/>
      <c r="N327" s="666"/>
    </row>
    <row r="328" spans="1:14" s="675" customFormat="1" x14ac:dyDescent="0.2">
      <c r="A328" s="1541"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v>11610</v>
      </c>
      <c r="M329" s="666"/>
      <c r="N329" s="666"/>
    </row>
    <row r="330" spans="1:14" s="675" customFormat="1" ht="12.75" customHeight="1" thickBot="1" x14ac:dyDescent="0.25">
      <c r="A330" s="1721" t="s">
        <v>741</v>
      </c>
      <c r="B330" s="1690" t="s">
        <v>590</v>
      </c>
      <c r="C330" s="1691">
        <f>SUM(C319:C329)</f>
        <v>49200</v>
      </c>
      <c r="D330" s="1691">
        <f t="shared" ref="D330:J330" si="25">SUM(D319:D329)</f>
        <v>2063</v>
      </c>
      <c r="E330" s="1691">
        <f t="shared" si="25"/>
        <v>173744</v>
      </c>
      <c r="F330" s="1691">
        <f t="shared" si="25"/>
        <v>0</v>
      </c>
      <c r="G330" s="1691">
        <f t="shared" si="25"/>
        <v>0</v>
      </c>
      <c r="H330" s="1691">
        <f t="shared" si="25"/>
        <v>0</v>
      </c>
      <c r="I330" s="1691">
        <f t="shared" si="25"/>
        <v>0</v>
      </c>
      <c r="J330" s="1691">
        <f t="shared" si="25"/>
        <v>0</v>
      </c>
      <c r="K330" s="1691">
        <f>SUM(K319:K329)</f>
        <v>225007</v>
      </c>
      <c r="L330" s="1691">
        <f>SUM(L319:L329)</f>
        <v>215255</v>
      </c>
      <c r="M330" s="666"/>
      <c r="N330" s="666"/>
    </row>
    <row r="331" spans="1:14" s="675" customFormat="1" ht="12.75" customHeight="1" thickTop="1" x14ac:dyDescent="0.2">
      <c r="A331" s="1853" t="s">
        <v>1962</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1956</v>
      </c>
      <c r="C332" s="1855"/>
      <c r="D332" s="1855"/>
      <c r="E332" s="1855"/>
      <c r="F332" s="1855"/>
      <c r="G332" s="1855"/>
      <c r="H332" s="467">
        <v>61647</v>
      </c>
      <c r="I332" s="1855"/>
      <c r="J332" s="1855"/>
      <c r="K332" s="1692">
        <f>H332</f>
        <v>61647</v>
      </c>
      <c r="L332" s="467"/>
      <c r="M332" s="666"/>
      <c r="N332" s="666"/>
    </row>
    <row r="333" spans="1:14" s="675" customFormat="1" ht="12.75" customHeight="1" x14ac:dyDescent="0.2">
      <c r="A333" s="1854" t="s">
        <v>322</v>
      </c>
      <c r="B333" s="1849" t="s">
        <v>1958</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1963</v>
      </c>
      <c r="B334" s="1849" t="s">
        <v>915</v>
      </c>
      <c r="C334" s="1855"/>
      <c r="D334" s="1855"/>
      <c r="E334" s="1855"/>
      <c r="F334" s="1855"/>
      <c r="G334" s="1855"/>
      <c r="H334" s="1691">
        <f>SUM(H332:H333)</f>
        <v>61647</v>
      </c>
      <c r="I334" s="1855"/>
      <c r="J334" s="1855"/>
      <c r="K334" s="1691">
        <f>SUM(K332:K333)</f>
        <v>61647</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49200</v>
      </c>
      <c r="D342" s="1691">
        <f>SUM(D330)</f>
        <v>2063</v>
      </c>
      <c r="E342" s="1691">
        <f>SUM(E330)</f>
        <v>173744</v>
      </c>
      <c r="F342" s="1691">
        <f>SUM(F330)</f>
        <v>0</v>
      </c>
      <c r="G342" s="1691">
        <f>SUM(G330)</f>
        <v>0</v>
      </c>
      <c r="H342" s="1691">
        <f>SUM(H330,H334,H340)</f>
        <v>61647</v>
      </c>
      <c r="I342" s="1691">
        <f>SUM(I330)</f>
        <v>0</v>
      </c>
      <c r="J342" s="1691">
        <f>SUM(J330)</f>
        <v>0</v>
      </c>
      <c r="K342" s="1691">
        <f>SUM(K330,K334,K340)</f>
        <v>286654</v>
      </c>
      <c r="L342" s="1698">
        <f>SUM(L330,L340,L341)</f>
        <v>215255</v>
      </c>
    </row>
    <row r="343" spans="1:14" ht="12.75" customHeight="1" thickTop="1" x14ac:dyDescent="0.2">
      <c r="A343" s="2202" t="s">
        <v>1053</v>
      </c>
      <c r="B343" s="2203"/>
      <c r="C343" s="617"/>
      <c r="D343" s="617"/>
      <c r="E343" s="617"/>
      <c r="F343" s="617"/>
      <c r="G343" s="617"/>
      <c r="H343" s="617"/>
      <c r="I343" s="617"/>
      <c r="J343" s="617"/>
      <c r="K343" s="1705">
        <f>'Revenues 9-14'!J275-'Expenditures 15-22'!K342</f>
        <v>-227187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2" t="s">
        <v>1023</v>
      </c>
      <c r="B345" s="2193"/>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row>
    <row r="349" spans="1:14" x14ac:dyDescent="0.2">
      <c r="A349" s="1525"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1964</v>
      </c>
      <c r="B354" s="684" t="s">
        <v>1956</v>
      </c>
      <c r="C354" s="617"/>
      <c r="D354" s="617"/>
      <c r="E354" s="617"/>
      <c r="F354" s="617"/>
      <c r="G354" s="617"/>
      <c r="H354" s="474"/>
      <c r="I354" s="702"/>
      <c r="J354" s="617"/>
      <c r="K354" s="1720">
        <f>H354</f>
        <v>0</v>
      </c>
      <c r="L354" s="471"/>
    </row>
    <row r="355" spans="1:14" ht="12.75" customHeight="1" x14ac:dyDescent="0.2">
      <c r="A355" s="1534" t="s">
        <v>1965</v>
      </c>
      <c r="B355" s="691" t="s">
        <v>1958</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189" t="s">
        <v>1053</v>
      </c>
      <c r="B368" s="2190"/>
      <c r="C368" s="655"/>
      <c r="D368" s="655"/>
      <c r="E368" s="627"/>
      <c r="F368" s="627"/>
      <c r="G368" s="627"/>
      <c r="H368" s="627"/>
      <c r="I368" s="627"/>
      <c r="J368" s="624"/>
      <c r="K368" s="1692">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55000000000000004" bottom="0.3" header="0.28000000000000003" footer="0.1"/>
  <pageSetup scale="72"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the financial statements and auditors' reports.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purl.org/dc/elements/1.1/"/>
    <ds:schemaRef ds:uri="http://schemas.openxmlformats.org/package/2006/metadata/core-properties"/>
    <ds:schemaRef ds:uri="http://www.w3.org/XML/1998/namespace"/>
    <ds:schemaRef ds:uri="http://schemas.microsoft.com/sharepoint/v3"/>
    <ds:schemaRef ds:uri="http://schemas.microsoft.com/office/2006/documentManagement/types"/>
    <ds:schemaRef ds:uri="http://purl.org/dc/terms/"/>
    <ds:schemaRef ds:uri="d21dc803-237d-4c68-8692-8d731fd29118"/>
    <ds:schemaRef ds:uri="http://purl.org/dc/dcmitype/"/>
    <ds:schemaRef ds:uri="6ce3111e-7420-4802-b50a-75d4e9a0b980"/>
    <ds:schemaRef ds:uri="http://schemas.microsoft.com/office/infopath/2007/PartnerControls"/>
    <ds:schemaRef ds:uri="4d435f69-8686-490b-bd6d-b153bf22ab50"/>
    <ds:schemaRef ds:uri="http://schemas.microsoft.com/office/2006/metadata/properties"/>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19</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Sec-2 (2)</vt:lpstr>
      <vt:lpstr>SF&amp;QC Sec-2 (3)</vt:lpstr>
      <vt:lpstr>SF&amp;QC Sec-2 (4)</vt:lpstr>
      <vt:lpstr>SF&amp;QC Sec-2 (5)</vt:lpstr>
      <vt:lpstr>SF&amp;QC Sec-3</vt:lpstr>
      <vt:lpstr>SF&amp;QC Sec-3 (2)</vt:lpstr>
      <vt:lpstr>SF&amp;QC Sec-3 (3)</vt:lpstr>
      <vt:lpstr>SSPAF</vt:lpstr>
      <vt:lpstr>' SEFA'!Print_Area</vt:lpstr>
      <vt:lpstr>' SEFA (2)'!Print_Area</vt:lpstr>
      <vt:lpstr>'SEFA NOTES'!Print_Area</vt:lpstr>
      <vt:lpstr>'SEFA Reconcile'!Print_Area</vt:lpstr>
      <vt:lpstr>'SF&amp;QC Sec-1'!Print_Area</vt:lpstr>
      <vt:lpstr>'SF&amp;QC Sec-3'!Print_Area</vt:lpstr>
      <vt:lpstr>'SF&amp;QC Sec-3 (2)'!Print_Area</vt:lpstr>
      <vt:lpstr>'SF&amp;QC Sec-3 (3)'!Print_Area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2018-10-03T13:53:22Z</cp:lastPrinted>
  <dcterms:created xsi:type="dcterms:W3CDTF">2003-10-29T19:06:34Z</dcterms:created>
  <dcterms:modified xsi:type="dcterms:W3CDTF">2018-10-16T14:30:27Z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Paris Union School District No. 95</vt:lpwstr>
  </property>
  <property fmtid="{D5CDD505-2E9C-101B-9397-08002B2CF9AE}" pid="6" name="PPC_Template_Engagement_Date">
    <vt:lpwstr>6/30/2018</vt:lpwstr>
  </property>
</Properties>
</file>