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532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c r="B5117" i="106"/>
  <c r="D5117" i="106" s="1"/>
  <c r="B5118" i="106"/>
  <c r="D5118" i="106" s="1"/>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s="1"/>
  <c r="B6627" i="106"/>
  <c r="D6627" i="106" s="1"/>
  <c r="B6628" i="106"/>
  <c r="D6628" i="106"/>
  <c r="B6629" i="106"/>
  <c r="D6629" i="106" s="1"/>
  <c r="B6630" i="106"/>
  <c r="D6630" i="106" s="1"/>
  <c r="B6631" i="106"/>
  <c r="D6631" i="106" s="1"/>
  <c r="B6632" i="106"/>
  <c r="D6632" i="106"/>
  <c r="B6633" i="106"/>
  <c r="D6633" i="106" s="1"/>
  <c r="B6634" i="106"/>
  <c r="D6634" i="106" s="1"/>
  <c r="B6635" i="106"/>
  <c r="D6635" i="106" s="1"/>
  <c r="B6636" i="106"/>
  <c r="D6636" i="106"/>
  <c r="B6637" i="106"/>
  <c r="D6637" i="106" s="1"/>
  <c r="B6638" i="106"/>
  <c r="D6638" i="106" s="1"/>
  <c r="B6639" i="106"/>
  <c r="D6639" i="106" s="1"/>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5" i="7"/>
  <c r="B1761" i="106" s="1"/>
  <c r="D1761" i="106" s="1"/>
  <c r="D13" i="7"/>
  <c r="B3726" i="106" s="1"/>
  <c r="D3726" i="106" s="1"/>
  <c r="F131" i="34"/>
  <c r="F128" i="34"/>
  <c r="F111" i="34"/>
  <c r="B5752" i="106"/>
  <c r="D5752" i="106" s="1"/>
  <c r="K274" i="5"/>
  <c r="C172" i="5"/>
  <c r="B5214" i="106" s="1"/>
  <c r="D5214" i="106" s="1"/>
  <c r="F106" i="34"/>
  <c r="D7" i="7"/>
  <c r="B1763" i="106" s="1"/>
  <c r="D1763" i="106" s="1"/>
  <c r="B1746" i="106"/>
  <c r="D1746" i="106" s="1"/>
  <c r="D12" i="7"/>
  <c r="B1769" i="106" s="1"/>
  <c r="D1769" i="106" s="1"/>
  <c r="D11" i="7"/>
  <c r="B1768" i="106" s="1"/>
  <c r="D1768" i="106" s="1"/>
  <c r="D15" i="7"/>
  <c r="B1772" i="106" s="1"/>
  <c r="D1772" i="106" s="1"/>
  <c r="G173" i="5" l="1"/>
  <c r="B5778" i="106" s="1"/>
  <c r="D5778" i="106" s="1"/>
  <c r="B5770" i="106"/>
  <c r="D5770" i="106" s="1"/>
  <c r="F21" i="8"/>
  <c r="B3689" i="106"/>
  <c r="D3689" i="106" s="1"/>
  <c r="G15" i="145"/>
  <c r="F15" i="145"/>
  <c r="F19" i="145" s="1"/>
  <c r="B1274" i="106"/>
  <c r="D1274" i="106" s="1"/>
  <c r="D109" i="5"/>
  <c r="G4" i="4"/>
  <c r="B2603" i="106" s="1"/>
  <c r="D2603" i="106" s="1"/>
  <c r="F127" i="34"/>
  <c r="F136" i="34"/>
  <c r="J274" i="5"/>
  <c r="B7054" i="106" s="1"/>
  <c r="D7054" i="106" s="1"/>
  <c r="E109" i="5"/>
  <c r="E4" i="4" s="1"/>
  <c r="B2630" i="106" s="1"/>
  <c r="D2630" i="106" s="1"/>
  <c r="K285" i="29"/>
  <c r="B3723" i="106"/>
  <c r="D3723" i="106" s="1"/>
  <c r="B3658" i="106"/>
  <c r="D3658" i="106" s="1"/>
  <c r="H365" i="29"/>
  <c r="B3565" i="106"/>
  <c r="D3565" i="106" s="1"/>
  <c r="K41" i="3"/>
  <c r="D17" i="7"/>
  <c r="B4104" i="106" s="1"/>
  <c r="D4104" i="106" s="1"/>
  <c r="H173" i="5"/>
  <c r="F130" i="34"/>
  <c r="D9" i="7"/>
  <c r="B1767" i="106" s="1"/>
  <c r="D1767" i="106" s="1"/>
  <c r="G5" i="4"/>
  <c r="B3409" i="106" s="1"/>
  <c r="D3409" i="106" s="1"/>
  <c r="B7041" i="106"/>
  <c r="D7041" i="106" s="1"/>
  <c r="K173" i="5"/>
  <c r="K6" i="4" s="1"/>
  <c r="B3570" i="106" s="1"/>
  <c r="D3570" i="106" s="1"/>
  <c r="L367" i="29"/>
  <c r="F34" i="34"/>
  <c r="I342" i="29"/>
  <c r="B7222" i="106" s="1"/>
  <c r="D7222" i="106" s="1"/>
  <c r="B3649" i="106"/>
  <c r="D3649" i="106" s="1"/>
  <c r="G367" i="29"/>
  <c r="B3619" i="106"/>
  <c r="D3619" i="106" s="1"/>
  <c r="C352" i="29"/>
  <c r="B1329" i="106"/>
  <c r="D1329" i="106" s="1"/>
  <c r="F61" i="34"/>
  <c r="K76" i="4"/>
  <c r="B3586" i="106" s="1"/>
  <c r="D3586" i="106" s="1"/>
  <c r="D6103" i="106"/>
  <c r="D11" i="37"/>
  <c r="H29" i="118"/>
  <c r="K28" i="118" s="1"/>
  <c r="O27" i="118" s="1"/>
  <c r="O29" i="118" s="1"/>
  <c r="D31" i="36"/>
  <c r="L13" i="11"/>
  <c r="B2060" i="106" s="1"/>
  <c r="D2060" i="106" s="1"/>
  <c r="K24" i="12"/>
  <c r="K350" i="29"/>
  <c r="B1410" i="106"/>
  <c r="D1410" i="106" s="1"/>
  <c r="K184" i="29"/>
  <c r="F13" i="4" s="1"/>
  <c r="B2596" i="106" s="1"/>
  <c r="D2596" i="106" s="1"/>
  <c r="C129" i="29"/>
  <c r="H109" i="5"/>
  <c r="C173" i="5"/>
  <c r="B5223" i="106" s="1"/>
  <c r="D5223" i="106" s="1"/>
  <c r="C109" i="5"/>
  <c r="B5121" i="106" s="1"/>
  <c r="D5121" i="106" s="1"/>
  <c r="D4" i="7"/>
  <c r="B1760" i="106" s="1"/>
  <c r="D1760" i="106" s="1"/>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2657" i="106"/>
  <c r="D2657" i="106" s="1"/>
  <c r="D274" i="5"/>
  <c r="B3447" i="106"/>
  <c r="D3447" i="106" s="1"/>
  <c r="B7270" i="106"/>
  <c r="B5356" i="106" l="1"/>
  <c r="D5356" i="106" s="1"/>
  <c r="D4" i="4"/>
  <c r="B2564" i="106" s="1"/>
  <c r="D2564" i="106" s="1"/>
  <c r="K77" i="4"/>
  <c r="B3587" i="106" s="1"/>
  <c r="D3587" i="106" s="1"/>
  <c r="F274" i="5"/>
  <c r="F275" i="5" s="1"/>
  <c r="B5720" i="106" s="1"/>
  <c r="D5720" i="106" s="1"/>
  <c r="K342" i="29"/>
  <c r="F13" i="34" s="1"/>
  <c r="B3568" i="106"/>
  <c r="D3568" i="106" s="1"/>
  <c r="D52" i="36"/>
  <c r="B1879" i="106"/>
  <c r="D1879" i="106" s="1"/>
  <c r="H22" i="37"/>
  <c r="D19" i="7"/>
  <c r="B1775" i="106" s="1"/>
  <c r="D1775" i="106" s="1"/>
  <c r="J7" i="4"/>
  <c r="D44" i="36"/>
  <c r="C6" i="4"/>
  <c r="B2553" i="106" s="1"/>
  <c r="D2553" i="106" s="1"/>
  <c r="F73" i="34"/>
  <c r="G15" i="4"/>
  <c r="B6032" i="106" s="1"/>
  <c r="D6032" i="106" s="1"/>
  <c r="B3621" i="106"/>
  <c r="D3621" i="106" s="1"/>
  <c r="C367" i="29"/>
  <c r="B3622" i="106" s="1"/>
  <c r="D3622" i="106" s="1"/>
  <c r="B5906" i="106"/>
  <c r="D5906" i="106" s="1"/>
  <c r="H6" i="4"/>
  <c r="B2656" i="106" s="1"/>
  <c r="D2656" i="106" s="1"/>
  <c r="H367" i="29"/>
  <c r="B3660" i="106" s="1"/>
  <c r="D3660" i="106" s="1"/>
  <c r="B7242" i="106"/>
  <c r="D7242" i="106" s="1"/>
  <c r="L16" i="11"/>
  <c r="B2061" i="106" s="1"/>
  <c r="D2061" i="106" s="1"/>
  <c r="B7733" i="106"/>
  <c r="D7733" i="106" s="1"/>
  <c r="K26" i="12"/>
  <c r="B7743" i="106" s="1"/>
  <c r="D7743" i="106" s="1"/>
  <c r="B3670" i="106"/>
  <c r="D3670" i="106" s="1"/>
  <c r="K352" i="29"/>
  <c r="B6025" i="106"/>
  <c r="D6025" i="106" s="1"/>
  <c r="H4" i="4"/>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719" i="106" l="1"/>
  <c r="D5719" i="106" s="1"/>
  <c r="J8" i="4"/>
  <c r="F8" i="4"/>
  <c r="J17" i="4"/>
  <c r="K13" i="4"/>
  <c r="B3572" i="106" s="1"/>
  <c r="D3572" i="106" s="1"/>
  <c r="B3672" i="106"/>
  <c r="D3672" i="106" s="1"/>
  <c r="K367" i="29"/>
  <c r="K368" i="29" s="1"/>
  <c r="B3681" i="106" s="1"/>
  <c r="D3681" i="106" s="1"/>
  <c r="G41" i="108"/>
  <c r="G44" i="108" s="1"/>
  <c r="G45" i="108" s="1"/>
  <c r="E41" i="108"/>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E44" i="108"/>
  <c r="E45" i="108" s="1"/>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<sst xmlns="http://schemas.openxmlformats.org/spreadsheetml/2006/main" count="5036" uniqueCount="2103">
  <si>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</si>
  <si>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</si>
  <si>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</si>
  <si>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</si>
  <si>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</si>
  <si>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</si>
  <si>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</si>
  <si>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</si>
  <si>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</si>
  <si>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</si>
  <si>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</si>
  <si>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</si>
  <si>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</si>
  <si>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</si>
  <si>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</si>
  <si>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</si>
  <si>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</si>
  <si>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</si>
  <si>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</si>
  <si>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</si>
  <si>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</si>
  <si>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</si>
  <si>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</si>
  <si>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</si>
  <si>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</si>
  <si>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</si>
  <si>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</si>
  <si>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</si>
  <si>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</si>
  <si>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</si>
  <si>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</si>
  <si>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</si>
  <si>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</si>
  <si>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</si>
  <si>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</si>
  <si>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</si>
  <si>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</si>
  <si>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</si>
  <si>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</si>
  <si>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</si>
  <si>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</si>
  <si>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</si>
  <si>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</si>
  <si>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</si>
  <si>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</si>
  <si>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</si>
  <si>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</si>
  <si>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</si>
  <si>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</si>
  <si>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</si>
  <si>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</si>
  <si>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</si>
  <si>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</si>
  <si>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</si>
  <si>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</si>
  <si>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</si>
  <si>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</si>
  <si>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</si>
  <si>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</si>
  <si>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</si>
  <si>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</si>
  <si>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</si>
  <si>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</si>
  <si>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</si>
  <si>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</si>
  <si>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</si>
  <si>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</si>
  <si>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</si>
  <si>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</si>
  <si>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</si>
  <si>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</si>
  <si>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</si>
  <si>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</si>
  <si>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</si>
  <si>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</si>
  <si>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</si>
  <si>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</si>
  <si>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</si>
  <si>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</si>
  <si>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</si>
  <si>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</si>
  <si>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</si>
  <si>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</si>
  <si>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</si>
  <si>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</si>
  <si>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</si>
  <si>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</si>
  <si>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</si>
  <si>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</si>
  <si>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</si>
  <si>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</si>
  <si>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</si>
  <si>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</si>
  <si>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</si>
  <si>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</si>
  <si>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</si>
  <si>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</si>
  <si>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</si>
  <si>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</si>
  <si>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</si>
  <si>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</si>
  <si>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</si>
  <si>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</si>
  <si>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</si>
  <si>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</si>
  <si>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</si>
  <si>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</si>
  <si>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</si>
  <si>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</si>
  <si>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</si>
  <si>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</si>
  <si>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</si>
  <si>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</si>
  <si>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</si>
  <si>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</si>
  <si>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</si>
  <si>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</si>
  <si>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</si>
  <si>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</si>
  <si>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</si>
  <si>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</si>
  <si>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</si>
  <si>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</si>
  <si>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</si>
  <si>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</si>
  <si>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</si>
  <si>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</si>
  <si>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</si>
  <si>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</si>
  <si>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</si>
  <si>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</si>
  <si>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</si>
  <si>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</si>
  <si>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</si>
  <si>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</si>
  <si>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</si>
  <si>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</si>
  <si>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</si>
  <si>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</si>
  <si>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</si>
  <si>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</si>
  <si>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</si>
  <si>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</si>
  <si>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</si>
  <si>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</si>
  <si>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</si>
  <si>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</si>
  <si>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</si>
  <si>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</si>
  <si>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</si>
  <si>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</si>
  <si>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</si>
  <si>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</si>
  <si>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</si>
  <si>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</si>
  <si>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</si>
  <si>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</si>
  <si>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</si>
  <si>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</si>
  <si>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</si>
  <si>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</si>
  <si>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</si>
  <si>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</si>
  <si>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</si>
  <si>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</si>
  <si>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</si>
  <si>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</si>
  <si>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</si>
  <si>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</si>
  <si>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</si>
  <si>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</si>
  <si>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</si>
  <si>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</si>
  <si>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</si>
  <si>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</si>
  <si>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</si>
  <si>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</si>
  <si>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</si>
  <si>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</si>
  <si>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</si>
  <si>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</si>
  <si>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</si>
  <si>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</si>
  <si>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</si>
  <si>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</si>
  <si>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</si>
  <si>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</si>
  <si>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</si>
  <si>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</si>
  <si>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</si>
  <si>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</si>
  <si>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</si>
  <si>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</si>
  <si>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</si>
  <si>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</si>
  <si>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</si>
  <si>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</si>
  <si>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</si>
  <si>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</si>
  <si>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</si>
  <si>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</si>
  <si>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</si>
  <si>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</si>
  <si>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</si>
  <si>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</si>
  <si>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</si>
  <si>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</si>
  <si>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</si>
  <si>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</si>
  <si>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</si>
  <si>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</si>
  <si>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</si>
  <si>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</si>
  <si>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</si>
  <si>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</si>
  <si>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</si>
  <si>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</si>
  <si>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</si>
  <si>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</si>
  <si>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</si>
  <si>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</si>
  <si>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</si>
  <si>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</si>
  <si>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</si>
  <si>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</si>
  <si>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</si>
  <si>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</si>
  <si>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</si>
  <si>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</si>
  <si>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</si>
  <si>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</si>
  <si>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</si>
  <si>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</si>
  <si>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</si>
  <si>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</si>
  <si>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</si>
  <si>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</si>
  <si>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</si>
  <si>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</si>
  <si>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</si>
  <si>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</si>
  <si>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</si>
  <si>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</si>
  <si>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</si>
  <si>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</si>
  <si>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</si>
  <si>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</si>
  <si>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</si>
  <si>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</si>
  <si>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</si>
  <si>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</si>
  <si>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</si>
  <si>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</si>
  <si>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</si>
  <si>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</si>
  <si>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</si>
  <si>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</si>
  <si>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</si>
  <si>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</si>
  <si>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</si>
  <si>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</si>
  <si>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</si>
  <si>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</si>
  <si>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</si>
  <si>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</si>
  <si>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</si>
  <si>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</si>
  <si>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</si>
  <si>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</si>
  <si>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</si>
  <si>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</si>
  <si>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</si>
  <si>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</si>
  <si>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</si>
  <si>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</si>
  <si>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</si>
  <si>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</si>
  <si>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</si>
  <si>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</si>
  <si>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</si>
  <si>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</si>
  <si>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</si>
  <si>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</si>
  <si>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</si>
  <si>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</si>
  <si>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</si>
  <si>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</si>
  <si>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</si>
  <si>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</si>
  <si>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</si>
  <si>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</si>
  <si>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</si>
  <si>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</si>
  <si>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</si>
  <si>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</si>
  <si>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</si>
  <si>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</si>
  <si>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</si>
  <si>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</si>
  <si>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</si>
  <si>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</si>
  <si>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</si>
  <si>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</si>
  <si>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</si>
  <si>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</si>
  <si>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</si>
  <si>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</si>
  <si>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</si>
  <si>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</si>
  <si>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</si>
  <si>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</si>
  <si>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</si>
  <si>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</si>
  <si>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</si>
  <si>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</si>
  <si>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</si>
  <si>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</si>
  <si>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</si>
  <si>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</si>
  <si>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</si>
  <si>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</si>
  <si>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</si>
  <si>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</si>
  <si>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</si>
  <si>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</si>
  <si>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</si>
  <si>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</si>
  <si>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</si>
  <si>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</si>
  <si>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</si>
  <si>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</si>
  <si>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</si>
  <si>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</si>
  <si>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</si>
  <si>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</si>
  <si>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</si>
  <si>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</si>
  <si>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</si>
  <si>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</si>
  <si>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</si>
  <si>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</si>
  <si>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</si>
  <si>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</si>
  <si>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</si>
  <si>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</si>
  <si>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</si>
  <si>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</si>
  <si>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</si>
  <si>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</si>
  <si>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</si>
  <si>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</si>
  <si>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</si>
  <si>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</si>
  <si>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</si>
  <si>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</si>
  <si>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</si>
  <si>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</si>
  <si>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</si>
  <si>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</si>
  <si>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</si>
  <si>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</si>
  <si>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</si>
  <si>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</si>
  <si>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</si>
  <si>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</si>
  <si>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</si>
  <si>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</si>
  <si>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</si>
  <si>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</si>
  <si>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</si>
  <si>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</si>
  <si>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</si>
  <si>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</si>
  <si>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</si>
  <si>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</si>
  <si>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</si>
  <si>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</si>
  <si>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</si>
  <si>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</si>
  <si>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</si>
  <si>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</si>
  <si>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</si>
  <si>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</si>
  <si>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</si>
  <si>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</si>
  <si>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</si>
  <si>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</si>
  <si>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</si>
  <si>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</si>
  <si>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</si>
  <si>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</si>
  <si>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</si>
  <si>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</si>
  <si>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</si>
  <si>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</si>
  <si>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</si>
  <si>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</si>
  <si>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</si>
  <si>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</si>
  <si>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</si>
  <si>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</si>
  <si>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</si>
  <si>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</si>
  <si>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</si>
  <si>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</si>
  <si>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</si>
  <si>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</si>
  <si>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</si>
  <si>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</si>
  <si>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</si>
  <si>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</si>
  <si>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</si>
  <si>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</si>
  <si>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</si>
  <si>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</si>
  <si>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</si>
  <si>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</si>
  <si>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</si>
  <si>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</si>
  <si>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</si>
  <si>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</si>
  <si>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</si>
  <si>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</si>
  <si>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</si>
  <si>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</si>
  <si>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</si>
  <si>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</si>
  <si>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</si>
  <si>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</si>
  <si>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</si>
  <si>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</si>
  <si>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</si>
  <si>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</si>
  <si>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</si>
  <si>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</si>
  <si>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</si>
  <si>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</si>
  <si>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</si>
  <si>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</si>
  <si>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</si>
  <si>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</si>
  <si>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</si>
  <si>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</si>
  <si>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</si>
  <si>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</si>
  <si>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</si>
  <si>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</si>
  <si>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</si>
  <si>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</si>
  <si>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</si>
  <si>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</si>
  <si>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</si>
  <si>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</si>
  <si>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</si>
  <si>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</si>
  <si>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</si>
  <si>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</si>
  <si>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</si>
  <si>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</si>
  <si>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</si>
  <si>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</si>
  <si>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</si>
  <si>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</si>
  <si>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</si>
  <si>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</si>
  <si>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</si>
  <si>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</si>
  <si>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</si>
  <si>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</si>
  <si>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</si>
  <si>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</si>
  <si>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</si>
  <si>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</si>
  <si>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</si>
  <si>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</si>
  <si>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</si>
  <si>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</si>
  <si>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</si>
  <si>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</si>
  <si>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</si>
  <si>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</si>
  <si>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</si>
  <si>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</si>
  <si>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</si>
  <si>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</si>
  <si>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</si>
  <si>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</si>
  <si>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</si>
  <si>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</si>
  <si>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</si>
  <si>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</si>
  <si>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</si>
  <si>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</si>
  <si>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</si>
  <si>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</si>
  <si>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</si>
  <si>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</si>
  <si>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</si>
  <si>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</si>
  <si>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</si>
  <si>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</si>
  <si>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</si>
  <si>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</si>
  <si>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</si>
  <si>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</si>
  <si>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</si>
  <si>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</si>
  <si>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</si>
  <si>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</si>
  <si>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</si>
  <si>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</si>
  <si>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</si>
  <si>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</si>
  <si>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</si>
  <si>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</si>
  <si>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</si>
  <si>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</si>
  <si>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</si>
  <si>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</si>
  <si>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</si>
  <si>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</si>
  <si>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</si>
  <si>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</si>
  <si>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</si>
  <si>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</si>
  <si>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</si>
  <si>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</si>
  <si>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</si>
  <si>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</si>
  <si>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</si>
  <si>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</si>
  <si>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</si>
  <si>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</si>
  <si>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</si>
  <si>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</si>
  <si>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</si>
  <si>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</si>
  <si>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</si>
  <si>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</si>
  <si>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</si>
  <si>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</si>
  <si>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</si>
  <si>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</si>
  <si>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</si>
  <si>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</si>
  <si>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</si>
  <si>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</si>
  <si>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</si>
  <si>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</si>
  <si>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</si>
  <si>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</si>
  <si>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</si>
  <si>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</si>
  <si>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</si>
  <si>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</si>
  <si>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</si>
  <si>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</si>
  <si>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</si>
  <si>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</si>
  <si>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</si>
  <si>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</si>
  <si>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</si>
  <si>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</si>
  <si>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</si>
  <si>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</si>
  <si>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</si>
  <si>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</si>
  <si>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</si>
  <si>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</si>
  <si>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</si>
  <si>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</si>
  <si>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</si>
  <si>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</si>
  <si>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</si>
  <si>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</si>
  <si>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</si>
  <si>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</si>
  <si>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</si>
  <si>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</si>
  <si>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</si>
  <si>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</si>
  <si>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</si>
  <si>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</si>
  <si>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</si>
  <si>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</si>
  <si>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</si>
  <si>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</si>
  <si>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</si>
  <si>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</si>
  <si>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</si>
  <si>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</si>
  <si>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</si>
  <si>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</si>
  <si>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</si>
  <si>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</si>
  <si>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</si>
  <si>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</si>
  <si>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</si>
  <si>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</si>
  <si>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</si>
  <si>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</si>
  <si>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</si>
  <si>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</si>
  <si>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</si>
  <si>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</si>
  <si>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</si>
  <si>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</si>
  <si>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</si>
  <si>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</si>
  <si>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</si>
  <si>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</si>
  <si>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</si>
  <si>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</si>
  <si>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</si>
  <si>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</si>
  <si>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</si>
  <si>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</si>
  <si>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</si>
  <si>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</si>
  <si>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</si>
  <si>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</si>
  <si>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</si>
  <si>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</si>
  <si>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</si>
  <si>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</si>
  <si>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</si>
  <si>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</si>
  <si>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</si>
  <si>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</si>
  <si>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</si>
  <si>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</si>
  <si>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</si>
  <si>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</si>
  <si>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</si>
  <si>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</si>
  <si>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</si>
  <si>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</si>
  <si>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</si>
  <si>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</si>
  <si>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</si>
  <si>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</si>
  <si>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</si>
  <si>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</si>
  <si>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</si>
  <si>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</si>
  <si>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</si>
  <si>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</si>
  <si>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</si>
  <si>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</si>
  <si>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</si>
  <si>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</si>
  <si>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</si>
  <si>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</si>
  <si>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</si>
  <si>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</si>
  <si>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</si>
  <si>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</si>
  <si>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</si>
  <si>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</si>
  <si>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</si>
  <si>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</si>
  <si>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</si>
  <si>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</si>
  <si>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</si>
  <si>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</si>
  <si>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</si>
  <si>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</si>
  <si>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</si>
  <si>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</si>
  <si>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</si>
  <si>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</si>
  <si>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</si>
  <si>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</si>
  <si>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</si>
  <si>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</si>
  <si>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</si>
  <si>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</si>
  <si>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</si>
  <si>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</si>
  <si>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</si>
  <si>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</si>
  <si>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</si>
  <si>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</si>
  <si>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</si>
  <si>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</si>
  <si>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</si>
  <si>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</si>
  <si>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</si>
  <si>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</si>
  <si>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</si>
  <si>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</si>
  <si>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</si>
  <si>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</si>
  <si>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</si>
  <si>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</si>
  <si>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</si>
  <si>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</si>
  <si>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</si>
  <si>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</si>
  <si>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</si>
  <si>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</si>
  <si>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</si>
  <si>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</si>
  <si>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</si>
  <si>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</si>
  <si>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</si>
  <si>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</si>
  <si>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</si>
  <si>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</si>
  <si>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</si>
  <si>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</si>
  <si>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</si>
  <si>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</si>
  <si>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</si>
  <si>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</si>
  <si>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</si>
  <si>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</si>
  <si>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</si>
  <si>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</si>
  <si>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</si>
  <si>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</si>
  <si>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</si>
  <si>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</si>
  <si>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</si>
  <si>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</si>
  <si>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</si>
  <si>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</si>
  <si>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</si>
  <si>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</si>
  <si>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</si>
  <si>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</si>
  <si>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</si>
  <si>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</si>
  <si>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</si>
  <si>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</si>
  <si>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</si>
  <si>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</si>
  <si>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</si>
  <si>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</si>
  <si>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</si>
  <si>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</si>
  <si>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</si>
  <si>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</si>
  <si>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</si>
  <si>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</si>
  <si>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</si>
  <si>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</si>
  <si>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</si>
  <si>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</si>
  <si>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</si>
  <si>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</si>
  <si>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</si>
  <si>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</si>
  <si>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</si>
  <si>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</si>
  <si>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</si>
  <si>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</si>
  <si>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</si>
  <si>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</si>
  <si>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</si>
  <si>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</si>
  <si>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</si>
  <si>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</si>
  <si>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</si>
  <si>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</si>
  <si>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</si>
  <si>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</si>
  <si>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</si>
  <si>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</si>
  <si>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</si>
  <si>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</si>
  <si>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</si>
  <si>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</si>
  <si>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</si>
  <si>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</si>
  <si>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</si>
  <si>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</si>
  <si>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</si>
  <si>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</si>
  <si>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</si>
  <si>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</si>
  <si>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</si>
  <si>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</si>
  <si>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</si>
  <si>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</si>
  <si>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</si>
  <si>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</si>
  <si>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</si>
  <si>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</si>
  <si>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</si>
  <si>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</si>
  <si>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</si>
  <si>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</si>
  <si>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</si>
  <si>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</si>
  <si>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</si>
  <si>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</si>
  <si>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</si>
  <si>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</si>
  <si>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</si>
  <si>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</si>
  <si>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</si>
  <si>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</si>
  <si>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</si>
  <si>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</si>
  <si>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</si>
  <si>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</si>
  <si>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</si>
  <si>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</si>
  <si>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</si>
  <si>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</si>
  <si>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</si>
  <si>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</si>
  <si>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</si>
  <si>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</si>
  <si>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</si>
  <si>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</si>
  <si>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</si>
  <si>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</si>
  <si>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</si>
  <si>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</si>
  <si>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</si>
  <si>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</si>
  <si>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</si>
  <si>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</si>
  <si>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</si>
  <si>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</si>
  <si>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</si>
  <si>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</si>
  <si>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</si>
  <si>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</si>
  <si>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</si>
  <si>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</si>
  <si>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</si>
  <si>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</si>
  <si>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</si>
  <si>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</si>
  <si>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</si>
  <si>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</si>
  <si>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</si>
  <si>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</si>
  <si>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</si>
  <si>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</si>
  <si>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</si>
  <si>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</si>
  <si>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</si>
  <si>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</si>
  <si>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</si>
  <si>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</si>
  <si>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</si>
  <si>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</si>
  <si>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</si>
  <si>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</si>
  <si>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</si>
  <si>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</si>
  <si>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</si>
  <si>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</si>
  <si>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</si>
  <si>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</si>
  <si>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</si>
  <si>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</si>
  <si>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</si>
  <si>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</si>
  <si>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</si>
  <si>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</si>
  <si>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</si>
  <si>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</si>
  <si>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</si>
  <si>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</si>
  <si>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</si>
  <si>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</si>
  <si>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</si>
  <si>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</si>
  <si>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</si>
  <si>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</si>
  <si>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</si>
  <si>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</si>
  <si>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</si>
  <si>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</si>
  <si>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</si>
  <si>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</si>
  <si>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</si>
  <si>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</si>
  <si>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</si>
  <si>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</si>
  <si>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</si>
  <si>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</si>
  <si>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</si>
  <si>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</si>
  <si>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</si>
  <si>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</si>
  <si>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</si>
  <si>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</si>
  <si>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</si>
  <si>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</si>
  <si>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</si>
  <si>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</si>
  <si>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</si>
  <si>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</si>
  <si>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</si>
  <si>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</si>
  <si>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</si>
  <si>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</si>
  <si>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</si>
  <si>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</si>
  <si>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</si>
  <si>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</si>
  <si>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</si>
  <si>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</si>
  <si>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</si>
  <si>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</si>
  <si>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</si>
  <si>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</si>
  <si>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</si>
  <si>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</si>
  <si>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</si>
  <si>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</si>
  <si>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</si>
  <si>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</si>
  <si>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</si>
  <si>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</si>
  <si>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</si>
  <si>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</si>
  <si>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</si>
  <si>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</si>
  <si>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</si>
  <si>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</si>
  <si>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</si>
  <si>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</si>
  <si>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</si>
  <si>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</si>
  <si>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</si>
  <si>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</si>
  <si>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</si>
  <si>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</si>
  <si>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</si>
  <si>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</si>
  <si>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</si>
  <si>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</si>
  <si>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</si>
  <si>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</si>
  <si>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</si>
  <si>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</si>
  <si>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</si>
  <si>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</si>
  <si>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</si>
  <si>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</si>
  <si>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</si>
  <si>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</si>
  <si>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</si>
  <si>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</si>
  <si>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</si>
  <si>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</si>
  <si>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</si>
  <si>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</si>
  <si>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</si>
  <si>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</si>
  <si>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</si>
  <si>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</si>
  <si>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</si>
  <si>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</si>
  <si>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</si>
  <si>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</si>
  <si>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</si>
  <si>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</si>
  <si>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</si>
  <si>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</si>
  <si>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</si>
  <si>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</si>
  <si>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</si>
  <si>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</si>
  <si>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</si>
  <si>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</si>
  <si>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</si>
  <si>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</si>
  <si>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</si>
  <si>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</si>
  <si>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</si>
  <si>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</si>
  <si>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</si>
  <si>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</si>
  <si>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</si>
  <si>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</si>
  <si>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</si>
  <si>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</si>
  <si>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</si>
  <si>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</si>
  <si>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</si>
  <si>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</si>
  <si>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</si>
  <si>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</si>
  <si>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</si>
  <si>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</si>
  <si>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</si>
  <si>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</si>
  <si>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</si>
  <si>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</si>
  <si>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</si>
  <si>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</si>
  <si>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</si>
  <si>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</si>
  <si>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</si>
  <si>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</si>
  <si>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</si>
  <si>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</si>
  <si>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</si>
  <si>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</si>
  <si>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</si>
  <si>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</si>
  <si>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</si>
  <si>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</si>
  <si>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</si>
  <si>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</si>
  <si>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</si>
  <si>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</si>
  <si>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</si>
  <si>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</si>
  <si>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</si>
  <si>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</si>
  <si>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</si>
  <si>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</si>
  <si>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</si>
  <si>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</si>
  <si>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</si>
  <si>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</si>
  <si>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</si>
  <si>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</si>
  <si>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</si>
  <si>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</si>
  <si>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</si>
  <si>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</si>
  <si>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</si>
  <si>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</si>
  <si>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</si>
  <si>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</si>
  <si>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</si>
  <si>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</si>
  <si>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</si>
  <si>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</si>
  <si>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</si>
  <si>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</si>
  <si>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</si>
  <si>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</si>
  <si>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</si>
  <si>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</si>
  <si>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</si>
  <si>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</si>
  <si>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</si>
  <si>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</si>
  <si>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</si>
  <si>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</si>
  <si>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</si>
  <si>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</si>
  <si>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</si>
  <si>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</si>
  <si>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</si>
  <si>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</si>
  <si>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</si>
  <si>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</si>
  <si>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</si>
  <si>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</si>
  <si>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</si>
  <si>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</si>
  <si>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</si>
  <si>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</si>
  <si>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</si>
  <si>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</si>
  <si>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</si>
  <si>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</si>
  <si>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</si>
  <si>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</si>
  <si>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</si>
  <si>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</si>
  <si>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</si>
  <si>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</si>
  <si>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</si>
  <si>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</si>
  <si>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</si>
  <si>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</si>
  <si>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</si>
  <si>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</si>
  <si>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</si>
  <si>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</si>
  <si>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</si>
  <si>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</si>
  <si>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</si>
  <si>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</si>
  <si>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</si>
  <si>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</si>
  <si>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</si>
  <si>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</si>
  <si>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</si>
  <si>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</si>
  <si>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</si>
  <si>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</si>
  <si>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</si>
  <si>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</si>
  <si>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</si>
  <si>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</si>
  <si>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</si>
  <si>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</si>
  <si>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</si>
  <si>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</si>
  <si>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</si>
  <si>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</si>
  <si>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</si>
  <si>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</si>
  <si>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</si>
  <si>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</si>
  <si>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</si>
  <si>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</si>
  <si>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</si>
  <si>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</si>
  <si>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</si>
  <si>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</si>
  <si>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</si>
  <si>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</si>
  <si>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</si>
  <si>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</si>
  <si>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</si>
  <si>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</si>
  <si>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</si>
  <si>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</si>
  <si>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</si>
  <si>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</si>
  <si>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</si>
  <si>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</si>
  <si>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</si>
  <si>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</si>
  <si>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</si>
  <si>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</si>
  <si>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</si>
  <si>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</si>
  <si>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</si>
  <si>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</si>
  <si>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</si>
  <si>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</si>
  <si>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</si>
  <si>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</si>
  <si>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</si>
  <si>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</si>
  <si>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</si>
  <si>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</si>
  <si>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</si>
  <si>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</si>
  <si>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</si>
  <si>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</si>
  <si>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</si>
  <si>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</si>
  <si>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</si>
  <si>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</si>
  <si>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</si>
  <si>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</si>
  <si>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</si>
  <si>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</si>
  <si>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</si>
  <si>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</si>
  <si>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</si>
  <si>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</si>
  <si>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</si>
  <si>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</si>
  <si>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</si>
  <si>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</si>
  <si>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</si>
  <si>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</si>
  <si>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</si>
  <si>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</si>
  <si>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</si>
  <si>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</si>
  <si>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</si>
  <si>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</si>
  <si>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</si>
  <si>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</si>
  <si>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</si>
  <si>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</si>
  <si>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</si>
  <si>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</si>
  <si>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</si>
  <si>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</si>
  <si>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</si>
  <si>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</si>
  <si>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</si>
  <si>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</si>
  <si>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</si>
  <si>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</si>
  <si>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</si>
  <si>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</si>
  <si>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</si>
  <si>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</si>
  <si>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</si>
  <si>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</si>
  <si>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</si>
  <si>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</si>
  <si>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</si>
  <si>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</si>
  <si>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</si>
  <si>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</si>
  <si>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</si>
  <si>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</si>
  <si>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</si>
  <si>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</si>
  <si>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</si>
  <si>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</si>
  <si>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</si>
  <si>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</si>
  <si>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</si>
  <si>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</si>
  <si>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</si>
  <si>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</si>
  <si>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</si>
  <si>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</si>
  <si>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</si>
  <si>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</si>
  <si>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</si>
  <si>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</si>
  <si>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</si>
  <si>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</si>
  <si>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</si>
  <si>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</si>
  <si>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</si>
  <si>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</si>
  <si>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</si>
  <si>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</si>
  <si>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</si>
  <si>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</si>
  <si>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</si>
  <si>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</si>
  <si>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</si>
  <si>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</si>
  <si>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</si>
  <si>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</si>
  <si>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</si>
  <si>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</si>
  <si>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</si>
  <si>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</si>
  <si>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</si>
  <si>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</si>
  <si>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</si>
  <si>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</si>
  <si>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</si>
  <si>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</si>
  <si>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</si>
  <si>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</si>
  <si>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</si>
  <si>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</si>
  <si>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</si>
  <si>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</si>
  <si>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</si>
  <si>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</si>
  <si>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</si>
  <si>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</si>
  <si>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</si>
  <si>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</si>
  <si>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</si>
  <si>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</si>
  <si>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</si>
  <si>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</si>
  <si>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</si>
  <si>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</si>
  <si>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</si>
  <si>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</si>
  <si>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</si>
  <si>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</si>
  <si>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</si>
  <si>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</si>
  <si>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</si>
  <si>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</si>
  <si>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</si>
  <si>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</si>
  <si>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</si>
  <si>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</si>
  <si>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</si>
  <si>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</si>
  <si>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</si>
  <si>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</si>
  <si>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</si>
  <si>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</si>
  <si>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</si>
  <si>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</si>
  <si>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</si>
  <si>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</si>
  <si>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</si>
  <si>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</si>
  <si>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</si>
  <si>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</si>
  <si>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</si>
  <si>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</si>
  <si>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</si>
  <si>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</si>
  <si>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</si>
  <si>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</si>
  <si>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</si>
  <si>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</si>
  <si>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</si>
  <si>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</si>
  <si>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</si>
  <si>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</si>
  <si>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</si>
  <si>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</si>
  <si>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</si>
  <si>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</si>
  <si>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</si>
  <si>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</si>
  <si>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</si>
  <si>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</si>
  <si>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</si>
  <si>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</si>
  <si>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</si>
  <si>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</si>
  <si>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</si>
  <si>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</si>
  <si>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</si>
  <si>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</si>
  <si>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</si>
  <si>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</si>
  <si>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</si>
  <si>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</si>
  <si>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</si>
  <si>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</si>
  <si>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</si>
  <si>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</si>
  <si>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</si>
  <si>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</si>
  <si>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</si>
  <si>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</si>
  <si>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</si>
  <si>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</si>
  <si>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</si>
  <si>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</si>
  <si>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</si>
  <si>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</si>
  <si>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</si>
  <si>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</si>
  <si>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</si>
  <si>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</si>
  <si>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</si>
  <si>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</si>
  <si>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</si>
  <si>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</si>
  <si>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</si>
  <si>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</si>
  <si>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</si>
  <si>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</si>
  <si>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</si>
  <si>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</si>
  <si>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</si>
  <si>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</si>
  <si>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</si>
  <si>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</si>
  <si>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</si>
  <si>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</si>
  <si>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</si>
  <si>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</si>
  <si>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</si>
  <si>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</si>
  <si>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</si>
  <si>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</si>
  <si>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</si>
  <si>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</si>
  <si>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</si>
  <si>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</si>
  <si>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</si>
  <si>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</si>
  <si>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</si>
  <si>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</si>
  <si>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</si>
  <si>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</si>
  <si>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</si>
  <si>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</si>
  <si>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</si>
  <si>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</si>
  <si>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</si>
  <si>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</si>
  <si>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</si>
  <si>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</si>
  <si>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</si>
  <si>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</si>
  <si>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</si>
  <si>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</si>
  <si>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</si>
  <si>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</si>
  <si>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</si>
  <si>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</si>
  <si>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</si>
  <si>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</si>
  <si>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</si>
  <si>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</si>
  <si>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</si>
  <si>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</si>
  <si>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</si>
  <si>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</si>
  <si>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</si>
  <si>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</si>
  <si>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</si>
  <si>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</si>
  <si>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</si>
  <si>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</si>
  <si>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</si>
  <si>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</si>
  <si>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</si>
  <si>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</si>
  <si>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</si>
  <si>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</si>
  <si>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</si>
  <si>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</si>
  <si>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</si>
  <si>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</si>
  <si>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</si>
  <si>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</si>
  <si>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</si>
  <si>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</si>
  <si>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</si>
  <si>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</si>
  <si>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</si>
  <si>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</si>
  <si>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</si>
  <si>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</si>
  <si>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</si>
  <si>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</si>
  <si>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</si>
  <si>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</si>
  <si>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</si>
  <si>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</si>
  <si>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</si>
  <si>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</si>
  <si>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</si>
  <si>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</si>
  <si>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</si>
  <si>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</si>
  <si>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</si>
  <si>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</si>
  <si>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</si>
  <si>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</si>
  <si>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</si>
  <si>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</si>
  <si>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</si>
  <si>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</si>
  <si>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</si>
  <si>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</si>
  <si>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</si>
  <si>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</si>
  <si>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</si>
  <si>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</si>
  <si>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</si>
  <si>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</si>
  <si>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</si>
  <si>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</si>
  <si>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</si>
  <si>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</si>
  <si>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</si>
  <si>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</si>
  <si>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</si>
  <si>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</si>
  <si>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</si>
  <si>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</si>
  <si>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</si>
  <si>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</si>
  <si>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</si>
  <si>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</si>
  <si>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</si>
  <si>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</si>
  <si>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</si>
  <si>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</si>
  <si>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</si>
  <si>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</si>
  <si>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</si>
  <si>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</si>
  <si>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</si>
  <si>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</si>
  <si>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</si>
  <si>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</si>
  <si>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</si>
  <si>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</si>
  <si>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</si>
  <si>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</si>
  <si>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</si>
  <si>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</si>
  <si>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</si>
  <si>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</si>
  <si>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</si>
  <si>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</si>
  <si>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</si>
  <si>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</si>
  <si>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</si>
  <si>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</si>
  <si>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</si>
  <si>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</si>
  <si>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</si>
  <si>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</si>
  <si>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</si>
  <si>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</si>
  <si>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</si>
  <si>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</si>
  <si>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</si>
  <si>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</si>
  <si>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</si>
  <si>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</si>
  <si>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</si>
  <si>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</si>
  <si>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</si>
  <si>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</si>
  <si>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</si>
  <si>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</si>
  <si>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</si>
  <si>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</si>
  <si>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</si>
  <si>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</si>
  <si>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</si>
  <si>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</si>
  <si>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</si>
  <si>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</si>
  <si>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</si>
  <si>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</si>
  <si>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</si>
  <si>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</si>
  <si>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</si>
  <si>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</si>
  <si>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</si>
  <si>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</si>
  <si>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</si>
  <si>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</si>
  <si>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</si>
  <si>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</si>
  <si>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</si>
  <si>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</si>
  <si>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</si>
  <si>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</si>
  <si>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</si>
  <si>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</si>
  <si>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</si>
  <si>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</si>
  <si>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</si>
  <si>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</si>
  <si>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</si>
  <si>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</si>
  <si>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</si>
  <si>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</si>
  <si>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</si>
  <si>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</si>
  <si>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</si>
  <si>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</si>
  <si>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</si>
  <si>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</si>
  <si>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</si>
  <si>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</si>
  <si>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</si>
  <si>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</si>
  <si>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</si>
  <si>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</si>
  <si>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</si>
  <si>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</si>
  <si>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</si>
  <si>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</si>
  <si>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</si>
  <si>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</si>
  <si>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</si>
  <si>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</si>
  <si>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</si>
  <si>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</si>
  <si>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</si>
  <si>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</si>
  <si>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</si>
  <si>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</si>
  <si>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</si>
  <si>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</si>
  <si>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</si>
  <si>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</si>
  <si>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</si>
  <si>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</si>
  <si>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</si>
  <si>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</si>
  <si>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</si>
  <si>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</si>
  <si>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</si>
  <si>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</si>
  <si>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</si>
  <si>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</si>
  <si>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</si>
  <si>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</si>
  <si>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</si>
  <si>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</si>
  <si>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</si>
  <si>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</si>
  <si>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</si>
  <si>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</si>
  <si>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</si>
  <si>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</si>
  <si>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</si>
  <si>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</si>
  <si>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</si>
  <si>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</si>
  <si>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</si>
  <si>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</si>
  <si>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</si>
  <si>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</si>
  <si>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</si>
  <si>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</si>
  <si>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</si>
  <si>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</si>
  <si>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</si>
  <si>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</si>
  <si>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</si>
  <si>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</si>
  <si>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</si>
  <si>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</si>
  <si>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</si>
  <si>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</si>
  <si>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</si>
  <si>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</si>
  <si>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</si>
  <si>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</si>
  <si>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</si>
  <si>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</si>
  <si>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</si>
  <si>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</si>
  <si>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</si>
  <si>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</si>
  <si>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</si>
  <si>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</si>
  <si>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</si>
  <si>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</si>
  <si>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</si>
  <si>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</si>
  <si>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</si>
  <si>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</si>
  <si>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</si>
  <si>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</si>
  <si>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</si>
  <si>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</si>
  <si>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</si>
  <si>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</si>
  <si>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</si>
  <si>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</si>
  <si>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</si>
  <si>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</si>
  <si>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</si>
  <si>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</si>
  <si>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</si>
  <si>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</si>
  <si>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</si>
  <si>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</si>
  <si>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</si>
  <si>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</si>
  <si>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</si>
  <si>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</si>
  <si>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</si>
  <si>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</si>
  <si>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</si>
  <si>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</si>
  <si>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</si>
  <si>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</si>
  <si>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</si>
  <si>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</si>
  <si>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</si>
  <si>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</si>
  <si>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</si>
  <si>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</si>
  <si>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</si>
  <si>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</si>
  <si>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</si>
  <si>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</si>
  <si>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</si>
  <si>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</si>
  <si>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</si>
  <si>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</si>
  <si>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</si>
  <si>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</si>
  <si>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</si>
  <si>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</si>
  <si>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</si>
  <si>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</si>
  <si>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</si>
  <si>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</si>
  <si>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</si>
  <si>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</si>
  <si>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</si>
  <si>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</si>
  <si>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</si>
  <si>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</si>
  <si>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</si>
  <si>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</si>
  <si>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</si>
  <si>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</si>
  <si>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</si>
  <si>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</si>
  <si>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</si>
  <si>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</si>
  <si>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</si>
  <si>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</si>
  <si>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</si>
  <si>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</si>
  <si>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</si>
  <si>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</si>
  <si>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</si>
  <si>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</si>
  <si>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</si>
  <si>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</si>
  <si>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</si>
  <si>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</si>
  <si>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</si>
  <si>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</si>
  <si>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</si>
  <si>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</si>
  <si>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</si>
  <si>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</si>
  <si>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</si>
  <si>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</si>
  <si>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</si>
  <si>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</si>
  <si>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</si>
  <si>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</si>
  <si>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</si>
  <si>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</si>
  <si>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</si>
  <si>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</si>
  <si>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</si>
  <si>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</si>
  <si>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</si>
  <si>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</si>
  <si>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</si>
  <si>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</si>
  <si>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</si>
  <si>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</si>
  <si>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</si>
  <si>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</si>
  <si>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</si>
  <si>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</si>
  <si>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</si>
  <si>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</si>
  <si>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</si>
  <si>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</si>
  <si>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</si>
  <si>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</si>
  <si>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</si>
  <si>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</si>
  <si>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</si>
  <si>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</si>
  <si>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</si>
  <si>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</si>
  <si>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</si>
  <si>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</si>
  <si>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</si>
  <si>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</si>
  <si>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</si>
  <si>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</si>
  <si>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</si>
  <si>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</si>
  <si>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</si>
  <si>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</si>
  <si>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</si>
  <si>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</si>
  <si>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</si>
  <si>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</si>
  <si>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</si>
  <si>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</si>
  <si>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</si>
  <si>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</si>
  <si>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</si>
  <si>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</si>
  <si>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</si>
  <si>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</si>
  <si>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</si>
  <si>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</si>
  <si>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</si>
  <si>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</si>
  <si>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</si>
  <si>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</si>
  <si>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</si>
  <si>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</si>
  <si>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</si>
  <si>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</si>
  <si>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</si>
  <si>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</si>
  <si>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</si>
  <si>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</si>
  <si>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</si>
  <si>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</si>
  <si>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</si>
  <si>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</si>
  <si>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</si>
  <si>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</si>
  <si>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</si>
  <si>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</si>
  <si>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</si>
  <si>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</si>
  <si>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</si>
  <si>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</si>
  <si>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</si>
  <si>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</si>
  <si>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</si>
  <si>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</si>
  <si>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</si>
  <si>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</si>
  <si>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</si>
  <si>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</si>
  <si>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</si>
  <si>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</si>
  <si>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</si>
  <si>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</si>
  <si>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</si>
  <si>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</si>
  <si>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</si>
  <si>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</si>
  <si>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</si>
  <si>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</si>
  <si>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</si>
  <si>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</si>
  <si>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</si>
  <si>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</si>
  <si>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</si>
  <si>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</si>
  <si>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</si>
  <si>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</si>
  <si>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</si>
  <si>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</si>
  <si>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</si>
  <si>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</si>
  <si>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</si>
  <si>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</si>
  <si>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</si>
  <si>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</si>
  <si>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</si>
  <si>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</si>
  <si>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</si>
  <si>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</si>
  <si>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</si>
  <si>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</si>
  <si>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</si>
  <si>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</si>
  <si>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</si>
  <si>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</si>
  <si>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</si>
  <si>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</si>
  <si>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</si>
  <si>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</si>
  <si>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</si>
  <si>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</si>
  <si>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</si>
  <si>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</si>
  <si>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</si>
  <si>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</si>
  <si>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</si>
  <si>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</si>
  <si>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</si>
  <si>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</si>
  <si>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</si>
  <si>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</si>
  <si>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</si>
  <si>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</si>
  <si>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</si>
  <si>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</si>
  <si>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</si>
  <si>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</si>
  <si>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</si>
  <si>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</si>
  <si>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</si>
  <si>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</si>
  <si>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</si>
  <si>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</si>
  <si>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</si>
  <si>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</si>
  <si>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</si>
  <si>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</si>
  <si>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</si>
  <si>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</si>
  <si>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</si>
  <si>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</si>
  <si>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</si>
  <si>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</si>
  <si>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</si>
  <si>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</si>
  <si>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</si>
  <si>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</si>
  <si>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</si>
  <si>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</si>
  <si>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</si>
  <si>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</si>
  <si>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</si>
  <si>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</si>
  <si>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</si>
  <si>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</si>
  <si>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</si>
  <si>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</si>
  <si>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</si>
  <si>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</si>
  <si>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</si>
  <si>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</si>
  <si>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</si>
  <si>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</si>
  <si>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</si>
  <si>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</si>
  <si>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</si>
  <si>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</si>
  <si>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</si>
  <si>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</si>
  <si>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</si>
  <si>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</si>
  <si>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</si>
  <si>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</si>
  <si>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</si>
  <si>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</si>
  <si>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</si>
  <si>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</si>
  <si>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</si>
  <si>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</si>
  <si>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</si>
  <si>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</si>
  <si>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</si>
  <si>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</si>
  <si>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</si>
  <si>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</si>
  <si>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</si>
  <si>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</si>
  <si>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</si>
  <si>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</si>
  <si>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</si>
  <si>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</si>
  <si>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</si>
  <si>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</si>
  <si>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</si>
  <si>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</si>
  <si>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</si>
  <si>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</si>
  <si>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</si>
  <si>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</si>
  <si>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</si>
  <si>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</si>
  <si>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</si>
  <si>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</si>
  <si>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</si>
  <si>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</si>
  <si>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</si>
  <si>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</si>
  <si>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</si>
  <si>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</si>
  <si>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</si>
  <si>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</si>
  <si>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</si>
  <si>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</si>
  <si>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</si>
  <si>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</si>
  <si>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</si>
  <si>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</si>
  <si>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</si>
  <si>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</si>
  <si>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</si>
  <si>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</si>
  <si>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</si>
  <si>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</si>
  <si>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</si>
  <si>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</si>
  <si>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</si>
  <si>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</si>
  <si>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</si>
  <si>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</si>
  <si>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</si>
  <si>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</si>
  <si>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</si>
  <si>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</si>
  <si>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</si>
  <si>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</si>
  <si>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</si>
  <si>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</si>
  <si>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</si>
  <si>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</si>
  <si>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</si>
  <si>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</si>
  <si>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</si>
  <si>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</si>
  <si>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</si>
  <si>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</si>
  <si>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</si>
  <si>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</si>
  <si>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</si>
  <si>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</si>
  <si>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</si>
  <si>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</si>
  <si>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</si>
  <si>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</si>
  <si>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</si>
  <si>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</si>
  <si>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</si>
  <si>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</si>
  <si>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</si>
  <si>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</si>
  <si>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</si>
  <si>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</si>
  <si>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</si>
  <si>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</si>
  <si>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</si>
  <si>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</si>
  <si>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</si>
  <si>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</si>
  <si>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</si>
  <si>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</si>
  <si>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</si>
  <si>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</si>
  <si>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</si>
  <si>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</si>
  <si>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</si>
  <si>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</si>
  <si>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</si>
  <si>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</si>
  <si>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</si>
  <si>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</si>
  <si>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</si>
  <si>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</si>
  <si>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</si>
  <si>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</si>
  <si>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</si>
  <si>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</si>
  <si>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</si>
  <si>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</si>
  <si>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</si>
  <si>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</si>
  <si>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</si>
  <si>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</si>
  <si>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</si>
  <si>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</si>
  <si>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</si>
  <si>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</si>
  <si>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</si>
  <si>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</si>
  <si>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</si>
  <si>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</si>
  <si>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</si>
  <si>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</si>
  <si>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</si>
  <si>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</si>
  <si>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</si>
  <si>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</si>
  <si>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</si>
  <si>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</si>
  <si>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</si>
  <si>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</si>
  <si>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</si>
  <si>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</si>
  <si>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</si>
  <si>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</si>
  <si>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</si>
  <si>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</si>
  <si>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</si>
  <si>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</si>
  <si>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</si>
  <si>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</si>
  <si>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</si>
  <si>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</si>
  <si>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</si>
  <si>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</si>
  <si>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</si>
  <si>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</si>
  <si>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</si>
  <si>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</si>
  <si>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</si>
  <si>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</si>
  <si>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</si>
  <si>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</si>
  <si>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</si>
  <si>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</si>
  <si>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</si>
  <si>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</si>
  <si>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</si>
  <si>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</si>
  <si>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</si>
  <si>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</si>
  <si>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</si>
  <si>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</si>
  <si>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</si>
  <si>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</si>
  <si>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</si>
  <si>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</si>
  <si>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</si>
  <si>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</si>
  <si>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</si>
  <si>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</si>
  <si>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</si>
  <si>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</si>
  <si>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</si>
  <si>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Edgar County</t>
  </si>
  <si>
    <t>Edgar County CUSD #6</t>
  </si>
  <si>
    <t>23231 Illinois Highway 1</t>
  </si>
  <si>
    <t>Chrisman</t>
  </si>
  <si>
    <t>James Acklin</t>
  </si>
  <si>
    <t>217-269-2513</t>
  </si>
  <si>
    <t>Daughhetee &amp; Parks Management Consulting PC</t>
  </si>
  <si>
    <t>Joe Daughhetee</t>
  </si>
  <si>
    <t>2200A Kickapoo Drive</t>
  </si>
  <si>
    <t>Danville</t>
  </si>
  <si>
    <t>IL</t>
  </si>
  <si>
    <t>217-431-2727</t>
  </si>
  <si>
    <t>217-431-3273</t>
  </si>
  <si>
    <t>joeagcpa@yahoo.com</t>
  </si>
  <si>
    <t>Ed Principal Services Purchased Services</t>
  </si>
  <si>
    <t>Quality Network Solutions</t>
  </si>
  <si>
    <t>ED Speech Patology - Purchased Services</t>
  </si>
  <si>
    <t>Health Services Consulants</t>
  </si>
  <si>
    <t>ED Information Services - Purchased Services</t>
  </si>
  <si>
    <t>US Bank Equipment</t>
  </si>
  <si>
    <t>MCC Network</t>
  </si>
  <si>
    <t>Technology Management Review</t>
  </si>
  <si>
    <t>10-2400-300</t>
  </si>
  <si>
    <t>10-2100-300</t>
  </si>
  <si>
    <t>10-2630-300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</si>
</sst>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352425</xdr:colOff>
          <xdr:row>17</xdr:row>
          <xdr:rowOff>285750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5"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11023006026</v>
      </c>
      <c r="B13" s="2036"/>
      <c r="C13" s="2036"/>
      <c r="D13" s="2036"/>
      <c r="E13" s="2036"/>
      <c r="F13" s="2036"/>
      <c r="G13" s="2036"/>
      <c r="H13" s="2037"/>
      <c r="I13" s="31"/>
      <c r="J13" s="30"/>
      <c r="K13" s="28"/>
      <c r="L13" s="30"/>
      <c r="M13" s="30"/>
      <c r="N13" s="30"/>
      <c r="O13" s="30"/>
      <c r="P13" s="30"/>
      <c r="Q13" s="30"/>
      <c r="R13" s="30"/>
      <c r="S13" s="30"/>
      <c r="T13" s="2040" t="s">
        <v>2084</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2085</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2079</v>
      </c>
      <c r="B17" s="1995"/>
      <c r="C17" s="1995"/>
      <c r="D17" s="1995"/>
      <c r="E17" s="1995"/>
      <c r="F17" s="1995"/>
      <c r="G17" s="1995"/>
      <c r="H17" s="2020"/>
      <c r="T17" s="2051" t="s">
        <v>2086</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2080</v>
      </c>
      <c r="B19" s="1980"/>
      <c r="C19" s="1980"/>
      <c r="D19" s="1980"/>
      <c r="E19" s="1980"/>
      <c r="F19" s="1980"/>
      <c r="G19" s="1980"/>
      <c r="H19" s="1960"/>
      <c r="I19" s="30"/>
      <c r="J19" s="99"/>
      <c r="K19" s="40"/>
      <c r="L19" s="38"/>
      <c r="M19" s="112" t="s">
        <v>333</v>
      </c>
      <c r="P19" s="27"/>
      <c r="Q19" s="27"/>
      <c r="R19" s="27"/>
      <c r="S19" s="31"/>
      <c r="T19" s="2034" t="s">
        <v>2087</v>
      </c>
      <c r="U19" s="1959"/>
      <c r="V19" s="1959"/>
      <c r="W19" s="1960"/>
      <c r="X19" s="2049" t="s">
        <v>2088</v>
      </c>
      <c r="Y19" s="2050"/>
      <c r="Z19" s="2047">
        <v>61832</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2081</v>
      </c>
      <c r="B21" s="1959"/>
      <c r="C21" s="1959"/>
      <c r="D21" s="1959"/>
      <c r="E21" s="1959"/>
      <c r="F21" s="1959"/>
      <c r="G21" s="1959"/>
      <c r="H21" s="1960"/>
      <c r="I21" s="2014" t="s">
        <v>699</v>
      </c>
      <c r="J21" s="2009"/>
      <c r="K21" s="2009"/>
      <c r="L21" s="2009"/>
      <c r="M21" s="2009"/>
      <c r="N21" s="2009"/>
      <c r="O21" s="2009"/>
      <c r="P21" s="2009"/>
      <c r="Q21" s="2009"/>
      <c r="R21" s="2009"/>
      <c r="S21" s="2015"/>
      <c r="T21" s="2058" t="s">
        <v>2089</v>
      </c>
      <c r="U21" s="2059"/>
      <c r="V21" s="2059"/>
      <c r="W21" s="2059"/>
      <c r="X21" s="2064" t="s">
        <v>2090</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c r="B23" s="2012"/>
      <c r="C23" s="2012"/>
      <c r="D23" s="2012"/>
      <c r="E23" s="2012"/>
      <c r="F23" s="2012"/>
      <c r="G23" s="2012"/>
      <c r="H23" s="2013"/>
      <c r="T23" s="1994"/>
      <c r="U23" s="2057"/>
      <c r="V23" s="2057"/>
      <c r="W23" s="2057"/>
      <c r="X23" s="2061"/>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61924</v>
      </c>
      <c r="B25" s="1959"/>
      <c r="C25" s="1959"/>
      <c r="D25" s="1959"/>
      <c r="E25" s="1959"/>
      <c r="F25" s="1959"/>
      <c r="G25" s="1959"/>
      <c r="H25" s="1960"/>
      <c r="I25" s="113"/>
      <c r="J25" s="1983"/>
      <c r="K25" s="1983"/>
      <c r="L25" s="1983"/>
      <c r="M25" s="1983"/>
      <c r="N25" s="1983"/>
      <c r="O25" s="1983"/>
      <c r="P25" s="1983"/>
      <c r="Q25" s="1983"/>
      <c r="R25" s="1983"/>
      <c r="S25" s="1984"/>
      <c r="T25" s="2054" t="s">
        <v>2091</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2082</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2083</v>
      </c>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1573327</v>
      </c>
      <c r="C4" s="1546"/>
      <c r="D4" s="1774">
        <f>B4-C4</f>
        <v>1573327</v>
      </c>
      <c r="E4" s="1546">
        <v>1630474</v>
      </c>
      <c r="F4" s="1774">
        <f>E4-C4</f>
        <v>1630474</v>
      </c>
    </row>
    <row r="5" spans="1:6" ht="13.7" customHeight="1" x14ac:dyDescent="0.2">
      <c r="A5" s="716" t="s">
        <v>925</v>
      </c>
      <c r="B5" s="1772">
        <f>'Revenues 9-14'!D5</f>
        <v>267573</v>
      </c>
      <c r="C5" s="585"/>
      <c r="D5" s="1775">
        <f t="shared" ref="D5:D18" si="0">B5-C5</f>
        <v>267573</v>
      </c>
      <c r="E5" s="585">
        <v>277292</v>
      </c>
      <c r="F5" s="1775">
        <f>E5-C5</f>
        <v>277292</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107029</v>
      </c>
      <c r="C7" s="585"/>
      <c r="D7" s="1775">
        <f t="shared" si="0"/>
        <v>107029</v>
      </c>
      <c r="E7" s="585">
        <v>110917</v>
      </c>
      <c r="F7" s="1775">
        <f t="shared" si="1"/>
        <v>110917</v>
      </c>
    </row>
    <row r="8" spans="1:6" ht="13.7" customHeight="1" x14ac:dyDescent="0.2">
      <c r="A8" s="716" t="s">
        <v>1241</v>
      </c>
      <c r="B8" s="1772">
        <f>'Revenues 9-14'!G5</f>
        <v>53868</v>
      </c>
      <c r="C8" s="585"/>
      <c r="D8" s="1775">
        <f t="shared" si="0"/>
        <v>53868</v>
      </c>
      <c r="E8" s="585">
        <v>54000</v>
      </c>
      <c r="F8" s="1775">
        <f t="shared" si="1"/>
        <v>54000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26757</v>
      </c>
      <c r="C10" s="585"/>
      <c r="D10" s="1775">
        <f t="shared" si="0"/>
        <v>26757</v>
      </c>
      <c r="E10" s="585">
        <v>27729</v>
      </c>
      <c r="F10" s="1775">
        <f t="shared" si="1"/>
        <v>27729</v>
      </c>
    </row>
    <row r="11" spans="1:6" x14ac:dyDescent="0.2">
      <c r="A11" s="716" t="s">
        <v>429</v>
      </c>
      <c r="B11" s="1772">
        <f>'Revenues 9-14'!J5</f>
        <v>124946</v>
      </c>
      <c r="C11" s="585"/>
      <c r="D11" s="1775">
        <f t="shared" si="0"/>
        <v>124946</v>
      </c>
      <c r="E11" s="585">
        <v>125247</v>
      </c>
      <c r="F11" s="1775">
        <f t="shared" si="1"/>
        <v>125247</v>
      </c>
    </row>
    <row r="12" spans="1:6" ht="13.7" customHeight="1" x14ac:dyDescent="0.2">
      <c r="A12" s="716" t="s">
        <v>159</v>
      </c>
      <c r="B12" s="1772">
        <f>'Revenues 9-14'!K5</f>
        <v>26757</v>
      </c>
      <c r="C12" s="585"/>
      <c r="D12" s="1775">
        <f t="shared" si="0"/>
        <v>26757</v>
      </c>
      <c r="E12" s="585">
        <v>27729</v>
      </c>
      <c r="F12" s="1775">
        <f t="shared" si="1"/>
        <v>27729</v>
      </c>
    </row>
    <row r="13" spans="1:6" ht="13.7" customHeight="1" x14ac:dyDescent="0.2">
      <c r="A13" s="716" t="s">
        <v>993</v>
      </c>
      <c r="B13" s="1772">
        <f>SUM('Revenues 9-14'!C6:D6)</f>
        <v>26757</v>
      </c>
      <c r="C13" s="585"/>
      <c r="D13" s="1775">
        <f t="shared" si="0"/>
        <v>26757</v>
      </c>
      <c r="E13" s="585">
        <v>27729</v>
      </c>
      <c r="F13" s="1775">
        <f t="shared" si="1"/>
        <v>27729</v>
      </c>
    </row>
    <row r="14" spans="1:6" ht="13.7" customHeight="1" x14ac:dyDescent="0.2">
      <c r="A14" s="716" t="s">
        <v>430</v>
      </c>
      <c r="B14" s="1772">
        <f>SUM('Revenues 9-14'!C7:D7,'Revenues 9-14'!F7:H7)</f>
        <v>21406</v>
      </c>
      <c r="C14" s="585"/>
      <c r="D14" s="1775">
        <f t="shared" si="0"/>
        <v>21406</v>
      </c>
      <c r="E14" s="585">
        <v>22183</v>
      </c>
      <c r="F14" s="1775">
        <f t="shared" si="1"/>
        <v>22183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65839</v>
      </c>
      <c r="C16" s="585"/>
      <c r="D16" s="1775">
        <f t="shared" si="0"/>
        <v>65839</v>
      </c>
      <c r="E16" s="585">
        <v>66001</v>
      </c>
      <c r="F16" s="1775">
        <f t="shared" si="1"/>
        <v>66001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2294259</v>
      </c>
      <c r="C19" s="1773">
        <f>SUM(C4:C18)</f>
        <v>0</v>
      </c>
      <c r="D19" s="1773">
        <f>SUM(D4:D18)</f>
        <v>2294259</v>
      </c>
      <c r="E19" s="1773">
        <f>SUM(E4:E18)</f>
        <v>2369301</v>
      </c>
      <c r="F19" s="1773">
        <f>SUM(F4:F18)</f>
        <v>2369301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21406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3918</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21406</v>
      </c>
      <c r="I12" s="1780">
        <f>SUM(I5:I11)</f>
        <v>0</v>
      </c>
      <c r="J12" s="1780">
        <f>SUM(J5:J11)</f>
        <v>0</v>
      </c>
      <c r="K12" s="1780">
        <f>SUM(K5:K11)</f>
        <v>3918</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21406</v>
      </c>
      <c r="I14" s="772"/>
      <c r="J14" s="774"/>
      <c r="K14" s="766">
        <v>3918</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21406</v>
      </c>
      <c r="I23" s="1780">
        <f>SUM(I14:I16,I21,I22)</f>
        <v>0</v>
      </c>
      <c r="J23" s="1780">
        <f>SUM(J14:J16,J21,J22)</f>
        <v>0</v>
      </c>
      <c r="K23" s="1780">
        <f>SUM(K14:K16,K21,K22)</f>
        <v>3918</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32000</v>
      </c>
      <c r="D5" s="842"/>
      <c r="E5" s="842"/>
      <c r="F5" s="1782">
        <f>(C5+D5)-E5</f>
        <v>32000</v>
      </c>
      <c r="G5" s="838"/>
      <c r="H5" s="843"/>
      <c r="I5" s="843"/>
      <c r="J5" s="843"/>
      <c r="K5" s="794"/>
      <c r="L5" s="1791">
        <f>F5-K5</f>
        <v>32000</v>
      </c>
    </row>
    <row r="6" spans="1:14" ht="14.25" thickTop="1" thickBot="1" x14ac:dyDescent="0.25">
      <c r="A6" s="779" t="s">
        <v>1179</v>
      </c>
      <c r="B6" s="841">
        <v>222</v>
      </c>
      <c r="C6" s="766"/>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4218205</v>
      </c>
      <c r="D8" s="845"/>
      <c r="E8" s="845"/>
      <c r="F8" s="1782">
        <f>(C8+D8)-E8</f>
        <v>4218205</v>
      </c>
      <c r="G8" s="844">
        <v>50</v>
      </c>
      <c r="H8" s="766">
        <v>1390736</v>
      </c>
      <c r="I8" s="766">
        <v>90811</v>
      </c>
      <c r="J8" s="766"/>
      <c r="K8" s="1791">
        <f>(H8+I8)-J8</f>
        <v>1481547</v>
      </c>
      <c r="L8" s="1791">
        <f>F8-K8</f>
        <v>2736658</v>
      </c>
    </row>
    <row r="9" spans="1:14" ht="14.25" thickTop="1" thickBot="1" x14ac:dyDescent="0.25">
      <c r="A9" s="779" t="s">
        <v>1181</v>
      </c>
      <c r="B9" s="841">
        <v>232</v>
      </c>
      <c r="C9" s="766"/>
      <c r="D9" s="766"/>
      <c r="E9" s="766"/>
      <c r="F9" s="1782">
        <f>(C9+D9)-E9</f>
        <v>0</v>
      </c>
      <c r="G9" s="844">
        <v>20</v>
      </c>
      <c r="H9" s="766">
        <v>0</v>
      </c>
      <c r="I9" s="766">
        <v>0</v>
      </c>
      <c r="J9" s="766"/>
      <c r="K9" s="1791">
        <f>(H9+I9)-J9</f>
        <v>0</v>
      </c>
      <c r="L9" s="1791">
        <f>F9-K9</f>
        <v>0</v>
      </c>
    </row>
    <row r="10" spans="1:14" ht="24" thickTop="1" thickBot="1" x14ac:dyDescent="0.25">
      <c r="A10" s="846" t="s">
        <v>1182</v>
      </c>
      <c r="B10" s="841">
        <v>240</v>
      </c>
      <c r="C10" s="847">
        <v>85325</v>
      </c>
      <c r="D10" s="847"/>
      <c r="E10" s="847"/>
      <c r="F10" s="1786">
        <f>(C10+D10)-E10</f>
        <v>85325</v>
      </c>
      <c r="G10" s="844">
        <v>20</v>
      </c>
      <c r="H10" s="848">
        <v>59837</v>
      </c>
      <c r="I10" s="848">
        <v>6418</v>
      </c>
      <c r="J10" s="848"/>
      <c r="K10" s="1791">
        <f>(H10+I10)-J10</f>
        <v>66255</v>
      </c>
      <c r="L10" s="1791">
        <f>F10-K10</f>
        <v>19070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149303</v>
      </c>
      <c r="D12" s="845"/>
      <c r="E12" s="845"/>
      <c r="F12" s="1782">
        <f>(C12+D12)-E12</f>
        <v>149303</v>
      </c>
      <c r="G12" s="844">
        <v>10</v>
      </c>
      <c r="H12" s="766">
        <v>106701</v>
      </c>
      <c r="I12" s="766">
        <v>5805</v>
      </c>
      <c r="J12" s="766"/>
      <c r="K12" s="1791">
        <f>(H12+I12)-J12</f>
        <v>112506</v>
      </c>
      <c r="L12" s="1791">
        <f>F12-K12</f>
        <v>36797</v>
      </c>
    </row>
    <row r="13" spans="1:14" ht="14.25" thickTop="1" thickBot="1" x14ac:dyDescent="0.25">
      <c r="A13" s="849" t="s">
        <v>1184</v>
      </c>
      <c r="B13" s="841">
        <v>252</v>
      </c>
      <c r="C13" s="845">
        <v>152443</v>
      </c>
      <c r="D13" s="845"/>
      <c r="E13" s="845"/>
      <c r="F13" s="1782">
        <f>(C13+D13)-E13</f>
        <v>152443</v>
      </c>
      <c r="G13" s="844">
        <v>5</v>
      </c>
      <c r="H13" s="766">
        <v>147183</v>
      </c>
      <c r="I13" s="766">
        <v>5260</v>
      </c>
      <c r="J13" s="766"/>
      <c r="K13" s="1791">
        <f>(H13+I13)-J13</f>
        <v>152443</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4637276</v>
      </c>
      <c r="D16" s="1782">
        <f>SUM(D3,D5:D6,D8:D10,D12:D15)</f>
        <v>0</v>
      </c>
      <c r="E16" s="1782">
        <f>SUM(E3,E5:E6,E8:E10,E12:E15)</f>
        <v>0</v>
      </c>
      <c r="F16" s="1782">
        <f>SUM(F3,F5:F6,F8:F10,F12:F15)</f>
        <v>4637276</v>
      </c>
      <c r="G16" s="844"/>
      <c r="H16" s="1782">
        <f>SUM(H3,H6,H8:H10,H12:H14,)</f>
        <v>1704457</v>
      </c>
      <c r="I16" s="1782">
        <f>SUM(I3,I6,I8:I10,I12:I14,)</f>
        <v>108294</v>
      </c>
      <c r="J16" s="1782">
        <f>SUM(J3,J6,J8:J10,J12:J14,)</f>
        <v>0</v>
      </c>
      <c r="K16" s="1782">
        <f>(H16+I16)-J16</f>
        <v>1812751</v>
      </c>
      <c r="L16" s="1782">
        <f>F16-K16</f>
        <v>2824525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1652</v>
      </c>
      <c r="G17" s="838">
        <v>10</v>
      </c>
      <c r="H17" s="770"/>
      <c r="I17" s="1791">
        <f>F17/G17</f>
        <v>165.2</v>
      </c>
      <c r="J17" s="770"/>
      <c r="K17" s="796"/>
      <c r="L17" s="796"/>
    </row>
    <row r="18" spans="1:12" ht="14.25" thickTop="1" thickBot="1" x14ac:dyDescent="0.25">
      <c r="A18" s="1789" t="s">
        <v>706</v>
      </c>
      <c r="B18" s="1790"/>
      <c r="C18" s="772"/>
      <c r="D18" s="772"/>
      <c r="E18" s="772"/>
      <c r="F18" s="851"/>
      <c r="G18" s="852"/>
      <c r="H18" s="774"/>
      <c r="I18" s="1782">
        <f>SUM(I16,I17)</f>
        <v>108459.2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A47" sqref="A47"/>
      <selection pane="bottomLeft" activeCell="N172" sqref="N171:N17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2532482</v>
      </c>
      <c r="G8" s="866"/>
    </row>
    <row r="9" spans="1:7" x14ac:dyDescent="0.2">
      <c r="A9" s="870" t="s">
        <v>480</v>
      </c>
      <c r="B9" s="871" t="s">
        <v>1989</v>
      </c>
      <c r="C9" s="872"/>
      <c r="D9" s="870" t="s">
        <v>522</v>
      </c>
      <c r="E9" s="869"/>
      <c r="F9" s="1935">
        <f>'Expenditures 15-22'!K151</f>
        <v>257474</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164374</v>
      </c>
      <c r="G11" s="873"/>
    </row>
    <row r="12" spans="1:7" x14ac:dyDescent="0.2">
      <c r="A12" s="870" t="s">
        <v>482</v>
      </c>
      <c r="B12" s="871" t="s">
        <v>1992</v>
      </c>
      <c r="C12" s="872"/>
      <c r="D12" s="870" t="s">
        <v>522</v>
      </c>
      <c r="E12" s="869"/>
      <c r="F12" s="1935">
        <f>'Expenditures 15-22'!K295</f>
        <v>100894</v>
      </c>
      <c r="G12" s="873"/>
    </row>
    <row r="13" spans="1:7" x14ac:dyDescent="0.2">
      <c r="A13" s="870" t="s">
        <v>108</v>
      </c>
      <c r="B13" s="871" t="s">
        <v>1993</v>
      </c>
      <c r="C13" s="872"/>
      <c r="D13" s="870" t="s">
        <v>522</v>
      </c>
      <c r="E13" s="869"/>
      <c r="F13" s="1935">
        <f>'Expenditures 15-22'!K342</f>
        <v>123710</v>
      </c>
      <c r="G13" s="874"/>
    </row>
    <row r="14" spans="1:7" ht="12" customHeight="1" thickBot="1" x14ac:dyDescent="0.25">
      <c r="A14" s="1792"/>
      <c r="B14" s="1793"/>
      <c r="C14" s="1794"/>
      <c r="D14" s="1795" t="s">
        <v>522</v>
      </c>
      <c r="E14" s="1796" t="s">
        <v>1015</v>
      </c>
      <c r="F14" s="1797">
        <f>SUM(F8:F13)</f>
        <v>3178934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98713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11660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92132</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861</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791</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3172</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1463</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208792</v>
      </c>
      <c r="G76" s="866"/>
    </row>
    <row r="77" spans="1:8" s="894" customFormat="1" ht="12" customHeight="1" thickTop="1" thickBot="1" x14ac:dyDescent="0.25">
      <c r="A77" s="1801"/>
      <c r="B77" s="1798"/>
      <c r="C77" s="1794"/>
      <c r="D77" s="1799" t="s">
        <v>2012</v>
      </c>
      <c r="E77" s="1796"/>
      <c r="F77" s="1802">
        <f>(F14-F76)</f>
        <v>2970142</v>
      </c>
      <c r="G77" s="870"/>
    </row>
    <row r="78" spans="1:8" s="894" customFormat="1" ht="12" customHeight="1" thickTop="1" x14ac:dyDescent="0.2">
      <c r="A78" s="1803"/>
      <c r="B78" s="1798"/>
      <c r="C78" s="1794"/>
      <c r="D78" s="1799" t="s">
        <v>2059</v>
      </c>
      <c r="E78" s="1796"/>
      <c r="F78" s="899">
        <v>292.3</v>
      </c>
      <c r="G78" s="900"/>
      <c r="H78" s="870"/>
    </row>
    <row r="79" spans="1:8" s="894" customFormat="1" ht="12" customHeight="1" thickBot="1" x14ac:dyDescent="0.25">
      <c r="A79" s="1804"/>
      <c r="B79" s="1798"/>
      <c r="C79" s="1794"/>
      <c r="D79" s="1799" t="s">
        <v>2013</v>
      </c>
      <c r="E79" s="1796" t="s">
        <v>1015</v>
      </c>
      <c r="F79" s="1805">
        <f>IF(F78&gt;0,F77/F78," Complete Line 78")</f>
        <v>10161.279507355457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68478</v>
      </c>
      <c r="G94" s="913"/>
    </row>
    <row r="95" spans="1:7" x14ac:dyDescent="0.2">
      <c r="A95" s="909" t="s">
        <v>142</v>
      </c>
      <c r="B95" s="909" t="s">
        <v>177</v>
      </c>
      <c r="C95" s="911">
        <v>1700</v>
      </c>
      <c r="D95" s="919" t="str">
        <f>'Revenues 9-14'!A82</f>
        <v>Total District/School Activity Income</v>
      </c>
      <c r="E95" s="907"/>
      <c r="F95" s="1811">
        <f>SUM('Revenues 9-14'!C82,'Revenues 9-14'!D82)</f>
        <v>23626</v>
      </c>
      <c r="G95" s="913"/>
    </row>
    <row r="96" spans="1:7" x14ac:dyDescent="0.2">
      <c r="A96" s="909" t="s">
        <v>479</v>
      </c>
      <c r="B96" s="909" t="s">
        <v>178</v>
      </c>
      <c r="C96" s="911">
        <f>'Revenues 9-14'!B84</f>
        <v>1811</v>
      </c>
      <c r="D96" s="912" t="str">
        <f>'Revenues 9-14'!A84</f>
        <v>Rentals - Regular Textbooks</v>
      </c>
      <c r="E96" s="907"/>
      <c r="F96" s="1811">
        <f>'Revenues 9-14'!C84</f>
        <v>16908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55060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11866</v>
      </c>
      <c r="G104" s="913"/>
    </row>
    <row r="105" spans="1:7" x14ac:dyDescent="0.2">
      <c r="A105" s="909" t="s">
        <v>524</v>
      </c>
      <c r="B105" s="909" t="s">
        <v>842</v>
      </c>
      <c r="C105" s="914">
        <v>3100</v>
      </c>
      <c r="D105" s="920" t="str">
        <f>'Revenues 9-14'!A131</f>
        <v>Total Special Education</v>
      </c>
      <c r="E105" s="907"/>
      <c r="F105" s="1811">
        <f>SUM('Revenues 9-14'!C131:D131,'Revenues 9-14'!F131)</f>
        <v>59105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15245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1080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3918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88200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51442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10983</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81360</v>
      </c>
      <c r="G129" s="931"/>
    </row>
    <row r="130" spans="1:7" x14ac:dyDescent="0.2">
      <c r="A130" s="928" t="s">
        <v>689</v>
      </c>
      <c r="B130" s="928" t="s">
        <v>804</v>
      </c>
      <c r="C130" s="933">
        <v>4300</v>
      </c>
      <c r="D130" s="934" t="str">
        <f>'Revenues 9-14'!A211</f>
        <v>Total Title I</v>
      </c>
      <c r="E130" s="907"/>
      <c r="F130" s="1811">
        <f>SUM('Revenues 9-14'!C211,'Revenues 9-14'!D211,'Revenues 9-14'!F211,'Revenues 9-14'!G211)</f>
        <v>76310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23361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15916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22209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625067</v>
      </c>
    </row>
    <row r="179" spans="1:7" ht="12" customHeight="1" x14ac:dyDescent="0.2">
      <c r="A179" s="1792"/>
      <c r="B179" s="1806"/>
      <c r="C179" s="1807"/>
      <c r="D179" s="1808" t="s">
        <v>2015</v>
      </c>
      <c r="E179" s="1809"/>
      <c r="F179" s="1811">
        <f>'PCTC-OEPP 27-28'!F77-F178</f>
        <v>2345075</v>
      </c>
    </row>
    <row r="180" spans="1:7" ht="12" customHeight="1" x14ac:dyDescent="0.2">
      <c r="A180" s="1792"/>
      <c r="B180" s="1806"/>
      <c r="C180" s="1807"/>
      <c r="D180" s="1808" t="s">
        <v>1924</v>
      </c>
      <c r="E180" s="1809"/>
      <c r="F180" s="1811">
        <f>'Cap Outlay Deprec 26'!I18</f>
        <v>108459.2</v>
      </c>
    </row>
    <row r="181" spans="1:7" ht="12" customHeight="1" x14ac:dyDescent="0.2">
      <c r="A181" s="1792"/>
      <c r="B181" s="1806"/>
      <c r="C181" s="1807"/>
      <c r="D181" s="1808" t="s">
        <v>2016</v>
      </c>
      <c r="E181" s="1809"/>
      <c r="F181" s="1811">
        <f>F179+F180</f>
        <v>2453534.2000000002</v>
      </c>
    </row>
    <row r="182" spans="1:7" ht="12" customHeight="1" x14ac:dyDescent="0.2">
      <c r="A182" s="1792"/>
      <c r="B182" s="1812"/>
      <c r="C182" s="1807"/>
      <c r="D182" s="1808" t="str">
        <f>D78</f>
        <v>9 Month ADA from District Average Daily Attendance/Prior General State Aid Inquiry 2017-2018</v>
      </c>
      <c r="E182" s="1809"/>
      <c r="F182" s="1813">
        <f>'PCTC-OEPP 27-28'!F78</f>
        <v>292.3</v>
      </c>
      <c r="G182" s="931"/>
    </row>
    <row r="183" spans="1:7" ht="12" customHeight="1" thickBot="1" x14ac:dyDescent="0.25">
      <c r="A183" s="1792"/>
      <c r="B183" s="1812"/>
      <c r="C183" s="1807"/>
      <c r="D183" s="1808" t="s">
        <v>2017</v>
      </c>
      <c r="E183" s="1809" t="s">
        <v>1626</v>
      </c>
      <c r="F183" s="1814">
        <f>F181/F182</f>
        <v>8393.8905234348276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2" sqref="B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2092</v>
      </c>
      <c r="B17" s="2504" t="s">
        <v>2100</v>
      </c>
      <c r="C17" s="1957" t="s">
        <v>2097</v>
      </c>
      <c r="D17" s="1867">
        <v>12700</v>
      </c>
      <c r="E17" s="1562">
        <f t="shared" ref="E17:E141" si="1">IF(D17&lt;=25000,D17,IF(D17&gt;25000,25000,0))</f>
        <v>12700</v>
      </c>
      <c r="F17" s="1815">
        <f t="shared" si="0"/>
        <v>12700</v>
      </c>
      <c r="G17" s="1816">
        <f>IF(F17=0,0,D17-F17)</f>
        <v>0</v>
      </c>
      <c r="H17" s="1669"/>
    </row>
    <row r="18" spans="1:8" x14ac:dyDescent="0.25">
      <c r="A18" s="1956" t="s">
        <v>2094</v>
      </c>
      <c r="B18" s="2504" t="s">
        <v>2101</v>
      </c>
      <c r="C18" s="1957" t="s">
        <v>2095</v>
      </c>
      <c r="D18" s="1867">
        <v>71266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46266</v>
      </c>
    </row>
    <row r="19" spans="1:8" x14ac:dyDescent="0.25">
      <c r="A19" s="1956" t="s">
        <v>2096</v>
      </c>
      <c r="B19" s="2504" t="s">
        <v>2102</v>
      </c>
      <c r="C19" s="1957" t="s">
        <v>2093</v>
      </c>
      <c r="D19" s="1867">
        <v>36100</v>
      </c>
      <c r="E19" s="1562">
        <f t="shared" si="2"/>
        <v>25000</v>
      </c>
      <c r="F19" s="1815">
        <f t="shared" si="3"/>
        <v>25000</v>
      </c>
      <c r="G19" s="1816">
        <f t="shared" si="4"/>
        <v>11100</v>
      </c>
    </row>
    <row r="20" spans="1:8" x14ac:dyDescent="0.25">
      <c r="A20" s="1956" t="s">
        <v>2096</v>
      </c>
      <c r="B20" s="2504" t="s">
        <v>2102</v>
      </c>
      <c r="C20" s="1957" t="s">
        <v>2098</v>
      </c>
      <c r="D20" s="1867">
        <v>18330</v>
      </c>
      <c r="E20" s="1562">
        <f t="shared" si="2"/>
        <v>18330</v>
      </c>
      <c r="F20" s="1815">
        <f t="shared" si="3"/>
        <v>18330</v>
      </c>
      <c r="G20" s="1816">
        <f t="shared" si="4"/>
        <v>0</v>
      </c>
    </row>
    <row r="21" spans="1:8" x14ac:dyDescent="0.25">
      <c r="A21" s="1956" t="s">
        <v>2096</v>
      </c>
      <c r="B21" s="2504" t="s">
        <v>2102</v>
      </c>
      <c r="C21" s="1957" t="s">
        <v>2099</v>
      </c>
      <c r="D21" s="1867">
        <v>23760</v>
      </c>
      <c r="E21" s="1562">
        <f t="shared" si="2"/>
        <v>23760</v>
      </c>
      <c r="F21" s="1815">
        <f t="shared" si="3"/>
        <v>23760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162156</v>
      </c>
      <c r="E141" s="1563">
        <f t="shared" si="1"/>
        <v>25000</v>
      </c>
      <c r="F141" s="1817">
        <f>SUM(F17:F140)</f>
        <v>104790</v>
      </c>
      <c r="G141" s="1818">
        <f>SUM(G17:G140)</f>
        <v>57366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85187</v>
      </c>
      <c r="F10" s="975"/>
      <c r="G10" s="976"/>
      <c r="H10" s="162"/>
      <c r="I10" s="162"/>
    </row>
    <row r="11" spans="1:9" s="669" customFormat="1" ht="22.5" customHeight="1" x14ac:dyDescent="0.2">
      <c r="A11" s="2304" t="s">
        <v>1945</v>
      </c>
      <c r="B11" s="2305"/>
      <c r="C11" s="2305"/>
      <c r="D11" s="2306"/>
      <c r="E11" s="978">
        <v>10144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1630622</v>
      </c>
      <c r="F19" s="1822"/>
      <c r="G19" s="1824">
        <f>'Expenditures 15-22'!K33-SUM('Expenditures 15-22'!G33,'Expenditures 15-22'!I33)+'Expenditures 15-22'!D229</f>
        <v>1630622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204772</v>
      </c>
      <c r="F21" s="1825"/>
      <c r="G21" s="1828">
        <f>'Expenditures 15-22'!K42-SUM('Expenditures 15-22'!G42,'Expenditures 15-22'!I42)+'Expenditures 15-22'!K120-SUM('Expenditures 15-22'!G120,'Expenditures 15-22'!I120)+'Expenditures 15-22'!K180-SUM('Expenditures 15-22'!G180,'Expenditures 15-22'!I180)+'Expenditures 15-22'!D238</f>
        <v>204772</v>
      </c>
      <c r="H21" s="988"/>
      <c r="I21" s="162"/>
    </row>
    <row r="22" spans="1:9" s="669" customFormat="1" ht="12" customHeight="1" x14ac:dyDescent="0.2">
      <c r="A22" s="995" t="s">
        <v>585</v>
      </c>
      <c r="B22" s="996"/>
      <c r="C22" s="994">
        <v>2200</v>
      </c>
      <c r="D22" s="1825"/>
      <c r="E22" s="1827">
        <f>'Expenditures 15-22'!K47-SUM('Expenditures 15-22'!G47,'Expenditures 15-22'!I47)+'Expenditures 15-22'!D243</f>
        <v>56391</v>
      </c>
      <c r="F22" s="1825"/>
      <c r="G22" s="1828">
        <f>'Expenditures 15-22'!K47-SUM('Expenditures 15-22'!G47,'Expenditures 15-22'!I47)+'Expenditures 15-22'!D243</f>
        <v>56391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302587</v>
      </c>
      <c r="F23" s="1825"/>
      <c r="G23" s="1827">
        <f>'Expenditures 15-22'!K53-SUM('Expenditures 15-22'!G53,'Expenditures 15-22'!I53)+'Expenditures 15-22'!D257+'Expenditures 15-22'!K330-SUM('Expenditures 15-22'!G330,'Expenditures 15-22'!I330)</f>
        <v>302587</v>
      </c>
      <c r="H23" s="988"/>
      <c r="I23" s="162"/>
    </row>
    <row r="24" spans="1:9" s="669" customFormat="1" ht="12" customHeight="1" x14ac:dyDescent="0.2">
      <c r="A24" s="995" t="s">
        <v>587</v>
      </c>
      <c r="B24" s="996"/>
      <c r="C24" s="994">
        <v>2400</v>
      </c>
      <c r="D24" s="1825"/>
      <c r="E24" s="1827">
        <f>'Expenditures 15-22'!K57-SUM('Expenditures 15-22'!G57,'Expenditures 15-22'!I57)+'Expenditures 15-22'!D261</f>
        <v>190334</v>
      </c>
      <c r="F24" s="1825"/>
      <c r="G24" s="1828">
        <f>'Expenditures 15-22'!K57-SUM('Expenditures 15-22'!G57,'Expenditures 15-22'!I57)+'Expenditures 15-22'!D261</f>
        <v>190334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270918</v>
      </c>
      <c r="F28" s="1829">
        <f>'Expenditures 15-22'!K61-SUM('Expenditures 15-22'!G61,'Expenditures 15-22'!I61)+'Expenditures 15-22'!K124-SUM('Expenditures 15-22'!G124,'Expenditures 15-22'!I124)+'Expenditures 15-22'!D266-E9</f>
        <v>270918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175452</v>
      </c>
      <c r="F29" s="1825"/>
      <c r="G29" s="1828">
        <f>'Expenditures 15-22'!K62-SUM('Expenditures 15-22'!G62,'Expenditures 15-22'!I62)+'Expenditures 15-22'!K125-SUM('Expenditures 15-22'!G125,'Expenditures 15-22'!I125)+'Expenditures 15-22'!K182-SUM('Expenditures 15-22'!G182,'Expenditures 15-22'!I182)+'Expenditures 15-22'!D267</f>
        <v>175452</v>
      </c>
      <c r="H29" s="986"/>
    </row>
    <row r="30" spans="1:9" ht="12" customHeight="1" x14ac:dyDescent="0.2">
      <c r="A30" s="995" t="s">
        <v>102</v>
      </c>
      <c r="B30" s="998"/>
      <c r="C30" s="994">
        <v>2560</v>
      </c>
      <c r="D30" s="1825"/>
      <c r="E30" s="1827">
        <f>'Expenditures 15-22'!K63-SUM('Expenditures 15-22'!G63,'Expenditures 15-22'!I63)+'Expenditures 15-22'!D268-E10</f>
        <v>67495</v>
      </c>
      <c r="F30" s="1825"/>
      <c r="G30" s="1827">
        <f>'Expenditures 15-22'!K63-SUM('Expenditures 15-22'!G63,'Expenditures 15-22'!I63)+'Expenditures 15-22'!D268-E10</f>
        <v>67495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101392</v>
      </c>
      <c r="F35" s="1825"/>
      <c r="G35" s="1827">
        <f>'Expenditures 15-22'!K69-SUM('Expenditures 15-22'!G69,'Expenditures 15-22'!I69)+'Expenditures 15-22'!D274</f>
        <v>101392</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-57366</v>
      </c>
      <c r="F40" s="1825"/>
      <c r="G40" s="1829">
        <f>-'Contracts Paid in CY 29'!G141</f>
        <v>-57366</v>
      </c>
    </row>
    <row r="41" spans="1:7" ht="12" customHeight="1" x14ac:dyDescent="0.2">
      <c r="A41" s="999" t="s">
        <v>158</v>
      </c>
      <c r="B41" s="1000"/>
      <c r="C41" s="1001"/>
      <c r="D41" s="1829">
        <f>SUM(D19:D39)</f>
        <v>0</v>
      </c>
      <c r="E41" s="1829">
        <f>SUM(E19:E40)</f>
        <v>2942597</v>
      </c>
      <c r="F41" s="1829">
        <f>SUM(F19:F39)</f>
        <v>270918</v>
      </c>
      <c r="G41" s="1829">
        <f>SUM(G19:G40)</f>
        <v>2671679</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0</v>
      </c>
      <c r="F43" s="1830" t="s">
        <v>495</v>
      </c>
      <c r="G43" s="1831">
        <f>F41</f>
        <v>270918</v>
      </c>
    </row>
    <row r="44" spans="1:7" ht="12" customHeight="1" x14ac:dyDescent="0.2">
      <c r="A44" s="988"/>
      <c r="B44" s="162"/>
      <c r="C44" s="1002"/>
      <c r="D44" s="1830" t="s">
        <v>494</v>
      </c>
      <c r="E44" s="1831">
        <f>E41</f>
        <v>2942597</v>
      </c>
      <c r="F44" s="1830" t="s">
        <v>494</v>
      </c>
      <c r="G44" s="1831">
        <f>G41</f>
        <v>2671679</v>
      </c>
    </row>
    <row r="45" spans="1:7" ht="12" customHeight="1" x14ac:dyDescent="0.2">
      <c r="A45" s="988"/>
      <c r="B45" s="162"/>
      <c r="C45" s="162"/>
      <c r="D45" s="1832" t="s">
        <v>1063</v>
      </c>
      <c r="E45" s="1833">
        <f>(E43/E44)</f>
        <v>0</v>
      </c>
      <c r="F45" s="1832" t="s">
        <v>1063</v>
      </c>
      <c r="G45" s="1833">
        <f>(G43/G44)</f>
        <v>0.10140364916593647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K22" sqref="K22:L2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Edgar County CUSD #6</v>
      </c>
      <c r="D6" s="2325"/>
      <c r="E6" s="2325"/>
      <c r="F6" s="1877"/>
    </row>
    <row r="7" spans="1:10" ht="11.25" customHeight="1" thickBot="1" x14ac:dyDescent="0.3">
      <c r="A7" s="1875"/>
      <c r="B7" s="1876"/>
      <c r="C7" s="2326">
        <f>COVER!A13</f>
        <v>11023006026</v>
      </c>
      <c r="D7" s="2326"/>
      <c r="E7" s="232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c r="F19" s="1892"/>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2077</v>
      </c>
      <c r="D29" s="1890" t="s">
        <v>2077</v>
      </c>
      <c r="E29" s="1893"/>
      <c r="F29" s="1892"/>
      <c r="H29" s="1903">
        <f t="shared" si="0"/>
        <v>5</v>
      </c>
      <c r="I29" s="1903">
        <f t="shared" si="1"/>
        <v>5</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21" sqref="H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Edgar County CUSD #6</v>
      </c>
      <c r="J6" s="2335"/>
      <c r="Q6" s="1686"/>
    </row>
    <row r="7" spans="1:17" x14ac:dyDescent="0.2">
      <c r="A7" s="2336" t="s">
        <v>924</v>
      </c>
      <c r="B7" s="2337"/>
      <c r="C7" s="2337"/>
      <c r="D7" s="2337"/>
      <c r="E7" s="2338"/>
      <c r="F7" s="1018"/>
      <c r="G7" s="1010"/>
      <c r="H7" s="1017" t="s">
        <v>390</v>
      </c>
      <c r="I7" s="2339">
        <f>COVER!A13</f>
        <v>11023006026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114147</v>
      </c>
      <c r="F12" s="1040"/>
      <c r="G12" s="1834">
        <f t="shared" ref="G12:G18" si="0">SUM(E12:F12)</f>
        <v>114147</v>
      </c>
      <c r="H12" s="1041">
        <v>127080</v>
      </c>
      <c r="I12" s="1040"/>
      <c r="J12" s="1834">
        <f t="shared" ref="J12:J18" si="1">SUM(H12:I12)</f>
        <v>127080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114147</v>
      </c>
      <c r="F19" s="1836">
        <f t="shared" si="2"/>
        <v>0</v>
      </c>
      <c r="G19" s="1836">
        <f t="shared" si="2"/>
        <v>114147</v>
      </c>
      <c r="H19" s="1836">
        <f t="shared" si="2"/>
        <v>127080</v>
      </c>
      <c r="I19" s="1836">
        <f t="shared" si="2"/>
        <v>0</v>
      </c>
      <c r="J19" s="1836">
        <f t="shared" si="2"/>
        <v>127080</v>
      </c>
    </row>
    <row r="20" spans="1:10" ht="13.5" thickTop="1" x14ac:dyDescent="0.2">
      <c r="A20" s="1036">
        <v>9</v>
      </c>
      <c r="B20" s="2346" t="s">
        <v>1703</v>
      </c>
      <c r="C20" s="2346"/>
      <c r="D20" s="2347"/>
      <c r="E20" s="1047"/>
      <c r="F20" s="1047"/>
      <c r="G20" s="1047"/>
      <c r="H20" s="1047"/>
      <c r="I20" s="1047"/>
      <c r="J20" s="1837">
        <f>IF(AND(G19&gt;0,J19&gt;0),(((J19-G19)/G19)),"Enter Budget Data")</f>
        <v>0.11330126941575337</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Edgar County CUSD #6</v>
      </c>
    </row>
    <row r="65" spans="2:2" x14ac:dyDescent="0.2">
      <c r="B65" s="1071">
        <f>COVER!A13</f>
        <v>11023006026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autoPict="0" r:id="rId5">
            <anchor moveWithCells="1">
              <from>
                <xdr:col>0</xdr:col>
                <xdr:colOff>0</xdr:colOff>
                <xdr:row>0</xdr:row>
                <xdr:rowOff>0</xdr:rowOff>
              </from>
              <to>
                <xdr:col>2</xdr:col>
                <xdr:colOff>352425</xdr:colOff>
                <xdr:row>17</xdr:row>
                <xdr:rowOff>285750</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2986262</v>
      </c>
      <c r="C8" s="1838">
        <f>'Acct Summary 7-8'!D8</f>
        <v>295520</v>
      </c>
      <c r="D8" s="1838">
        <f>'Acct Summary 7-8'!F8</f>
        <v>231434</v>
      </c>
      <c r="E8" s="1838">
        <f>'Acct Summary 7-8'!I8</f>
        <v>26757</v>
      </c>
      <c r="F8" s="1838">
        <f>SUM(B8:E8)</f>
        <v>3539973</v>
      </c>
    </row>
    <row r="9" spans="1:8" s="1080" customFormat="1" ht="14.25" customHeight="1" thickBot="1" x14ac:dyDescent="0.25">
      <c r="A9" s="1079" t="s">
        <v>1436</v>
      </c>
      <c r="B9" s="1839">
        <f>'Acct Summary 7-8'!C17</f>
        <v>2532482</v>
      </c>
      <c r="C9" s="1839">
        <f>'Acct Summary 7-8'!D17</f>
        <v>257474</v>
      </c>
      <c r="D9" s="1839">
        <f>'Acct Summary 7-8'!F17</f>
        <v>164374</v>
      </c>
      <c r="E9" s="1838"/>
      <c r="F9" s="1838">
        <f>SUM(B9:E9)</f>
        <v>2954330</v>
      </c>
    </row>
    <row r="10" spans="1:8" s="1080" customFormat="1" ht="14.25" thickTop="1" thickBot="1" x14ac:dyDescent="0.25">
      <c r="A10" s="1081" t="s">
        <v>1437</v>
      </c>
      <c r="B10" s="1840">
        <f>(B8-B9)</f>
        <v>453780</v>
      </c>
      <c r="C10" s="1840">
        <f>(C8-C9)</f>
        <v>38046</v>
      </c>
      <c r="D10" s="1840">
        <f>(D8-D9)</f>
        <v>67060</v>
      </c>
      <c r="E10" s="1839">
        <f>(E8-E9)</f>
        <v>26757</v>
      </c>
      <c r="F10" s="1841">
        <f>SUM(F8-F9)</f>
        <v>585643</v>
      </c>
    </row>
    <row r="11" spans="1:8" s="1080" customFormat="1" ht="14.25" thickTop="1" thickBot="1" x14ac:dyDescent="0.25">
      <c r="A11" s="1082" t="s">
        <v>1785</v>
      </c>
      <c r="B11" s="1842">
        <f>'Acct Summary 7-8'!C81</f>
        <v>1343374</v>
      </c>
      <c r="C11" s="1842">
        <f>'Acct Summary 7-8'!D81</f>
        <v>272024</v>
      </c>
      <c r="D11" s="1842">
        <f>'Acct Summary 7-8'!F81</f>
        <v>147133</v>
      </c>
      <c r="E11" s="1842">
        <f>'Acct Summary 7-8'!I81</f>
        <v>0</v>
      </c>
      <c r="F11" s="1843">
        <f>SUM(B11:E11)</f>
        <v>1762531</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11023006026</v>
      </c>
    </row>
    <row r="3" spans="1:2" x14ac:dyDescent="0.2">
      <c r="A3" t="s">
        <v>1013</v>
      </c>
      <c r="B3" s="138" t="str">
        <f>COVER!A15</f>
        <v>Edgar County</v>
      </c>
    </row>
    <row r="4" spans="1:2" x14ac:dyDescent="0.2">
      <c r="A4" t="s">
        <v>1064</v>
      </c>
      <c r="B4" s="138" t="str">
        <f>COVER!A17</f>
        <v>Edgar County CUSD #6</v>
      </c>
    </row>
    <row r="5" spans="1:2" x14ac:dyDescent="0.2">
      <c r="A5" t="s">
        <v>728</v>
      </c>
      <c r="B5" s="138" t="str">
        <f>COVER!A38</f>
        <v>James Acklin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0</v>
      </c>
    </row>
    <row r="16" spans="1:2" x14ac:dyDescent="0.2">
      <c r="A16" t="s">
        <v>442</v>
      </c>
      <c r="B16" s="138" t="str">
        <f>COVER!T13</f>
        <v>Daughhetee &amp; Parks Management Consulting PC</v>
      </c>
    </row>
    <row r="17" spans="1:2" x14ac:dyDescent="0.2">
      <c r="A17" t="s">
        <v>939</v>
      </c>
      <c r="B17" s="138" t="str">
        <f>COVER!T15</f>
        <v>Joe Daughhetee</v>
      </c>
    </row>
    <row r="18" spans="1:2" x14ac:dyDescent="0.2">
      <c r="A18" t="s">
        <v>1212</v>
      </c>
      <c r="B18" s="138" t="str">
        <f>COVER!T17</f>
        <v>2200A Kickapoo Drive</v>
      </c>
    </row>
    <row r="19" spans="1:2" x14ac:dyDescent="0.2">
      <c r="A19" t="s">
        <v>941</v>
      </c>
      <c r="B19" s="138" t="str">
        <f>COVER!T25</f>
        <v>joeagcpa@yahoo.com</v>
      </c>
    </row>
    <row r="20" spans="1:2" x14ac:dyDescent="0.2">
      <c r="A20" t="s">
        <v>942</v>
      </c>
      <c r="B20" s="138" t="str">
        <f>COVER!T19</f>
        <v>Danville</v>
      </c>
    </row>
    <row r="21" spans="1:2" x14ac:dyDescent="0.2">
      <c r="A21" t="s">
        <v>500</v>
      </c>
      <c r="B21" s="138" t="str">
        <f>COVER!X19</f>
        <v>IL</v>
      </c>
    </row>
    <row r="22" spans="1:2" x14ac:dyDescent="0.2">
      <c r="A22" t="s">
        <v>943</v>
      </c>
      <c r="B22" s="138">
        <f>COVER!Z19</f>
        <v>61832</v>
      </c>
    </row>
    <row r="23" spans="1:2" x14ac:dyDescent="0.2">
      <c r="A23" t="s">
        <v>1214</v>
      </c>
      <c r="B23" s="138" t="str">
        <f>COVER!T21</f>
        <v>217-431-2727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1343374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1343374</v>
      </c>
      <c r="D92" s="2" t="str">
        <f t="shared" si="0"/>
        <v>Error?</v>
      </c>
    </row>
    <row r="93" spans="1:4" x14ac:dyDescent="0.2">
      <c r="A93" s="5">
        <v>32</v>
      </c>
      <c r="B93" s="138">
        <f>'Assets-Liab 5-6'!C41</f>
        <v>1343374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272024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272024</v>
      </c>
      <c r="D123" s="2" t="str">
        <f t="shared" si="0"/>
        <v>Error?</v>
      </c>
    </row>
    <row r="124" spans="1:4" x14ac:dyDescent="0.2">
      <c r="A124" s="5">
        <v>63</v>
      </c>
      <c r="B124" s="138">
        <f>'Assets-Liab 5-6'!D41</f>
        <v>272024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371951</v>
      </c>
      <c r="D129" s="2" t="str">
        <f t="shared" si="1"/>
        <v>Error?</v>
      </c>
    </row>
    <row r="130" spans="1:4" x14ac:dyDescent="0.2">
      <c r="A130" s="5">
        <v>69</v>
      </c>
      <c r="B130" s="138">
        <f>'Assets-Liab 5-6'!E12</f>
        <v>0</v>
      </c>
      <c r="D130" s="2" t="str">
        <f t="shared" si="1"/>
        <v>Error?</v>
      </c>
    </row>
    <row r="131" spans="1:4" x14ac:dyDescent="0.2">
      <c r="A131" s="5">
        <v>70</v>
      </c>
      <c r="B131" s="138">
        <f>'Assets-Liab 5-6'!E13</f>
        <v>381357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381357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147133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147133</v>
      </c>
      <c r="D170" s="2" t="str">
        <f t="shared" si="1"/>
        <v>Error?</v>
      </c>
    </row>
    <row r="171" spans="1:4" x14ac:dyDescent="0.2">
      <c r="A171" s="5">
        <v>110</v>
      </c>
      <c r="B171" s="138">
        <f>'Assets-Liab 5-6'!F41</f>
        <v>147133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92852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92852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79677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79677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32000</v>
      </c>
      <c r="D273" s="2" t="str">
        <f t="shared" si="3"/>
        <v>Error?</v>
      </c>
    </row>
    <row r="274" spans="1:4" x14ac:dyDescent="0.2">
      <c r="A274" s="5">
        <v>213</v>
      </c>
      <c r="B274" s="138">
        <f>'Assets-Liab 5-6'!M17</f>
        <v>2736658</v>
      </c>
      <c r="D274" s="2" t="str">
        <f t="shared" si="3"/>
        <v>Error?</v>
      </c>
    </row>
    <row r="275" spans="1:4" x14ac:dyDescent="0.2">
      <c r="A275" s="5">
        <v>214</v>
      </c>
      <c r="B275" s="138">
        <f>'Assets-Liab 5-6'!M18</f>
        <v>19070</v>
      </c>
      <c r="D275" s="2" t="str">
        <f t="shared" si="3"/>
        <v>Error?</v>
      </c>
    </row>
    <row r="276" spans="1:4" x14ac:dyDescent="0.2">
      <c r="A276" s="5">
        <v>215</v>
      </c>
      <c r="B276" s="138">
        <f>'Assets-Liab 5-6'!M19</f>
        <v>36797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2824525</v>
      </c>
      <c r="C279" s="2" t="s">
        <v>594</v>
      </c>
      <c r="D279" s="2" t="str">
        <f t="shared" si="3"/>
        <v>Error?</v>
      </c>
    </row>
    <row r="280" spans="1:4" x14ac:dyDescent="0.2">
      <c r="A280" s="5">
        <v>219</v>
      </c>
      <c r="B280" s="138">
        <f>'Assets-Liab 5-6'!M40</f>
        <v>2824525</v>
      </c>
      <c r="D280" s="2" t="str">
        <f t="shared" si="3"/>
        <v>Error?</v>
      </c>
    </row>
    <row r="281" spans="1:4" x14ac:dyDescent="0.2">
      <c r="A281" s="5">
        <v>220</v>
      </c>
      <c r="B281" s="138">
        <f>'Assets-Liab 5-6'!M41</f>
        <v>2824525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26757</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897425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33404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1248264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37970</v>
      </c>
      <c r="D722" s="2" t="str">
        <f t="shared" si="10"/>
        <v>Error?</v>
      </c>
    </row>
    <row r="723" spans="1:4" x14ac:dyDescent="0.2">
      <c r="A723" s="5">
        <v>662</v>
      </c>
      <c r="B723" s="138">
        <f>'Expenditures 15-22'!C38</f>
        <v>18128</v>
      </c>
      <c r="D723" s="2" t="str">
        <f t="shared" si="10"/>
        <v>Error?</v>
      </c>
    </row>
    <row r="724" spans="1:4" x14ac:dyDescent="0.2">
      <c r="A724" s="5">
        <v>663</v>
      </c>
      <c r="B724" s="138">
        <f>'Expenditures 15-22'!C39</f>
        <v>48065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104163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46097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46097</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104174</v>
      </c>
      <c r="D733" s="2" t="str">
        <f t="shared" si="10"/>
        <v>Error?</v>
      </c>
    </row>
    <row r="734" spans="1:4" x14ac:dyDescent="0.2">
      <c r="A734" s="5">
        <v>673</v>
      </c>
      <c r="B734" s="138">
        <f>'Expenditures 15-22'!C53</f>
        <v>106674</v>
      </c>
      <c r="C734" s="2" t="s">
        <v>594</v>
      </c>
      <c r="D734" s="2" t="str">
        <f t="shared" si="10"/>
        <v>Error?</v>
      </c>
    </row>
    <row r="735" spans="1:4" x14ac:dyDescent="0.2">
      <c r="A735" s="5">
        <v>674</v>
      </c>
      <c r="B735" s="138">
        <f>'Expenditures 15-22'!C55</f>
        <v>142430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142430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45592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45592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8309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8309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453265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1701529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164059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237158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9173</v>
      </c>
      <c r="D780" s="2" t="str">
        <f t="shared" si="11"/>
        <v>Error?</v>
      </c>
    </row>
    <row r="781" spans="1:4" x14ac:dyDescent="0.2">
      <c r="A781" s="5">
        <v>720</v>
      </c>
      <c r="B781" s="138">
        <f>'Expenditures 15-22'!D38</f>
        <v>46</v>
      </c>
      <c r="D781" s="2" t="str">
        <f t="shared" si="11"/>
        <v>Error?</v>
      </c>
    </row>
    <row r="782" spans="1:4" x14ac:dyDescent="0.2">
      <c r="A782" s="5">
        <v>721</v>
      </c>
      <c r="B782" s="138">
        <f>'Expenditures 15-22'!D39</f>
        <v>10405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19624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4493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4493</v>
      </c>
      <c r="C789" s="2" t="s">
        <v>594</v>
      </c>
      <c r="D789" s="2" t="str">
        <f t="shared" si="11"/>
        <v>Error?</v>
      </c>
    </row>
    <row r="790" spans="1:4" x14ac:dyDescent="0.2">
      <c r="A790" s="5">
        <v>729</v>
      </c>
      <c r="B790" s="138">
        <f>'Expenditures 15-22'!D49</f>
        <v>40870</v>
      </c>
      <c r="D790" s="2" t="str">
        <f t="shared" si="11"/>
        <v>Error?</v>
      </c>
    </row>
    <row r="791" spans="1:4" x14ac:dyDescent="0.2">
      <c r="A791" s="5">
        <v>730</v>
      </c>
      <c r="B791" s="138">
        <f>'Expenditures 15-22'!D50</f>
        <v>112</v>
      </c>
      <c r="D791" s="2" t="str">
        <f t="shared" si="11"/>
        <v>Error?</v>
      </c>
    </row>
    <row r="792" spans="1:4" x14ac:dyDescent="0.2">
      <c r="A792" s="5">
        <v>731</v>
      </c>
      <c r="B792" s="138">
        <f>'Expenditures 15-22'!D53</f>
        <v>40982</v>
      </c>
      <c r="C792" s="2" t="s">
        <v>594</v>
      </c>
      <c r="D792" s="2" t="str">
        <f t="shared" si="11"/>
        <v>Error?</v>
      </c>
    </row>
    <row r="793" spans="1:4" x14ac:dyDescent="0.2">
      <c r="A793" s="5">
        <v>732</v>
      </c>
      <c r="B793" s="138">
        <f>'Expenditures 15-22'!D55</f>
        <v>19345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19345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3541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2141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2141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90126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327284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11171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71668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71693</v>
      </c>
      <c r="C843" s="2" t="s">
        <v>594</v>
      </c>
      <c r="D843" s="2" t="str">
        <f t="shared" si="12"/>
        <v>Error?</v>
      </c>
    </row>
    <row r="844" spans="1:4" x14ac:dyDescent="0.2">
      <c r="A844" s="5">
        <v>783</v>
      </c>
      <c r="B844" s="138">
        <f>'Expenditures 15-22'!E44</f>
        <v>235</v>
      </c>
      <c r="D844" s="2" t="str">
        <f t="shared" si="12"/>
        <v>Error?</v>
      </c>
    </row>
    <row r="845" spans="1:4" x14ac:dyDescent="0.2">
      <c r="A845" s="5">
        <v>784</v>
      </c>
      <c r="B845" s="138">
        <f>'Expenditures 15-22'!E45</f>
        <v>394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310</v>
      </c>
      <c r="D849" s="2" t="str">
        <f t="shared" si="12"/>
        <v>Error?</v>
      </c>
    </row>
    <row r="850" spans="1:4" x14ac:dyDescent="0.2">
      <c r="A850" s="5">
        <v>789</v>
      </c>
      <c r="B850" s="138">
        <f>'Expenditures 15-22'!E53</f>
        <v>310</v>
      </c>
      <c r="C850" s="2" t="s">
        <v>594</v>
      </c>
      <c r="D850" s="2" t="str">
        <f t="shared" si="12"/>
        <v>Error?</v>
      </c>
    </row>
    <row r="851" spans="1:4" x14ac:dyDescent="0.2">
      <c r="A851" s="5">
        <v>790</v>
      </c>
      <c r="B851" s="138">
        <f>'Expenditures 15-22'!E55</f>
        <v>13082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13082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80276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80276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168620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179862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26832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63241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122</v>
      </c>
      <c r="D897" s="2" t="str">
        <f t="shared" si="13"/>
        <v>Error?</v>
      </c>
    </row>
    <row r="898" spans="1:4" x14ac:dyDescent="0.2">
      <c r="A898" s="5">
        <v>837</v>
      </c>
      <c r="B898" s="138">
        <f>'Expenditures 15-22'!F39</f>
        <v>2944</v>
      </c>
      <c r="D898" s="2" t="str">
        <f t="shared" si="13"/>
        <v>Error?</v>
      </c>
    </row>
    <row r="899" spans="1:4" x14ac:dyDescent="0.2">
      <c r="A899" s="5">
        <v>838</v>
      </c>
      <c r="B899" s="138">
        <f>'Expenditures 15-22'!F40</f>
        <v>429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3495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1272</v>
      </c>
      <c r="C905" s="2" t="s">
        <v>594</v>
      </c>
      <c r="D905" s="2" t="str">
        <f t="shared" si="13"/>
        <v>Error?</v>
      </c>
    </row>
    <row r="906" spans="1:4" x14ac:dyDescent="0.2">
      <c r="A906" s="5">
        <v>845</v>
      </c>
      <c r="B906" s="138">
        <f>'Expenditures 15-22'!F49</f>
        <v>220</v>
      </c>
      <c r="D906" s="2" t="str">
        <f t="shared" si="13"/>
        <v>Error?</v>
      </c>
    </row>
    <row r="907" spans="1:4" x14ac:dyDescent="0.2">
      <c r="A907" s="5">
        <v>846</v>
      </c>
      <c r="B907" s="138">
        <f>'Expenditures 15-22'!F50</f>
        <v>5171</v>
      </c>
      <c r="D907" s="2" t="str">
        <f t="shared" si="13"/>
        <v>Error?</v>
      </c>
    </row>
    <row r="908" spans="1:4" x14ac:dyDescent="0.2">
      <c r="A908" s="5">
        <v>847</v>
      </c>
      <c r="B908" s="138">
        <f>'Expenditures 15-22'!F53</f>
        <v>5391</v>
      </c>
      <c r="C908" s="2" t="s">
        <v>594</v>
      </c>
      <c r="D908" s="2" t="str">
        <f t="shared" si="13"/>
        <v>Error?</v>
      </c>
    </row>
    <row r="909" spans="1:4" x14ac:dyDescent="0.2">
      <c r="A909" s="5">
        <v>848</v>
      </c>
      <c r="B909" s="138">
        <f>'Expenditures 15-22'!F55</f>
        <v>2659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2659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94092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94092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4356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4356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111265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174506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22678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35341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1197</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85</v>
      </c>
      <c r="D1014" s="2" t="str">
        <f t="shared" si="14"/>
        <v>Error?</v>
      </c>
    </row>
    <row r="1015" spans="1:4" x14ac:dyDescent="0.2">
      <c r="A1015" s="5">
        <v>954</v>
      </c>
      <c r="B1015" s="138">
        <f>'Expenditures 15-22'!H40</f>
        <v>550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1832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1660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1660</v>
      </c>
      <c r="C1021" s="2" t="s">
        <v>594</v>
      </c>
      <c r="D1021" s="2" t="str">
        <f t="shared" si="14"/>
        <v>Error?</v>
      </c>
    </row>
    <row r="1022" spans="1:4" x14ac:dyDescent="0.2">
      <c r="A1022" s="5">
        <v>961</v>
      </c>
      <c r="B1022" s="138">
        <f>'Expenditures 15-22'!H49</f>
        <v>3792</v>
      </c>
      <c r="D1022" s="2" t="str">
        <f t="shared" si="14"/>
        <v>Error?</v>
      </c>
    </row>
    <row r="1023" spans="1:4" x14ac:dyDescent="0.2">
      <c r="A1023" s="5">
        <v>962</v>
      </c>
      <c r="B1023" s="138">
        <f>'Expenditures 15-22'!H50</f>
        <v>4380</v>
      </c>
      <c r="D1023" s="2" t="str">
        <f t="shared" ref="D1023:D1086" si="15">IF(ISBLANK(B1023),"OK",IF(A1023-B1023=0,"OK","Error?"))</f>
        <v>Error?</v>
      </c>
    </row>
    <row r="1024" spans="1:4" x14ac:dyDescent="0.2">
      <c r="A1024" s="5">
        <v>963</v>
      </c>
      <c r="B1024" s="138">
        <f>'Expenditures 15-22'!H53</f>
        <v>8172</v>
      </c>
      <c r="C1024" s="2" t="s">
        <v>594</v>
      </c>
      <c r="D1024" s="2" t="str">
        <f t="shared" si="15"/>
        <v>Error?</v>
      </c>
    </row>
    <row r="1025" spans="1:4" x14ac:dyDescent="0.2">
      <c r="A1025" s="5">
        <v>964</v>
      </c>
      <c r="B1025" s="138">
        <f>'Expenditures 15-22'!H55</f>
        <v>2674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2674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6189</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6189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20967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92132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148440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1111855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56495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1596107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48340</v>
      </c>
      <c r="C1110" s="2" t="s">
        <v>594</v>
      </c>
      <c r="D1110" s="2" t="str">
        <f t="shared" si="16"/>
        <v>Error?</v>
      </c>
    </row>
    <row r="1111" spans="1:4" x14ac:dyDescent="0.2">
      <c r="A1111" s="5">
        <v>1050</v>
      </c>
      <c r="B1111" s="138">
        <f>'Expenditures 15-22'!K38</f>
        <v>18321</v>
      </c>
      <c r="C1111" s="2" t="s">
        <v>594</v>
      </c>
      <c r="D1111" s="2" t="str">
        <f t="shared" si="16"/>
        <v>Error?</v>
      </c>
    </row>
    <row r="1112" spans="1:4" x14ac:dyDescent="0.2">
      <c r="A1112" s="5">
        <v>1051</v>
      </c>
      <c r="B1112" s="138">
        <f>'Expenditures 15-22'!K39</f>
        <v>61499</v>
      </c>
      <c r="C1112" s="2" t="s">
        <v>594</v>
      </c>
      <c r="D1112" s="2" t="str">
        <f t="shared" si="16"/>
        <v>Error?</v>
      </c>
    </row>
    <row r="1113" spans="1:4" x14ac:dyDescent="0.2">
      <c r="A1113" s="5">
        <v>1052</v>
      </c>
      <c r="B1113" s="138">
        <f>'Expenditures 15-22'!K40</f>
        <v>72647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200807</v>
      </c>
      <c r="C1115" s="2" t="s">
        <v>594</v>
      </c>
      <c r="D1115" s="2" t="str">
        <f t="shared" si="16"/>
        <v>Error?</v>
      </c>
    </row>
    <row r="1116" spans="1:4" x14ac:dyDescent="0.2">
      <c r="A1116" s="5">
        <v>1055</v>
      </c>
      <c r="B1116" s="138">
        <f>'Expenditures 15-22'!K44</f>
        <v>235</v>
      </c>
      <c r="C1116" s="2" t="s">
        <v>594</v>
      </c>
      <c r="D1116" s="2" t="str">
        <f t="shared" si="16"/>
        <v>Error?</v>
      </c>
    </row>
    <row r="1117" spans="1:4" x14ac:dyDescent="0.2">
      <c r="A1117" s="5">
        <v>1056</v>
      </c>
      <c r="B1117" s="138">
        <f>'Expenditures 15-22'!K45</f>
        <v>53916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54151</v>
      </c>
      <c r="C1119" s="2" t="s">
        <v>594</v>
      </c>
      <c r="D1119" s="2" t="str">
        <f t="shared" si="16"/>
        <v>Error?</v>
      </c>
    </row>
    <row r="1120" spans="1:4" x14ac:dyDescent="0.2">
      <c r="A1120" s="5">
        <v>1059</v>
      </c>
      <c r="B1120" s="138">
        <f>'Expenditures 15-22'!K49</f>
        <v>47382</v>
      </c>
      <c r="C1120" s="2" t="s">
        <v>594</v>
      </c>
      <c r="D1120" s="2" t="str">
        <f t="shared" si="16"/>
        <v>Error?</v>
      </c>
    </row>
    <row r="1121" spans="1:4" x14ac:dyDescent="0.2">
      <c r="A1121" s="5">
        <v>1060</v>
      </c>
      <c r="B1121" s="138">
        <f>'Expenditures 15-22'!K50</f>
        <v>114147</v>
      </c>
      <c r="C1121" s="2" t="s">
        <v>594</v>
      </c>
      <c r="D1121" s="2" t="str">
        <f t="shared" si="16"/>
        <v>Error?</v>
      </c>
    </row>
    <row r="1122" spans="1:4" x14ac:dyDescent="0.2">
      <c r="A1122" s="5">
        <v>1061</v>
      </c>
      <c r="B1122" s="138">
        <f>'Expenditures 15-22'!K53</f>
        <v>161529</v>
      </c>
      <c r="C1122" s="2" t="s">
        <v>594</v>
      </c>
      <c r="D1122" s="2" t="str">
        <f t="shared" si="16"/>
        <v>Error?</v>
      </c>
    </row>
    <row r="1123" spans="1:4" x14ac:dyDescent="0.2">
      <c r="A1123" s="5">
        <v>1062</v>
      </c>
      <c r="B1123" s="138">
        <f>'Expenditures 15-22'!K55</f>
        <v>180190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180190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146295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146295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101271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101271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844243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92132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2532482</v>
      </c>
      <c r="C1152" s="2" t="s">
        <v>594</v>
      </c>
      <c r="D1152" s="2" t="str">
        <f t="shared" si="17"/>
        <v>Error?</v>
      </c>
    </row>
    <row r="1153" spans="1:4" x14ac:dyDescent="0.2">
      <c r="A1153" s="5">
        <v>1092</v>
      </c>
      <c r="B1153" s="138">
        <f>'Expenditures 15-22'!K115</f>
        <v>453780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98134</v>
      </c>
      <c r="D1221" s="2" t="str">
        <f t="shared" si="18"/>
        <v>Error?</v>
      </c>
    </row>
    <row r="1222" spans="1:4" x14ac:dyDescent="0.2">
      <c r="A1222" s="10">
        <v>1161</v>
      </c>
      <c r="D1222" s="2" t="str">
        <f t="shared" si="18"/>
        <v>OK</v>
      </c>
    </row>
    <row r="1223" spans="1:4" x14ac:dyDescent="0.2">
      <c r="A1223" s="5">
        <v>1162</v>
      </c>
      <c r="B1223" s="138">
        <f>'Expenditures 15-22'!C127</f>
        <v>98134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98134</v>
      </c>
      <c r="C1225" s="2" t="s">
        <v>594</v>
      </c>
      <c r="D1225" s="2" t="str">
        <f t="shared" si="18"/>
        <v>Error?</v>
      </c>
    </row>
    <row r="1226" spans="1:4" x14ac:dyDescent="0.2">
      <c r="A1226" s="5">
        <v>1165</v>
      </c>
      <c r="B1226" s="138">
        <f>'Expenditures 15-22'!C151</f>
        <v>98134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9344</v>
      </c>
      <c r="D1229" s="2" t="str">
        <f t="shared" si="18"/>
        <v>Error?</v>
      </c>
    </row>
    <row r="1230" spans="1:4" x14ac:dyDescent="0.2">
      <c r="A1230" s="10">
        <v>1169</v>
      </c>
      <c r="D1230" s="2" t="str">
        <f t="shared" si="18"/>
        <v>OK</v>
      </c>
    </row>
    <row r="1231" spans="1:4" x14ac:dyDescent="0.2">
      <c r="A1231" s="5">
        <v>1170</v>
      </c>
      <c r="B1231" s="138">
        <f>'Expenditures 15-22'!D127</f>
        <v>9344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9344</v>
      </c>
      <c r="C1233" s="2" t="s">
        <v>594</v>
      </c>
      <c r="D1233" s="2" t="str">
        <f t="shared" si="18"/>
        <v>Error?</v>
      </c>
    </row>
    <row r="1234" spans="1:4" x14ac:dyDescent="0.2">
      <c r="A1234" s="5">
        <v>1173</v>
      </c>
      <c r="B1234" s="138">
        <f>'Expenditures 15-22'!D151</f>
        <v>9344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56691</v>
      </c>
      <c r="D1237" s="2" t="str">
        <f t="shared" si="18"/>
        <v>Error?</v>
      </c>
    </row>
    <row r="1238" spans="1:4" x14ac:dyDescent="0.2">
      <c r="A1238" s="10">
        <v>1177</v>
      </c>
      <c r="D1238" s="2" t="str">
        <f t="shared" si="18"/>
        <v>OK</v>
      </c>
    </row>
    <row r="1239" spans="1:4" x14ac:dyDescent="0.2">
      <c r="A1239" s="5">
        <v>1178</v>
      </c>
      <c r="B1239" s="138">
        <f>'Expenditures 15-22'!E127</f>
        <v>56691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56691</v>
      </c>
      <c r="C1241" s="2" t="s">
        <v>594</v>
      </c>
      <c r="D1241" s="2" t="str">
        <f t="shared" si="18"/>
        <v>Error?</v>
      </c>
    </row>
    <row r="1242" spans="1:4" x14ac:dyDescent="0.2">
      <c r="A1242" s="5">
        <v>1181</v>
      </c>
      <c r="B1242" s="138">
        <f>'Expenditures 15-22'!E151</f>
        <v>56691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92161</v>
      </c>
      <c r="D1245" s="2" t="str">
        <f t="shared" si="18"/>
        <v>Error?</v>
      </c>
    </row>
    <row r="1246" spans="1:4" x14ac:dyDescent="0.2">
      <c r="A1246" s="10">
        <v>1185</v>
      </c>
      <c r="D1246" s="2" t="str">
        <f t="shared" si="18"/>
        <v>OK</v>
      </c>
    </row>
    <row r="1247" spans="1:4" x14ac:dyDescent="0.2">
      <c r="A1247" s="5">
        <v>1186</v>
      </c>
      <c r="B1247" s="138">
        <f>'Expenditures 15-22'!F127</f>
        <v>92514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92514</v>
      </c>
      <c r="C1249" s="2" t="s">
        <v>594</v>
      </c>
      <c r="D1249" s="2" t="str">
        <f t="shared" si="18"/>
        <v>Error?</v>
      </c>
    </row>
    <row r="1250" spans="1:4" x14ac:dyDescent="0.2">
      <c r="A1250" s="5">
        <v>1189</v>
      </c>
      <c r="B1250" s="138">
        <f>'Expenditures 15-22'!F151</f>
        <v>92514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257121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257474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257474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257474</v>
      </c>
      <c r="C1288" s="2" t="s">
        <v>594</v>
      </c>
      <c r="D1288" s="2" t="str">
        <f t="shared" si="19"/>
        <v>Error?</v>
      </c>
    </row>
    <row r="1289" spans="1:4" x14ac:dyDescent="0.2">
      <c r="A1289" s="5">
        <v>1228</v>
      </c>
      <c r="B1289" s="138">
        <f>'Expenditures 15-22'!K152</f>
        <v>38046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4342</v>
      </c>
      <c r="C1333" s="2" t="s">
        <v>594</v>
      </c>
      <c r="D1333" s="2" t="str">
        <f t="shared" si="19"/>
        <v>Error?</v>
      </c>
    </row>
    <row r="1334" spans="1:4" x14ac:dyDescent="0.2">
      <c r="A1334" s="10">
        <v>1273</v>
      </c>
      <c r="D1334" s="2" t="str">
        <f t="shared" si="19"/>
        <v>OK</v>
      </c>
    </row>
    <row r="1335" spans="1:4" x14ac:dyDescent="0.2">
      <c r="A1335" s="5">
        <v>1274</v>
      </c>
      <c r="B1335" s="138">
        <f>'Expenditures 15-22'!C182</f>
        <v>78480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78480</v>
      </c>
      <c r="C1339" s="2" t="s">
        <v>594</v>
      </c>
      <c r="D1339" s="2" t="str">
        <f t="shared" si="19"/>
        <v>Error?</v>
      </c>
    </row>
    <row r="1340" spans="1:4" x14ac:dyDescent="0.2">
      <c r="A1340" s="5">
        <v>1279</v>
      </c>
      <c r="B1340" s="138">
        <f>'Expenditures 15-22'!C210</f>
        <v>78480</v>
      </c>
      <c r="C1340" s="2" t="s">
        <v>594</v>
      </c>
      <c r="D1340" s="2" t="str">
        <f t="shared" si="19"/>
        <v>Error?</v>
      </c>
    </row>
    <row r="1341" spans="1:4" x14ac:dyDescent="0.2">
      <c r="A1341" s="5">
        <v>1280</v>
      </c>
      <c r="B1341" s="138">
        <f>'Expenditures 15-22'!D182</f>
        <v>5748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5748</v>
      </c>
      <c r="C1345" s="2" t="s">
        <v>594</v>
      </c>
      <c r="D1345" s="2" t="str">
        <f t="shared" si="20"/>
        <v>Error?</v>
      </c>
    </row>
    <row r="1346" spans="1:4" x14ac:dyDescent="0.2">
      <c r="A1346" s="5">
        <v>1285</v>
      </c>
      <c r="B1346" s="138">
        <f>'Expenditures 15-22'!D210</f>
        <v>5748</v>
      </c>
      <c r="C1346" s="2" t="s">
        <v>594</v>
      </c>
      <c r="D1346" s="2" t="str">
        <f t="shared" si="20"/>
        <v>Error?</v>
      </c>
    </row>
    <row r="1347" spans="1:4" x14ac:dyDescent="0.2">
      <c r="A1347" s="5">
        <v>1286</v>
      </c>
      <c r="B1347" s="138">
        <f>'Expenditures 15-22'!E182</f>
        <v>46860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46860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46860</v>
      </c>
      <c r="C1353" s="2" t="s">
        <v>594</v>
      </c>
      <c r="D1353" s="2" t="str">
        <f t="shared" si="20"/>
        <v>Error?</v>
      </c>
    </row>
    <row r="1354" spans="1:4" x14ac:dyDescent="0.2">
      <c r="A1354" s="5">
        <v>1293</v>
      </c>
      <c r="B1354" s="138">
        <f>'Expenditures 15-22'!F182</f>
        <v>32744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32744</v>
      </c>
      <c r="C1358" s="2" t="s">
        <v>594</v>
      </c>
      <c r="D1358" s="2" t="str">
        <f t="shared" si="20"/>
        <v>Error?</v>
      </c>
    </row>
    <row r="1359" spans="1:4" x14ac:dyDescent="0.2">
      <c r="A1359" s="5">
        <v>1298</v>
      </c>
      <c r="B1359" s="138">
        <f>'Expenditures 15-22'!F210</f>
        <v>32744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542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542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542</v>
      </c>
      <c r="C1376" s="2" t="s">
        <v>594</v>
      </c>
      <c r="D1376" s="2" t="str">
        <f t="shared" si="20"/>
        <v>Error?</v>
      </c>
    </row>
    <row r="1377" spans="1:4" x14ac:dyDescent="0.2">
      <c r="A1377" s="5">
        <v>1316</v>
      </c>
      <c r="B1377" s="138">
        <f>'Expenditures 15-22'!K182</f>
        <v>164374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164374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164374</v>
      </c>
      <c r="C1388" s="2" t="s">
        <v>594</v>
      </c>
      <c r="D1388" s="2" t="str">
        <f t="shared" si="20"/>
        <v>Error?</v>
      </c>
    </row>
    <row r="1389" spans="1:4" x14ac:dyDescent="0.2">
      <c r="A1389" s="5">
        <v>1328</v>
      </c>
      <c r="B1389" s="138">
        <f>'Expenditures 15-22'!K211</f>
        <v>67060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35376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551</v>
      </c>
      <c r="D1412" s="2" t="str">
        <f t="shared" si="21"/>
        <v>Error?</v>
      </c>
    </row>
    <row r="1413" spans="1:4" x14ac:dyDescent="0.2">
      <c r="A1413" s="5">
        <v>1352</v>
      </c>
      <c r="B1413" s="138">
        <f>'Expenditures 15-22'!D234</f>
        <v>2717</v>
      </c>
      <c r="D1413" s="2" t="str">
        <f t="shared" si="21"/>
        <v>Error?</v>
      </c>
    </row>
    <row r="1414" spans="1:4" x14ac:dyDescent="0.2">
      <c r="A1414" s="5">
        <v>1353</v>
      </c>
      <c r="B1414" s="138">
        <f>'Expenditures 15-22'!D235</f>
        <v>697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3965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2240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2240</v>
      </c>
      <c r="C1421" s="2" t="s">
        <v>594</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8849</v>
      </c>
      <c r="D1423" s="2" t="str">
        <f t="shared" si="21"/>
        <v>Error?</v>
      </c>
    </row>
    <row r="1424" spans="1:4" x14ac:dyDescent="0.2">
      <c r="A1424" s="5">
        <v>1363</v>
      </c>
      <c r="B1424" s="138">
        <f>'Expenditures 15-22'!D257</f>
        <v>17348</v>
      </c>
      <c r="C1424" s="2" t="s">
        <v>594</v>
      </c>
      <c r="D1424" s="2" t="str">
        <f t="shared" si="21"/>
        <v>Error?</v>
      </c>
    </row>
    <row r="1425" spans="1:4" x14ac:dyDescent="0.2">
      <c r="A1425" s="5">
        <v>1364</v>
      </c>
      <c r="B1425" s="138">
        <f>'Expenditures 15-22'!D259</f>
        <v>10144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10144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14588</v>
      </c>
      <c r="D1431" s="2" t="str">
        <f t="shared" si="21"/>
        <v>Error?</v>
      </c>
    </row>
    <row r="1432" spans="1:4" x14ac:dyDescent="0.2">
      <c r="A1432" s="5">
        <v>1371</v>
      </c>
      <c r="B1432" s="138">
        <f>'Expenditures 15-22'!D267</f>
        <v>10725</v>
      </c>
      <c r="D1432" s="2" t="str">
        <f t="shared" si="21"/>
        <v>Error?</v>
      </c>
    </row>
    <row r="1433" spans="1:4" x14ac:dyDescent="0.2">
      <c r="A1433" s="5">
        <v>1372</v>
      </c>
      <c r="B1433" s="138">
        <f>'Expenditures 15-22'!D268</f>
        <v>6387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31700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65518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100894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1543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35376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551</v>
      </c>
      <c r="C1476" s="2" t="s">
        <v>594</v>
      </c>
      <c r="D1476" s="2" t="str">
        <f t="shared" si="22"/>
        <v>Error?</v>
      </c>
    </row>
    <row r="1477" spans="1:4" x14ac:dyDescent="0.2">
      <c r="A1477" s="5">
        <v>1416</v>
      </c>
      <c r="B1477" s="138">
        <f>'Expenditures 15-22'!K234</f>
        <v>2717</v>
      </c>
      <c r="C1477" s="2" t="s">
        <v>594</v>
      </c>
      <c r="D1477" s="2" t="str">
        <f t="shared" si="22"/>
        <v>Error?</v>
      </c>
    </row>
    <row r="1478" spans="1:4" x14ac:dyDescent="0.2">
      <c r="A1478" s="5">
        <v>1417</v>
      </c>
      <c r="B1478" s="138">
        <f>'Expenditures 15-22'!K235</f>
        <v>697</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3965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2240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2240</v>
      </c>
      <c r="C1485" s="2" t="s">
        <v>594</v>
      </c>
      <c r="D1485" s="2" t="str">
        <f t="shared" si="22"/>
        <v>Error?</v>
      </c>
    </row>
    <row r="1486" spans="1:4" x14ac:dyDescent="0.2">
      <c r="A1486" s="5">
        <v>1425</v>
      </c>
      <c r="B1486" s="138">
        <f>'Expenditures 15-22'!K245</f>
        <v>191</v>
      </c>
      <c r="C1486" s="2" t="s">
        <v>594</v>
      </c>
      <c r="D1486" s="2" t="str">
        <f t="shared" si="22"/>
        <v>Error?</v>
      </c>
    </row>
    <row r="1487" spans="1:4" x14ac:dyDescent="0.2">
      <c r="A1487" s="5">
        <v>1426</v>
      </c>
      <c r="B1487" s="138">
        <f>'Expenditures 15-22'!K246</f>
        <v>8849</v>
      </c>
      <c r="C1487" s="2" t="s">
        <v>594</v>
      </c>
      <c r="D1487" s="2" t="str">
        <f t="shared" si="22"/>
        <v>Error?</v>
      </c>
    </row>
    <row r="1488" spans="1:4" x14ac:dyDescent="0.2">
      <c r="A1488" s="5">
        <v>1427</v>
      </c>
      <c r="B1488" s="138">
        <f>'Expenditures 15-22'!K257</f>
        <v>17348</v>
      </c>
      <c r="C1488" s="2" t="s">
        <v>594</v>
      </c>
      <c r="D1488" s="2" t="str">
        <f t="shared" si="22"/>
        <v>Error?</v>
      </c>
    </row>
    <row r="1489" spans="1:4" x14ac:dyDescent="0.2">
      <c r="A1489" s="5">
        <v>1428</v>
      </c>
      <c r="B1489" s="138">
        <f>'Expenditures 15-22'!K259</f>
        <v>10144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10144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14588</v>
      </c>
      <c r="C1495" s="2" t="s">
        <v>594</v>
      </c>
      <c r="D1495" s="2" t="str">
        <f t="shared" si="22"/>
        <v>Error?</v>
      </c>
    </row>
    <row r="1496" spans="1:4" x14ac:dyDescent="0.2">
      <c r="A1496" s="5">
        <v>1435</v>
      </c>
      <c r="B1496" s="138">
        <f>'Expenditures 15-22'!K267</f>
        <v>10725</v>
      </c>
      <c r="C1496" s="2" t="s">
        <v>594</v>
      </c>
      <c r="D1496" s="2" t="str">
        <f t="shared" si="22"/>
        <v>Error?</v>
      </c>
    </row>
    <row r="1497" spans="1:4" x14ac:dyDescent="0.2">
      <c r="A1497" s="5">
        <v>1436</v>
      </c>
      <c r="B1497" s="138">
        <f>'Expenditures 15-22'!K268</f>
        <v>6387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31700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121</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121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65518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100894</v>
      </c>
      <c r="C1517" s="2" t="s">
        <v>594</v>
      </c>
      <c r="D1517" s="2" t="str">
        <f t="shared" si="22"/>
        <v>Error?</v>
      </c>
    </row>
    <row r="1518" spans="1:4" x14ac:dyDescent="0.2">
      <c r="A1518" s="5">
        <v>1457</v>
      </c>
      <c r="B1518" s="138">
        <f>'Expenditures 15-22'!K296</f>
        <v>18813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79677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862837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1343374</v>
      </c>
      <c r="C1630" s="2" t="s">
        <v>594</v>
      </c>
      <c r="D1630" s="2" t="str">
        <f t="shared" si="24"/>
        <v>Error?</v>
      </c>
    </row>
    <row r="1631" spans="1:4" x14ac:dyDescent="0.2">
      <c r="A1631" s="5">
        <v>1570</v>
      </c>
      <c r="B1631" s="138">
        <f>'Acct Summary 7-8'!D79</f>
        <v>233978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272024</v>
      </c>
      <c r="C1644" s="2" t="s">
        <v>594</v>
      </c>
      <c r="D1644" s="2" t="str">
        <f t="shared" si="24"/>
        <v>Error?</v>
      </c>
    </row>
    <row r="1645" spans="1:4" x14ac:dyDescent="0.2">
      <c r="A1645" s="5">
        <v>1584</v>
      </c>
      <c r="B1645" s="138">
        <f>'Acct Summary 7-8'!E79</f>
        <v>377015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381357</v>
      </c>
      <c r="C1658" s="2" t="s">
        <v>594</v>
      </c>
      <c r="D1658" s="2" t="str">
        <f t="shared" si="24"/>
        <v>Error?</v>
      </c>
    </row>
    <row r="1659" spans="1:4" x14ac:dyDescent="0.2">
      <c r="A1659" s="5">
        <v>1598</v>
      </c>
      <c r="B1659" s="138">
        <f>'Acct Summary 7-8'!F79</f>
        <v>80073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147133</v>
      </c>
      <c r="C1672" s="2" t="s">
        <v>594</v>
      </c>
      <c r="D1672" s="2" t="str">
        <f t="shared" si="25"/>
        <v>Error?</v>
      </c>
    </row>
    <row r="1673" spans="1:4" x14ac:dyDescent="0.2">
      <c r="A1673" s="5">
        <v>1612</v>
      </c>
      <c r="B1673" s="138">
        <f>'Acct Summary 7-8'!G79</f>
        <v>74039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92852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79677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1573327</v>
      </c>
      <c r="C1744" s="2" t="s">
        <v>594</v>
      </c>
      <c r="D1744" s="2" t="str">
        <f t="shared" si="26"/>
        <v>Error?</v>
      </c>
    </row>
    <row r="1745" spans="1:5" x14ac:dyDescent="0.2">
      <c r="A1745" s="5">
        <v>1684</v>
      </c>
      <c r="B1745" s="138">
        <f>'Tax Sched 23'!B5</f>
        <v>267573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107029</v>
      </c>
      <c r="C1747" s="2" t="s">
        <v>594</v>
      </c>
      <c r="D1747" s="2" t="str">
        <f t="shared" si="26"/>
        <v>Error?</v>
      </c>
    </row>
    <row r="1748" spans="1:5" x14ac:dyDescent="0.2">
      <c r="A1748" s="5">
        <v>1687</v>
      </c>
      <c r="B1748" s="138">
        <f>'Tax Sched 23'!B8</f>
        <v>53868</v>
      </c>
      <c r="C1748" s="2" t="s">
        <v>594</v>
      </c>
      <c r="D1748" s="2" t="str">
        <f t="shared" si="26"/>
        <v>Error?</v>
      </c>
    </row>
    <row r="1749" spans="1:5" x14ac:dyDescent="0.2">
      <c r="A1749" s="5">
        <v>1688</v>
      </c>
      <c r="B1749" s="138">
        <f>'Tax Sched 23'!B10</f>
        <v>26757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124946</v>
      </c>
      <c r="C1752" s="2" t="s">
        <v>594</v>
      </c>
      <c r="D1752" s="2" t="str">
        <f t="shared" si="26"/>
        <v>Error?</v>
      </c>
    </row>
    <row r="1753" spans="1:5" x14ac:dyDescent="0.2">
      <c r="A1753" s="5">
        <v>1692</v>
      </c>
      <c r="B1753" s="138">
        <f>'Tax Sched 23'!B12</f>
        <v>26757</v>
      </c>
      <c r="C1753" s="2" t="s">
        <v>594</v>
      </c>
      <c r="D1753" s="2" t="str">
        <f t="shared" si="26"/>
        <v>Error?</v>
      </c>
    </row>
    <row r="1754" spans="1:5" x14ac:dyDescent="0.2">
      <c r="A1754" s="5">
        <v>1693</v>
      </c>
      <c r="B1754" s="138">
        <f>'Tax Sched 23'!B14</f>
        <v>21406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2294259</v>
      </c>
      <c r="C1759" s="2" t="s">
        <v>594</v>
      </c>
      <c r="D1759" s="2" t="str">
        <f t="shared" si="26"/>
        <v>Error?</v>
      </c>
    </row>
    <row r="1760" spans="1:5" x14ac:dyDescent="0.2">
      <c r="A1760" s="5">
        <v>1699</v>
      </c>
      <c r="B1760" s="138">
        <f>'Tax Sched 23'!D4</f>
        <v>1573327</v>
      </c>
      <c r="C1760" s="2" t="s">
        <v>594</v>
      </c>
      <c r="D1760" s="2" t="str">
        <f t="shared" si="26"/>
        <v>Error?</v>
      </c>
    </row>
    <row r="1761" spans="1:5" x14ac:dyDescent="0.2">
      <c r="A1761" s="5">
        <v>1700</v>
      </c>
      <c r="B1761" s="138">
        <f>'Tax Sched 23'!D5</f>
        <v>267573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107029</v>
      </c>
      <c r="C1763" s="2" t="s">
        <v>594</v>
      </c>
      <c r="D1763" s="2" t="str">
        <f t="shared" si="26"/>
        <v>Error?</v>
      </c>
    </row>
    <row r="1764" spans="1:5" x14ac:dyDescent="0.2">
      <c r="A1764" s="5">
        <v>1703</v>
      </c>
      <c r="B1764" s="138">
        <f>'Tax Sched 23'!D8</f>
        <v>53868</v>
      </c>
      <c r="C1764" s="2" t="s">
        <v>594</v>
      </c>
      <c r="D1764" s="2" t="str">
        <f t="shared" si="26"/>
        <v>Error?</v>
      </c>
    </row>
    <row r="1765" spans="1:5" x14ac:dyDescent="0.2">
      <c r="A1765" s="5">
        <v>1704</v>
      </c>
      <c r="B1765" s="138">
        <f>'Tax Sched 23'!D10</f>
        <v>26757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124946</v>
      </c>
      <c r="C1768" s="2" t="s">
        <v>594</v>
      </c>
      <c r="D1768" s="2" t="str">
        <f t="shared" si="26"/>
        <v>Error?</v>
      </c>
    </row>
    <row r="1769" spans="1:5" x14ac:dyDescent="0.2">
      <c r="A1769" s="5">
        <v>1708</v>
      </c>
      <c r="B1769" s="138">
        <f>'Tax Sched 23'!D12</f>
        <v>26757</v>
      </c>
      <c r="C1769" s="2" t="s">
        <v>594</v>
      </c>
      <c r="D1769" s="2" t="str">
        <f t="shared" si="26"/>
        <v>Error?</v>
      </c>
    </row>
    <row r="1770" spans="1:5" x14ac:dyDescent="0.2">
      <c r="A1770" s="5">
        <v>1709</v>
      </c>
      <c r="B1770" s="138">
        <f>'Tax Sched 23'!D14</f>
        <v>21406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2294259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1630474</v>
      </c>
      <c r="C1792" s="2" t="s">
        <v>594</v>
      </c>
      <c r="D1792" s="2" t="str">
        <f t="shared" si="27"/>
        <v>Error?</v>
      </c>
    </row>
    <row r="1793" spans="1:4" x14ac:dyDescent="0.2">
      <c r="A1793" s="5">
        <v>1732</v>
      </c>
      <c r="B1793" s="138">
        <f>'Tax Sched 23'!F5</f>
        <v>277292</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110917</v>
      </c>
      <c r="C1795" s="2" t="s">
        <v>594</v>
      </c>
      <c r="D1795" s="2" t="str">
        <f t="shared" si="27"/>
        <v>Error?</v>
      </c>
    </row>
    <row r="1796" spans="1:4" x14ac:dyDescent="0.2">
      <c r="A1796" s="5">
        <v>1735</v>
      </c>
      <c r="B1796" s="138">
        <f>'Tax Sched 23'!F8</f>
        <v>54000</v>
      </c>
      <c r="C1796" s="2" t="s">
        <v>594</v>
      </c>
      <c r="D1796" s="2" t="str">
        <f t="shared" si="27"/>
        <v>Error?</v>
      </c>
    </row>
    <row r="1797" spans="1:4" x14ac:dyDescent="0.2">
      <c r="A1797" s="5">
        <v>1736</v>
      </c>
      <c r="B1797" s="138">
        <f>'Tax Sched 23'!F10</f>
        <v>27729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125247</v>
      </c>
      <c r="C1800" s="2" t="s">
        <v>594</v>
      </c>
      <c r="D1800" s="2" t="str">
        <f t="shared" si="27"/>
        <v>Error?</v>
      </c>
    </row>
    <row r="1801" spans="1:4" x14ac:dyDescent="0.2">
      <c r="A1801" s="5">
        <v>1740</v>
      </c>
      <c r="B1801" s="138">
        <f>'Tax Sched 23'!F12</f>
        <v>27729</v>
      </c>
      <c r="C1801" s="2" t="s">
        <v>594</v>
      </c>
      <c r="D1801" s="2" t="str">
        <f t="shared" si="27"/>
        <v>Error?</v>
      </c>
    </row>
    <row r="1802" spans="1:4" x14ac:dyDescent="0.2">
      <c r="A1802" s="5">
        <v>1741</v>
      </c>
      <c r="B1802" s="138">
        <f>'Tax Sched 23'!F14</f>
        <v>22183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2369301</v>
      </c>
      <c r="C1807" s="2" t="s">
        <v>594</v>
      </c>
      <c r="D1807" s="2" t="str">
        <f t="shared" si="27"/>
        <v>Error?</v>
      </c>
    </row>
    <row r="1808" spans="1:4" x14ac:dyDescent="0.2">
      <c r="A1808" s="5">
        <v>1747</v>
      </c>
      <c r="B1808" s="138">
        <f>'Tax Sched 23'!E4</f>
        <v>1630474</v>
      </c>
      <c r="D1808" s="2" t="str">
        <f t="shared" si="27"/>
        <v>Error?</v>
      </c>
    </row>
    <row r="1809" spans="1:4" x14ac:dyDescent="0.2">
      <c r="A1809" s="5">
        <v>1748</v>
      </c>
      <c r="B1809" s="138">
        <f>'Tax Sched 23'!E5</f>
        <v>277292</v>
      </c>
      <c r="D1809" s="2" t="str">
        <f t="shared" si="27"/>
        <v>Error?</v>
      </c>
    </row>
    <row r="1810" spans="1:4" x14ac:dyDescent="0.2">
      <c r="A1810" s="5">
        <v>1749</v>
      </c>
      <c r="B1810" s="138">
        <f>'Tax Sched 23'!E6</f>
        <v>0</v>
      </c>
      <c r="D1810" s="2" t="str">
        <f t="shared" si="27"/>
        <v>Error?</v>
      </c>
    </row>
    <row r="1811" spans="1:4" x14ac:dyDescent="0.2">
      <c r="A1811" s="5">
        <v>1750</v>
      </c>
      <c r="B1811" s="138">
        <f>'Tax Sched 23'!E7</f>
        <v>110917</v>
      </c>
      <c r="D1811" s="2" t="str">
        <f t="shared" si="27"/>
        <v>Error?</v>
      </c>
    </row>
    <row r="1812" spans="1:4" x14ac:dyDescent="0.2">
      <c r="A1812" s="5">
        <v>1751</v>
      </c>
      <c r="B1812" s="138">
        <f>'Tax Sched 23'!E8</f>
        <v>54000</v>
      </c>
      <c r="D1812" s="2" t="str">
        <f t="shared" si="27"/>
        <v>Error?</v>
      </c>
    </row>
    <row r="1813" spans="1:4" x14ac:dyDescent="0.2">
      <c r="A1813" s="5">
        <v>1752</v>
      </c>
      <c r="B1813" s="138">
        <f>'Tax Sched 23'!E10</f>
        <v>27729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125247</v>
      </c>
      <c r="D1816" s="2" t="str">
        <f t="shared" si="27"/>
        <v>Error?</v>
      </c>
    </row>
    <row r="1817" spans="1:4" x14ac:dyDescent="0.2">
      <c r="A1817" s="5">
        <v>1756</v>
      </c>
      <c r="B1817" s="138">
        <f>'Tax Sched 23'!E12</f>
        <v>27729</v>
      </c>
      <c r="D1817" s="2" t="str">
        <f t="shared" si="27"/>
        <v>Error?</v>
      </c>
    </row>
    <row r="1818" spans="1:4" x14ac:dyDescent="0.2">
      <c r="A1818" s="5">
        <v>1757</v>
      </c>
      <c r="B1818" s="138">
        <f>'Tax Sched 23'!E14</f>
        <v>22183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2369301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21406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21406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21406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32000</v>
      </c>
      <c r="D2008" s="2" t="str">
        <f t="shared" si="30"/>
        <v>Error?</v>
      </c>
    </row>
    <row r="2009" spans="1:4" x14ac:dyDescent="0.2">
      <c r="A2009" s="5">
        <v>1948</v>
      </c>
      <c r="B2009" s="138">
        <f>'Cap Outlay Deprec 26'!C8</f>
        <v>4218205</v>
      </c>
      <c r="D2009" s="2" t="str">
        <f t="shared" si="30"/>
        <v>Error?</v>
      </c>
    </row>
    <row r="2010" spans="1:4" x14ac:dyDescent="0.2">
      <c r="A2010" s="5">
        <v>1949</v>
      </c>
      <c r="B2010" s="138">
        <f>'Cap Outlay Deprec 26'!C10</f>
        <v>85325</v>
      </c>
      <c r="D2010" s="2" t="str">
        <f t="shared" si="30"/>
        <v>Error?</v>
      </c>
    </row>
    <row r="2011" spans="1:4" x14ac:dyDescent="0.2">
      <c r="A2011" s="5">
        <v>1950</v>
      </c>
      <c r="B2011" s="138">
        <f>'Cap Outlay Deprec 26'!C12</f>
        <v>149303</v>
      </c>
      <c r="D2011" s="2" t="str">
        <f t="shared" si="30"/>
        <v>Error?</v>
      </c>
    </row>
    <row r="2012" spans="1:4" x14ac:dyDescent="0.2">
      <c r="A2012" s="5">
        <v>1951</v>
      </c>
      <c r="B2012" s="138">
        <f>'Cap Outlay Deprec 26'!C13</f>
        <v>152443</v>
      </c>
      <c r="D2012" s="2" t="str">
        <f t="shared" si="30"/>
        <v>Error?</v>
      </c>
    </row>
    <row r="2013" spans="1:4" x14ac:dyDescent="0.2">
      <c r="A2013" s="5">
        <v>1952</v>
      </c>
      <c r="B2013" s="138">
        <f>'Cap Outlay Deprec 26'!C16</f>
        <v>4637276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32000</v>
      </c>
      <c r="C2026" s="2" t="s">
        <v>594</v>
      </c>
      <c r="D2026" s="2" t="str">
        <f t="shared" si="30"/>
        <v>Error?</v>
      </c>
    </row>
    <row r="2027" spans="1:4" x14ac:dyDescent="0.2">
      <c r="A2027" s="5">
        <v>1966</v>
      </c>
      <c r="B2027" s="138">
        <f>'Cap Outlay Deprec 26'!F8</f>
        <v>4218205</v>
      </c>
      <c r="C2027" s="2" t="s">
        <v>594</v>
      </c>
      <c r="D2027" s="2" t="str">
        <f t="shared" si="30"/>
        <v>Error?</v>
      </c>
    </row>
    <row r="2028" spans="1:4" x14ac:dyDescent="0.2">
      <c r="A2028" s="5">
        <v>1967</v>
      </c>
      <c r="B2028" s="138">
        <f>'Cap Outlay Deprec 26'!F10</f>
        <v>85325</v>
      </c>
      <c r="C2028" s="2" t="s">
        <v>594</v>
      </c>
      <c r="D2028" s="2" t="str">
        <f t="shared" si="30"/>
        <v>Error?</v>
      </c>
    </row>
    <row r="2029" spans="1:4" x14ac:dyDescent="0.2">
      <c r="A2029" s="5">
        <v>1968</v>
      </c>
      <c r="B2029" s="138">
        <f>'Cap Outlay Deprec 26'!F12</f>
        <v>149303</v>
      </c>
      <c r="C2029" s="2" t="s">
        <v>594</v>
      </c>
      <c r="D2029" s="2" t="str">
        <f t="shared" si="30"/>
        <v>Error?</v>
      </c>
    </row>
    <row r="2030" spans="1:4" x14ac:dyDescent="0.2">
      <c r="A2030" s="5">
        <v>1969</v>
      </c>
      <c r="B2030" s="138">
        <f>'Cap Outlay Deprec 26'!F13</f>
        <v>152443</v>
      </c>
      <c r="C2030" s="2" t="s">
        <v>594</v>
      </c>
      <c r="D2030" s="2" t="str">
        <f t="shared" si="30"/>
        <v>Error?</v>
      </c>
    </row>
    <row r="2031" spans="1:4" x14ac:dyDescent="0.2">
      <c r="A2031" s="5">
        <v>1970</v>
      </c>
      <c r="B2031" s="138">
        <f>'Cap Outlay Deprec 26'!F16</f>
        <v>4637276</v>
      </c>
      <c r="C2031" s="2" t="s">
        <v>594</v>
      </c>
      <c r="D2031" s="2" t="str">
        <f t="shared" si="30"/>
        <v>Error?</v>
      </c>
    </row>
    <row r="2032" spans="1:4" x14ac:dyDescent="0.2">
      <c r="A2032" s="10">
        <v>1971</v>
      </c>
      <c r="D2032" s="2" t="str">
        <f t="shared" si="30"/>
        <v>OK</v>
      </c>
    </row>
    <row r="2033" spans="1:4" x14ac:dyDescent="0.2">
      <c r="A2033" s="5">
        <v>1972</v>
      </c>
      <c r="B2033" s="138">
        <f>'Cap Outlay Deprec 26'!H8</f>
        <v>1390736</v>
      </c>
      <c r="D2033" s="2" t="str">
        <f t="shared" si="30"/>
        <v>Error?</v>
      </c>
    </row>
    <row r="2034" spans="1:4" x14ac:dyDescent="0.2">
      <c r="A2034" s="5">
        <v>1973</v>
      </c>
      <c r="B2034" s="138">
        <f>'Cap Outlay Deprec 26'!H10</f>
        <v>59837</v>
      </c>
      <c r="D2034" s="2" t="str">
        <f t="shared" si="30"/>
        <v>Error?</v>
      </c>
    </row>
    <row r="2035" spans="1:4" x14ac:dyDescent="0.2">
      <c r="A2035" s="5">
        <v>1974</v>
      </c>
      <c r="B2035" s="138">
        <f>'Cap Outlay Deprec 26'!H12</f>
        <v>106701</v>
      </c>
      <c r="D2035" s="2" t="str">
        <f t="shared" si="30"/>
        <v>Error?</v>
      </c>
    </row>
    <row r="2036" spans="1:4" x14ac:dyDescent="0.2">
      <c r="A2036" s="5">
        <v>1975</v>
      </c>
      <c r="B2036" s="138">
        <f>'Cap Outlay Deprec 26'!H13</f>
        <v>147183</v>
      </c>
      <c r="D2036" s="2" t="str">
        <f t="shared" si="30"/>
        <v>Error?</v>
      </c>
    </row>
    <row r="2037" spans="1:4" x14ac:dyDescent="0.2">
      <c r="A2037" s="5">
        <v>1976</v>
      </c>
      <c r="B2037" s="138">
        <f>'Cap Outlay Deprec 26'!H16</f>
        <v>1704457</v>
      </c>
      <c r="C2037" s="2" t="s">
        <v>594</v>
      </c>
      <c r="D2037" s="2" t="str">
        <f t="shared" si="30"/>
        <v>Error?</v>
      </c>
    </row>
    <row r="2038" spans="1:4" x14ac:dyDescent="0.2">
      <c r="A2038" s="10">
        <v>1977</v>
      </c>
      <c r="D2038" s="2" t="str">
        <f t="shared" si="30"/>
        <v>OK</v>
      </c>
    </row>
    <row r="2039" spans="1:4" x14ac:dyDescent="0.2">
      <c r="A2039" s="5">
        <v>1978</v>
      </c>
      <c r="B2039" s="138">
        <f>'Cap Outlay Deprec 26'!I8</f>
        <v>90811</v>
      </c>
      <c r="D2039" s="2" t="str">
        <f t="shared" si="30"/>
        <v>Error?</v>
      </c>
    </row>
    <row r="2040" spans="1:4" x14ac:dyDescent="0.2">
      <c r="A2040" s="5">
        <v>1979</v>
      </c>
      <c r="B2040" s="138">
        <f>'Cap Outlay Deprec 26'!I10</f>
        <v>6418</v>
      </c>
      <c r="D2040" s="2" t="str">
        <f t="shared" si="30"/>
        <v>Error?</v>
      </c>
    </row>
    <row r="2041" spans="1:4" x14ac:dyDescent="0.2">
      <c r="A2041" s="5">
        <v>1980</v>
      </c>
      <c r="B2041" s="138">
        <f>'Cap Outlay Deprec 26'!I12</f>
        <v>5805</v>
      </c>
      <c r="D2041" s="2" t="str">
        <f t="shared" si="30"/>
        <v>Error?</v>
      </c>
    </row>
    <row r="2042" spans="1:4" x14ac:dyDescent="0.2">
      <c r="A2042" s="5">
        <v>1981</v>
      </c>
      <c r="B2042" s="138">
        <f>'Cap Outlay Deprec 26'!I13</f>
        <v>5260</v>
      </c>
      <c r="D2042" s="2" t="str">
        <f t="shared" si="30"/>
        <v>Error?</v>
      </c>
    </row>
    <row r="2043" spans="1:4" x14ac:dyDescent="0.2">
      <c r="A2043" s="5">
        <v>1982</v>
      </c>
      <c r="B2043" s="138">
        <f>'Cap Outlay Deprec 26'!I16</f>
        <v>108294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1481547</v>
      </c>
      <c r="C2051" s="2" t="s">
        <v>594</v>
      </c>
      <c r="D2051" s="2" t="str">
        <f t="shared" si="31"/>
        <v>Error?</v>
      </c>
    </row>
    <row r="2052" spans="1:4" x14ac:dyDescent="0.2">
      <c r="A2052" s="5">
        <v>1991</v>
      </c>
      <c r="B2052" s="138">
        <f>'Cap Outlay Deprec 26'!K10</f>
        <v>66255</v>
      </c>
      <c r="C2052" s="2" t="s">
        <v>594</v>
      </c>
      <c r="D2052" s="2" t="str">
        <f t="shared" si="31"/>
        <v>Error?</v>
      </c>
    </row>
    <row r="2053" spans="1:4" x14ac:dyDescent="0.2">
      <c r="A2053" s="5">
        <v>1992</v>
      </c>
      <c r="B2053" s="138">
        <f>'Cap Outlay Deprec 26'!K12</f>
        <v>112506</v>
      </c>
      <c r="C2053" s="2" t="s">
        <v>594</v>
      </c>
      <c r="D2053" s="2" t="str">
        <f t="shared" si="31"/>
        <v>Error?</v>
      </c>
    </row>
    <row r="2054" spans="1:4" x14ac:dyDescent="0.2">
      <c r="A2054" s="5">
        <v>1993</v>
      </c>
      <c r="B2054" s="138">
        <f>'Cap Outlay Deprec 26'!K13</f>
        <v>152443</v>
      </c>
      <c r="C2054" s="2" t="s">
        <v>594</v>
      </c>
      <c r="D2054" s="2" t="str">
        <f t="shared" si="31"/>
        <v>Error?</v>
      </c>
    </row>
    <row r="2055" spans="1:4" x14ac:dyDescent="0.2">
      <c r="A2055" s="5">
        <v>1994</v>
      </c>
      <c r="B2055" s="138">
        <f>'Cap Outlay Deprec 26'!K16</f>
        <v>1812751</v>
      </c>
      <c r="C2055" s="2" t="s">
        <v>594</v>
      </c>
      <c r="D2055" s="2" t="str">
        <f t="shared" si="31"/>
        <v>Error?</v>
      </c>
    </row>
    <row r="2056" spans="1:4" x14ac:dyDescent="0.2">
      <c r="A2056" s="5">
        <v>1995</v>
      </c>
      <c r="B2056" s="138">
        <f>'Cap Outlay Deprec 26'!L5</f>
        <v>32000</v>
      </c>
      <c r="C2056" s="2" t="s">
        <v>594</v>
      </c>
      <c r="D2056" s="2" t="str">
        <f t="shared" si="31"/>
        <v>Error?</v>
      </c>
    </row>
    <row r="2057" spans="1:4" x14ac:dyDescent="0.2">
      <c r="A2057" s="5">
        <v>1996</v>
      </c>
      <c r="B2057" s="138">
        <f>'Cap Outlay Deprec 26'!L8</f>
        <v>2736658</v>
      </c>
      <c r="C2057" s="2" t="s">
        <v>594</v>
      </c>
      <c r="D2057" s="2" t="str">
        <f t="shared" si="31"/>
        <v>Error?</v>
      </c>
    </row>
    <row r="2058" spans="1:4" x14ac:dyDescent="0.2">
      <c r="A2058" s="5">
        <v>1997</v>
      </c>
      <c r="B2058" s="138">
        <f>'Cap Outlay Deprec 26'!L10</f>
        <v>19070</v>
      </c>
      <c r="C2058" s="2" t="s">
        <v>594</v>
      </c>
      <c r="D2058" s="2" t="str">
        <f t="shared" si="31"/>
        <v>Error?</v>
      </c>
    </row>
    <row r="2059" spans="1:4" x14ac:dyDescent="0.2">
      <c r="A2059" s="5">
        <v>1998</v>
      </c>
      <c r="B2059" s="138">
        <f>'Cap Outlay Deprec 26'!L12</f>
        <v>36797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2824525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92132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26757</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92852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381357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79677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1922022</v>
      </c>
      <c r="C2551" s="2" t="s">
        <v>594</v>
      </c>
      <c r="D2551" s="2" t="str">
        <f t="shared" si="38"/>
        <v>Error?</v>
      </c>
    </row>
    <row r="2552" spans="1:4" x14ac:dyDescent="0.2">
      <c r="A2552" s="10">
        <v>2491</v>
      </c>
      <c r="D2552" s="2" t="str">
        <f t="shared" si="38"/>
        <v>OK</v>
      </c>
    </row>
    <row r="2553" spans="1:4" x14ac:dyDescent="0.2">
      <c r="A2553" s="5">
        <v>2492</v>
      </c>
      <c r="B2553" s="138">
        <f>'Acct Summary 7-8'!C6</f>
        <v>834101</v>
      </c>
      <c r="C2553" s="2" t="s">
        <v>594</v>
      </c>
      <c r="D2553" s="2" t="str">
        <f t="shared" si="38"/>
        <v>Error?</v>
      </c>
    </row>
    <row r="2554" spans="1:4" x14ac:dyDescent="0.2">
      <c r="A2554" s="5">
        <v>2493</v>
      </c>
      <c r="B2554" s="138">
        <f>'Acct Summary 7-8'!C7</f>
        <v>230139</v>
      </c>
      <c r="C2554" s="2" t="s">
        <v>594</v>
      </c>
      <c r="D2554" s="2" t="str">
        <f t="shared" si="38"/>
        <v>Error?</v>
      </c>
    </row>
    <row r="2555" spans="1:4" x14ac:dyDescent="0.2">
      <c r="A2555" s="5">
        <v>2494</v>
      </c>
      <c r="B2555" s="138">
        <f>'Acct Summary 7-8'!C8</f>
        <v>2986262</v>
      </c>
      <c r="C2555" s="2" t="s">
        <v>594</v>
      </c>
      <c r="D2555" s="2" t="str">
        <f t="shared" si="38"/>
        <v>Error?</v>
      </c>
    </row>
    <row r="2556" spans="1:4" x14ac:dyDescent="0.2">
      <c r="A2556" s="5">
        <v>2495</v>
      </c>
      <c r="B2556" s="138">
        <f>'Acct Summary 7-8'!C12</f>
        <v>1596107</v>
      </c>
      <c r="C2556" s="2" t="s">
        <v>594</v>
      </c>
      <c r="D2556" s="2" t="str">
        <f t="shared" si="38"/>
        <v>Error?</v>
      </c>
    </row>
    <row r="2557" spans="1:4" x14ac:dyDescent="0.2">
      <c r="A2557" s="5">
        <v>2496</v>
      </c>
      <c r="B2557" s="138">
        <f>'Acct Summary 7-8'!C13</f>
        <v>844243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92132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2532482</v>
      </c>
      <c r="C2561" s="2" t="s">
        <v>594</v>
      </c>
      <c r="D2561" s="2" t="str">
        <f t="shared" si="39"/>
        <v>Error?</v>
      </c>
    </row>
    <row r="2562" spans="1:4" x14ac:dyDescent="0.2">
      <c r="A2562" s="5">
        <v>2501</v>
      </c>
      <c r="B2562" s="138">
        <f>'Acct Summary 7-8'!C20</f>
        <v>453780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277148</v>
      </c>
      <c r="C2564" s="2" t="s">
        <v>594</v>
      </c>
      <c r="D2564" s="2" t="str">
        <f t="shared" si="39"/>
        <v>Error?</v>
      </c>
    </row>
    <row r="2565" spans="1:4" x14ac:dyDescent="0.2">
      <c r="A2565" s="10">
        <v>2504</v>
      </c>
      <c r="D2565" s="2" t="str">
        <f t="shared" si="39"/>
        <v>OK</v>
      </c>
    </row>
    <row r="2566" spans="1:4" x14ac:dyDescent="0.2">
      <c r="A2566" s="5">
        <v>2505</v>
      </c>
      <c r="B2566" s="138">
        <f>'Acct Summary 7-8'!D6</f>
        <v>18372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295520</v>
      </c>
      <c r="C2568" s="2" t="s">
        <v>594</v>
      </c>
      <c r="D2568" s="2" t="str">
        <f t="shared" si="39"/>
        <v>Error?</v>
      </c>
    </row>
    <row r="2569" spans="1:4" x14ac:dyDescent="0.2">
      <c r="A2569" s="5">
        <v>2508</v>
      </c>
      <c r="B2569" s="138">
        <f>'Acct Summary 7-8'!D13</f>
        <v>257474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257474</v>
      </c>
      <c r="C2573" s="2" t="s">
        <v>594</v>
      </c>
      <c r="D2573" s="2" t="str">
        <f t="shared" si="39"/>
        <v>Error?</v>
      </c>
    </row>
    <row r="2574" spans="1:4" x14ac:dyDescent="0.2">
      <c r="A2574" s="5">
        <v>2513</v>
      </c>
      <c r="B2574" s="138">
        <f>'Acct Summary 7-8'!D20</f>
        <v>38046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119234</v>
      </c>
      <c r="C2591" s="2" t="s">
        <v>594</v>
      </c>
      <c r="D2591" s="2" t="str">
        <f t="shared" si="39"/>
        <v>Error?</v>
      </c>
    </row>
    <row r="2592" spans="1:4" x14ac:dyDescent="0.2">
      <c r="A2592" s="10">
        <v>2531</v>
      </c>
      <c r="D2592" s="2" t="str">
        <f t="shared" si="39"/>
        <v>OK</v>
      </c>
    </row>
    <row r="2593" spans="1:4" x14ac:dyDescent="0.2">
      <c r="A2593" s="5">
        <v>2532</v>
      </c>
      <c r="B2593" s="138">
        <f>'Acct Summary 7-8'!F6</f>
        <v>112200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231434</v>
      </c>
      <c r="C2595" s="2" t="s">
        <v>594</v>
      </c>
      <c r="D2595" s="2" t="str">
        <f t="shared" si="39"/>
        <v>Error?</v>
      </c>
    </row>
    <row r="2596" spans="1:4" x14ac:dyDescent="0.2">
      <c r="A2596" s="5">
        <v>2535</v>
      </c>
      <c r="B2596" s="138">
        <f>'Acct Summary 7-8'!F13</f>
        <v>164374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164374</v>
      </c>
      <c r="C2600" s="2" t="s">
        <v>594</v>
      </c>
      <c r="D2600" s="2" t="str">
        <f t="shared" si="39"/>
        <v>Error?</v>
      </c>
    </row>
    <row r="2601" spans="1:4" x14ac:dyDescent="0.2">
      <c r="A2601" s="5">
        <v>2540</v>
      </c>
      <c r="B2601" s="138">
        <f>'Acct Summary 7-8'!F20</f>
        <v>67060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119707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119707</v>
      </c>
      <c r="C2606" s="2" t="s">
        <v>594</v>
      </c>
      <c r="D2606" s="2" t="str">
        <f t="shared" si="39"/>
        <v>Error?</v>
      </c>
    </row>
    <row r="2607" spans="1:4" x14ac:dyDescent="0.2">
      <c r="A2607" s="5">
        <v>2546</v>
      </c>
      <c r="B2607" s="138">
        <f>'Acct Summary 7-8'!G12</f>
        <v>35376</v>
      </c>
      <c r="C2607" s="2" t="s">
        <v>594</v>
      </c>
      <c r="D2607" s="2" t="str">
        <f t="shared" si="39"/>
        <v>Error?</v>
      </c>
    </row>
    <row r="2608" spans="1:4" x14ac:dyDescent="0.2">
      <c r="A2608" s="5">
        <v>2547</v>
      </c>
      <c r="B2608" s="138">
        <f>'Acct Summary 7-8'!G13</f>
        <v>65518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100894</v>
      </c>
      <c r="C2612" s="2" t="s">
        <v>594</v>
      </c>
      <c r="D2612" s="2" t="str">
        <f t="shared" si="39"/>
        <v>Error?</v>
      </c>
    </row>
    <row r="2613" spans="1:4" x14ac:dyDescent="0.2">
      <c r="A2613" s="5">
        <v>2552</v>
      </c>
      <c r="B2613" s="138">
        <f>'Acct Summary 7-8'!G20</f>
        <v>18813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4342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4342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4342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79677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79677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79677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69415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69415</v>
      </c>
      <c r="D2914" s="2" t="str">
        <f t="shared" si="44"/>
        <v>Error?</v>
      </c>
    </row>
    <row r="2915" spans="1:4" x14ac:dyDescent="0.2">
      <c r="A2915" s="10">
        <v>2854</v>
      </c>
      <c r="D2915" s="2" t="str">
        <f t="shared" si="44"/>
        <v>OK</v>
      </c>
    </row>
    <row r="2916" spans="1:4" x14ac:dyDescent="0.2">
      <c r="A2916" s="5">
        <v>2855</v>
      </c>
      <c r="B2916" s="138">
        <f>'Assets-Liab 5-6'!L34</f>
        <v>69415</v>
      </c>
      <c r="C2916" s="2" t="s">
        <v>594</v>
      </c>
      <c r="D2916" s="2" t="str">
        <f t="shared" si="44"/>
        <v>Error?</v>
      </c>
    </row>
    <row r="2917" spans="1:4" x14ac:dyDescent="0.2">
      <c r="A2917" s="5">
        <v>2856</v>
      </c>
      <c r="B2917" s="138">
        <f>'Assets-Liab 5-6'!L41</f>
        <v>69415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40739</v>
      </c>
      <c r="D3055" s="2" t="str">
        <f t="shared" si="46"/>
        <v>Error?</v>
      </c>
    </row>
    <row r="3056" spans="1:4" x14ac:dyDescent="0.2">
      <c r="A3056" s="5">
        <v>2995</v>
      </c>
      <c r="B3056" s="138">
        <f>'Expenditures 15-22'!D10</f>
        <v>13950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6248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2340</v>
      </c>
      <c r="D3060" s="2" t="str">
        <f t="shared" si="46"/>
        <v>Error?</v>
      </c>
    </row>
    <row r="3061" spans="1:4" x14ac:dyDescent="0.2">
      <c r="A3061" s="10">
        <v>3000</v>
      </c>
      <c r="D3061" s="2" t="str">
        <f t="shared" si="46"/>
        <v>OK</v>
      </c>
    </row>
    <row r="3062" spans="1:4" x14ac:dyDescent="0.2">
      <c r="A3062" s="5">
        <v>3001</v>
      </c>
      <c r="B3062" s="138">
        <f>'Expenditures 15-22'!K10</f>
        <v>63277</v>
      </c>
      <c r="C3062" s="2" t="s">
        <v>594</v>
      </c>
      <c r="D3062" s="2" t="str">
        <f t="shared" si="46"/>
        <v>Error?</v>
      </c>
    </row>
    <row r="3063" spans="1:4" x14ac:dyDescent="0.2">
      <c r="A3063" s="10">
        <v>3002</v>
      </c>
      <c r="D3063" s="2" t="str">
        <f t="shared" si="46"/>
        <v>OK</v>
      </c>
    </row>
    <row r="3064" spans="1:4" x14ac:dyDescent="0.2">
      <c r="A3064" s="5">
        <v>3003</v>
      </c>
      <c r="B3064" s="138">
        <f>'Expenditures 15-22'!D219</f>
        <v>1385</v>
      </c>
      <c r="D3064" s="2" t="str">
        <f t="shared" si="46"/>
        <v>Error?</v>
      </c>
    </row>
    <row r="3065" spans="1:4" x14ac:dyDescent="0.2">
      <c r="A3065" s="5">
        <v>3004</v>
      </c>
      <c r="B3065" s="138">
        <f>'Expenditures 15-22'!K219</f>
        <v>1385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26757</v>
      </c>
      <c r="C3225" s="2" t="s">
        <v>594</v>
      </c>
      <c r="D3225" s="2" t="str">
        <f t="shared" si="49"/>
        <v>Error?</v>
      </c>
    </row>
    <row r="3226" spans="1:4" x14ac:dyDescent="0.2">
      <c r="A3226" s="5">
        <v>3165</v>
      </c>
      <c r="B3226" s="138">
        <f>'Acct Summary 7-8'!I8</f>
        <v>26757</v>
      </c>
      <c r="C3226" s="2" t="s">
        <v>594</v>
      </c>
      <c r="D3226" s="2" t="str">
        <f t="shared" si="49"/>
        <v>Error?</v>
      </c>
    </row>
    <row r="3227" spans="1:4" x14ac:dyDescent="0.2">
      <c r="A3227" s="5">
        <v>3166</v>
      </c>
      <c r="B3227" s="138">
        <f>'Acct Summary 7-8'!I20</f>
        <v>26757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26757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26757</v>
      </c>
      <c r="C3232" s="2" t="s">
        <v>594</v>
      </c>
      <c r="D3232" s="2" t="str">
        <f t="shared" si="49"/>
        <v>Error?</v>
      </c>
    </row>
    <row r="3233" spans="1:4" x14ac:dyDescent="0.2">
      <c r="A3233" s="5">
        <v>3172</v>
      </c>
      <c r="B3233" s="138">
        <f>'Acct Summary 7-8'!C78</f>
        <v>480537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38046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67060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18813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4342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79677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26757</v>
      </c>
      <c r="C3318" s="2" t="s">
        <v>594</v>
      </c>
      <c r="D3318" s="2" t="str">
        <f t="shared" si="50"/>
        <v>Error?</v>
      </c>
    </row>
    <row r="3319" spans="1:4" x14ac:dyDescent="0.2">
      <c r="A3319" s="5">
        <v>3258</v>
      </c>
      <c r="B3319" s="138">
        <f>'Acct Summary 7-8'!I77</f>
        <v>-26757</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203297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40074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720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245903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17042</v>
      </c>
      <c r="D3387" s="2" t="str">
        <f t="shared" si="51"/>
        <v>Error?</v>
      </c>
    </row>
    <row r="3388" spans="1:4" x14ac:dyDescent="0.2">
      <c r="A3388" s="5">
        <v>3327</v>
      </c>
      <c r="B3388" s="138">
        <f>'Expenditures 15-22'!D217</f>
        <v>10675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17042</v>
      </c>
      <c r="C3390" s="2" t="s">
        <v>594</v>
      </c>
      <c r="D3390" s="2" t="str">
        <f t="shared" si="51"/>
        <v>Error?</v>
      </c>
    </row>
    <row r="3391" spans="1:4" x14ac:dyDescent="0.2">
      <c r="A3391" s="5">
        <v>3330</v>
      </c>
      <c r="B3391" s="138">
        <f>'Expenditures 15-22'!K217</f>
        <v>10675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1343374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272024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9406</v>
      </c>
      <c r="D3417" s="2" t="str">
        <f t="shared" si="52"/>
        <v>Error?</v>
      </c>
    </row>
    <row r="3418" spans="1:4" x14ac:dyDescent="0.2">
      <c r="A3418" s="10">
        <v>3357</v>
      </c>
      <c r="D3418" s="2" t="str">
        <f t="shared" si="52"/>
        <v>OK</v>
      </c>
    </row>
    <row r="3419" spans="1:4" x14ac:dyDescent="0.2">
      <c r="A3419" s="5">
        <v>3358</v>
      </c>
      <c r="B3419" s="138">
        <f>'Assets-Liab 5-6'!F4</f>
        <v>147133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92852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79677</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69415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65839</v>
      </c>
      <c r="C3446" s="2" t="s">
        <v>594</v>
      </c>
      <c r="D3446" s="2" t="str">
        <f t="shared" si="52"/>
        <v>Error?</v>
      </c>
    </row>
    <row r="3447" spans="1:4" x14ac:dyDescent="0.2">
      <c r="A3447" s="5">
        <v>3386</v>
      </c>
      <c r="B3447" s="138">
        <f>'Tax Sched 23'!D16</f>
        <v>65839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66001</v>
      </c>
      <c r="C3449" s="2" t="s">
        <v>594</v>
      </c>
      <c r="D3449" s="2" t="str">
        <f t="shared" si="52"/>
        <v>Error?</v>
      </c>
    </row>
    <row r="3450" spans="1:4" x14ac:dyDescent="0.2">
      <c r="A3450" s="5">
        <v>3389</v>
      </c>
      <c r="B3450" s="138">
        <f>'Tax Sched 23'!E16</f>
        <v>66001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353</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353</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70388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70388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70388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70388</v>
      </c>
      <c r="C3568" s="2" t="s">
        <v>594</v>
      </c>
      <c r="D3568" s="2" t="str">
        <f t="shared" si="54"/>
        <v>Error?</v>
      </c>
    </row>
    <row r="3569" spans="1:4" x14ac:dyDescent="0.2">
      <c r="A3569" s="5">
        <v>3508</v>
      </c>
      <c r="B3569" s="138">
        <f>'Acct Summary 7-8'!K4</f>
        <v>26757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26757</v>
      </c>
      <c r="C3571" s="2" t="s">
        <v>594</v>
      </c>
      <c r="D3571" s="2" t="str">
        <f t="shared" si="54"/>
        <v>Error?</v>
      </c>
    </row>
    <row r="3572" spans="1:4" x14ac:dyDescent="0.2">
      <c r="A3572" s="5">
        <v>3511</v>
      </c>
      <c r="B3572" s="138">
        <f>'Acct Summary 7-8'!K13</f>
        <v>4827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4827</v>
      </c>
      <c r="C3575" s="2" t="s">
        <v>594</v>
      </c>
      <c r="D3575" s="2" t="str">
        <f t="shared" si="54"/>
        <v>Error?</v>
      </c>
    </row>
    <row r="3576" spans="1:4" x14ac:dyDescent="0.2">
      <c r="A3576" s="5">
        <v>3515</v>
      </c>
      <c r="B3576" s="138">
        <f>'Acct Summary 7-8'!K20</f>
        <v>21930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21930</v>
      </c>
      <c r="C3588" s="2" t="s">
        <v>594</v>
      </c>
      <c r="D3588" s="2" t="str">
        <f t="shared" si="55"/>
        <v>Error?</v>
      </c>
    </row>
    <row r="3589" spans="1:4" x14ac:dyDescent="0.2">
      <c r="A3589" s="5">
        <v>3528</v>
      </c>
      <c r="B3589" s="138">
        <f>'Acct Summary 7-8'!K79</f>
        <v>48458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70388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4827</v>
      </c>
      <c r="D3632" s="2" t="str">
        <f t="shared" si="55"/>
        <v>Error?</v>
      </c>
    </row>
    <row r="3633" spans="1:4" x14ac:dyDescent="0.2">
      <c r="A3633" s="5">
        <v>3572</v>
      </c>
      <c r="B3633" s="138">
        <f>'Expenditures 15-22'!E350</f>
        <v>4827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4827</v>
      </c>
      <c r="C3635" s="2" t="s">
        <v>594</v>
      </c>
      <c r="D3635" s="2" t="str">
        <f t="shared" si="55"/>
        <v>Error?</v>
      </c>
    </row>
    <row r="3636" spans="1:4" x14ac:dyDescent="0.2">
      <c r="A3636" s="5">
        <v>3575</v>
      </c>
      <c r="B3636" s="138">
        <f>'Expenditures 15-22'!E367</f>
        <v>4827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4827</v>
      </c>
      <c r="C3669" s="2" t="s">
        <v>594</v>
      </c>
      <c r="D3669" s="2" t="str">
        <f t="shared" si="56"/>
        <v>Error?</v>
      </c>
    </row>
    <row r="3670" spans="1:4" x14ac:dyDescent="0.2">
      <c r="A3670" s="5">
        <v>3609</v>
      </c>
      <c r="B3670" s="138">
        <f>'Expenditures 15-22'!K350</f>
        <v>4827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4827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4827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21930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26757</v>
      </c>
      <c r="C3725" s="2" t="s">
        <v>594</v>
      </c>
      <c r="D3725" s="2" t="str">
        <f t="shared" si="57"/>
        <v>Error?</v>
      </c>
    </row>
    <row r="3726" spans="1:4" x14ac:dyDescent="0.2">
      <c r="A3726" s="5">
        <v>3665</v>
      </c>
      <c r="B3726" s="138">
        <f>'Tax Sched 23'!D13</f>
        <v>26757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27729</v>
      </c>
      <c r="C3728" s="2" t="s">
        <v>594</v>
      </c>
      <c r="D3728" s="2" t="str">
        <f t="shared" si="57"/>
        <v>Error?</v>
      </c>
    </row>
    <row r="3729" spans="1:4" x14ac:dyDescent="0.2">
      <c r="A3729" s="5">
        <v>3668</v>
      </c>
      <c r="B3729" s="138">
        <f>'Tax Sched 23'!E13</f>
        <v>27729</v>
      </c>
      <c r="D3729" s="2" t="str">
        <f t="shared" si="57"/>
        <v>Error?</v>
      </c>
    </row>
    <row r="3730" spans="1:4" x14ac:dyDescent="0.2">
      <c r="A3730" s="5">
        <v>3669</v>
      </c>
      <c r="B3730" s="138">
        <f>'ICR Computation 30'!E10</f>
        <v>85187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310640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3296902</v>
      </c>
      <c r="C4122" s="2" t="s">
        <v>594</v>
      </c>
      <c r="D4122" s="2" t="str">
        <f t="shared" si="63"/>
        <v>Error?</v>
      </c>
    </row>
    <row r="4123" spans="1:4" x14ac:dyDescent="0.2">
      <c r="A4123" s="5">
        <v>4062</v>
      </c>
      <c r="B4123" s="138">
        <f>'Acct Summary 7-8'!D10</f>
        <v>295520</v>
      </c>
      <c r="C4123" s="2" t="s">
        <v>594</v>
      </c>
      <c r="D4123" s="2" t="str">
        <f t="shared" si="63"/>
        <v>Error?</v>
      </c>
    </row>
    <row r="4124" spans="1:4" x14ac:dyDescent="0.2">
      <c r="A4124" s="5">
        <v>4063</v>
      </c>
      <c r="B4124" s="138">
        <f>'Acct Summary 7-8'!E10</f>
        <v>4342</v>
      </c>
      <c r="C4124" s="2" t="s">
        <v>594</v>
      </c>
      <c r="D4124" s="2" t="str">
        <f t="shared" si="63"/>
        <v>Error?</v>
      </c>
    </row>
    <row r="4125" spans="1:4" x14ac:dyDescent="0.2">
      <c r="A4125" s="5">
        <v>4064</v>
      </c>
      <c r="B4125" s="138">
        <f>'Acct Summary 7-8'!F10</f>
        <v>231434</v>
      </c>
      <c r="C4125" s="2" t="s">
        <v>594</v>
      </c>
      <c r="D4125" s="2" t="str">
        <f t="shared" si="63"/>
        <v>Error?</v>
      </c>
    </row>
    <row r="4126" spans="1:4" x14ac:dyDescent="0.2">
      <c r="A4126" s="5">
        <v>4065</v>
      </c>
      <c r="B4126" s="138">
        <f>'Acct Summary 7-8'!G10</f>
        <v>119707</v>
      </c>
      <c r="C4126" s="2" t="s">
        <v>594</v>
      </c>
      <c r="D4126" s="2" t="str">
        <f t="shared" si="63"/>
        <v>Error?</v>
      </c>
    </row>
    <row r="4127" spans="1:4" x14ac:dyDescent="0.2">
      <c r="A4127" s="5">
        <v>4066</v>
      </c>
      <c r="B4127" s="138">
        <f>'Acct Summary 7-8'!H10</f>
        <v>79677</v>
      </c>
      <c r="C4127" s="2" t="s">
        <v>594</v>
      </c>
      <c r="D4127" s="2" t="str">
        <f t="shared" si="63"/>
        <v>Error?</v>
      </c>
    </row>
    <row r="4128" spans="1:4" x14ac:dyDescent="0.2">
      <c r="A4128" s="5">
        <v>4067</v>
      </c>
      <c r="B4128" s="138">
        <f>'Acct Summary 7-8'!I10</f>
        <v>26757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26757</v>
      </c>
      <c r="C4130" s="2" t="s">
        <v>594</v>
      </c>
      <c r="D4130" s="2" t="str">
        <f t="shared" si="63"/>
        <v>Error?</v>
      </c>
    </row>
    <row r="4131" spans="1:4" x14ac:dyDescent="0.2">
      <c r="A4131" s="5">
        <v>4070</v>
      </c>
      <c r="B4131" s="138">
        <f>'Acct Summary 7-8'!C18</f>
        <v>310640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2843122</v>
      </c>
      <c r="C4136" s="2" t="s">
        <v>594</v>
      </c>
      <c r="D4136" s="2" t="str">
        <f t="shared" si="63"/>
        <v>Error?</v>
      </c>
    </row>
    <row r="4137" spans="1:4" x14ac:dyDescent="0.2">
      <c r="A4137" s="5">
        <v>4076</v>
      </c>
      <c r="B4137" s="138">
        <f>'Acct Summary 7-8'!D19</f>
        <v>257474</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164374</v>
      </c>
      <c r="C4139" s="2" t="s">
        <v>594</v>
      </c>
      <c r="D4139" s="2" t="str">
        <f t="shared" si="63"/>
        <v>Error?</v>
      </c>
    </row>
    <row r="4140" spans="1:4" x14ac:dyDescent="0.2">
      <c r="A4140" s="5">
        <v>4079</v>
      </c>
      <c r="B4140" s="138">
        <f>'Acct Summary 7-8'!G19</f>
        <v>100894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4827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3640</v>
      </c>
      <c r="C4268" s="2" t="s">
        <v>594</v>
      </c>
      <c r="D4268" s="2" t="str">
        <f t="shared" si="65"/>
        <v>Error?</v>
      </c>
    </row>
    <row r="4269" spans="1:5" x14ac:dyDescent="0.2">
      <c r="A4269" s="12">
        <v>4208</v>
      </c>
      <c r="B4269" s="138">
        <f>'FP Info 3'!J16</f>
        <v>1762531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22209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15916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51442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10983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55458308</v>
      </c>
      <c r="D4995" s="2" t="str">
        <f t="shared" si="77"/>
        <v>Error?</v>
      </c>
    </row>
    <row r="4996" spans="1:4" x14ac:dyDescent="0.2">
      <c r="A4996" s="12">
        <v>4935</v>
      </c>
      <c r="B4996" s="138">
        <f>'FP Info 3'!H31</f>
        <v>7653246.5040000007</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26757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1573327</v>
      </c>
      <c r="D5061" s="2" t="str">
        <f t="shared" si="78"/>
        <v>Error?</v>
      </c>
    </row>
    <row r="5062" spans="1:4" x14ac:dyDescent="0.2">
      <c r="A5062" s="10">
        <v>5001</v>
      </c>
      <c r="D5062" s="2" t="str">
        <f t="shared" si="78"/>
        <v>OK</v>
      </c>
    </row>
    <row r="5063" spans="1:4" x14ac:dyDescent="0.2">
      <c r="A5063" s="5">
        <v>5002</v>
      </c>
      <c r="B5063" s="138">
        <f>'Revenues 9-14'!C7</f>
        <v>21406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1621490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124377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124377</v>
      </c>
      <c r="C5071" s="2" t="s">
        <v>594</v>
      </c>
      <c r="D5071" s="2" t="str">
        <f t="shared" si="78"/>
        <v>Error?</v>
      </c>
    </row>
    <row r="5072" spans="1:4" x14ac:dyDescent="0.2">
      <c r="A5072" s="5">
        <v>5011</v>
      </c>
      <c r="B5072" s="138">
        <f>'Revenues 9-14'!C20</f>
        <v>400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400</v>
      </c>
      <c r="C5087" s="2" t="s">
        <v>594</v>
      </c>
      <c r="D5087" s="2" t="str">
        <f t="shared" si="78"/>
        <v>Error?</v>
      </c>
    </row>
    <row r="5088" spans="1:4" x14ac:dyDescent="0.2">
      <c r="A5088" s="5">
        <v>5027</v>
      </c>
      <c r="B5088" s="138">
        <f>'Revenues 9-14'!C65</f>
        <v>4627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4627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14399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68478</v>
      </c>
      <c r="C5096" s="2" t="s">
        <v>594</v>
      </c>
      <c r="D5096" s="2" t="str">
        <f t="shared" si="78"/>
        <v>Error?</v>
      </c>
    </row>
    <row r="5097" spans="1:4" x14ac:dyDescent="0.2">
      <c r="A5097" s="5">
        <v>5036</v>
      </c>
      <c r="B5097" s="138">
        <f>'Revenues 9-14'!C77</f>
        <v>12831</v>
      </c>
      <c r="D5097" s="2" t="str">
        <f t="shared" si="78"/>
        <v>Error?</v>
      </c>
    </row>
    <row r="5098" spans="1:4" x14ac:dyDescent="0.2">
      <c r="A5098" s="5">
        <v>5037</v>
      </c>
      <c r="B5098" s="138">
        <f>'Revenues 9-14'!C78</f>
        <v>3125</v>
      </c>
      <c r="D5098" s="2" t="str">
        <f t="shared" si="78"/>
        <v>Error?</v>
      </c>
    </row>
    <row r="5099" spans="1:4" x14ac:dyDescent="0.2">
      <c r="A5099" s="5">
        <v>5038</v>
      </c>
      <c r="B5099" s="138">
        <f>'Revenues 9-14'!C79</f>
        <v>7670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23626</v>
      </c>
      <c r="C5102" s="2" t="s">
        <v>594</v>
      </c>
      <c r="D5102" s="2" t="str">
        <f t="shared" si="78"/>
        <v>Error?</v>
      </c>
    </row>
    <row r="5103" spans="1:4" x14ac:dyDescent="0.2">
      <c r="A5103" s="5">
        <v>5042</v>
      </c>
      <c r="B5103" s="138">
        <f>'Revenues 9-14'!C84</f>
        <v>16908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16908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v>
      </c>
      <c r="D5114" s="2" t="str">
        <f t="shared" si="78"/>
        <v>Error?</v>
      </c>
    </row>
    <row r="5115" spans="1:4" x14ac:dyDescent="0.2">
      <c r="A5115" s="5">
        <v>5054</v>
      </c>
      <c r="B5115" s="138">
        <f>'Revenues 9-14'!C98</f>
        <v>46010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335</v>
      </c>
      <c r="D5117" s="2" t="str">
        <f t="shared" si="78"/>
        <v>Error?</v>
      </c>
    </row>
    <row r="5118" spans="1:4" x14ac:dyDescent="0.2">
      <c r="A5118" s="5">
        <v>5057</v>
      </c>
      <c r="B5118" s="138">
        <f>'Revenues 9-14'!C106</f>
        <v>11866</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62116</v>
      </c>
      <c r="C5120" s="2" t="s">
        <v>594</v>
      </c>
      <c r="D5120" s="2" t="str">
        <f t="shared" si="79"/>
        <v>Error?</v>
      </c>
    </row>
    <row r="5121" spans="1:4" x14ac:dyDescent="0.2">
      <c r="A5121" s="5">
        <v>5060</v>
      </c>
      <c r="B5121" s="138">
        <f>'Revenues 9-14'!C109</f>
        <v>1922022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569251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569251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21033</v>
      </c>
      <c r="D5134" s="2" t="str">
        <f t="shared" si="79"/>
        <v>Error?</v>
      </c>
    </row>
    <row r="5135" spans="1:4" x14ac:dyDescent="0.2">
      <c r="A5135" s="5">
        <v>5074</v>
      </c>
      <c r="B5135" s="138">
        <f>'Revenues 9-14'!C126</f>
        <v>38072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59105</v>
      </c>
      <c r="C5147" s="2" t="s">
        <v>594</v>
      </c>
      <c r="D5147" s="2" t="str">
        <f t="shared" si="79"/>
        <v>Error?</v>
      </c>
    </row>
    <row r="5148" spans="1:4" x14ac:dyDescent="0.2">
      <c r="A5148" s="5">
        <v>5087</v>
      </c>
      <c r="B5148" s="138">
        <f>'Revenues 9-14'!C133</f>
        <v>13265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15245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1080</v>
      </c>
      <c r="D5167" s="2" t="str">
        <f t="shared" si="79"/>
        <v>Error?</v>
      </c>
    </row>
    <row r="5168" spans="1:4" x14ac:dyDescent="0.2">
      <c r="A5168" s="5">
        <v>5107</v>
      </c>
      <c r="B5168" s="138">
        <f>'Revenues 9-14'!C147</f>
        <v>3918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134060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264850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834101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10983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50798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30562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81360</v>
      </c>
      <c r="C5246" s="2" t="s">
        <v>594</v>
      </c>
      <c r="D5246" s="2" t="str">
        <f t="shared" si="80"/>
        <v>Error?</v>
      </c>
    </row>
    <row r="5247" spans="1:4" x14ac:dyDescent="0.2">
      <c r="A5247" s="5">
        <v>5186</v>
      </c>
      <c r="B5247" s="138">
        <f>'Revenues 9-14'!C203</f>
        <v>76310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76310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23361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23361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219156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230139</v>
      </c>
      <c r="C5326" s="2" t="s">
        <v>594</v>
      </c>
      <c r="D5326" s="2" t="str">
        <f t="shared" si="82"/>
        <v>Error?</v>
      </c>
    </row>
    <row r="5327" spans="1:4" x14ac:dyDescent="0.2">
      <c r="A5327" s="5">
        <v>5266</v>
      </c>
      <c r="B5327" s="138">
        <f>'Revenues 9-14'!C275</f>
        <v>2986262</v>
      </c>
      <c r="C5327" s="2" t="s">
        <v>594</v>
      </c>
      <c r="D5327" s="2" t="str">
        <f t="shared" si="82"/>
        <v>Error?</v>
      </c>
    </row>
    <row r="5328" spans="1:4" x14ac:dyDescent="0.2">
      <c r="A5328" s="5">
        <v>5267</v>
      </c>
      <c r="B5328" s="138">
        <f>'Revenues 9-14'!D5</f>
        <v>267573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267573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9050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9575</v>
      </c>
      <c r="C5355" s="2" t="s">
        <v>594</v>
      </c>
      <c r="D5355" s="2" t="str">
        <f t="shared" si="82"/>
        <v>Error?</v>
      </c>
    </row>
    <row r="5356" spans="1:4" x14ac:dyDescent="0.2">
      <c r="A5356" s="5">
        <v>5295</v>
      </c>
      <c r="B5356" s="138">
        <f>'Revenues 9-14'!D109</f>
        <v>277148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18372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18372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18372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295520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4342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4342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4342</v>
      </c>
      <c r="C5552" s="2" t="s">
        <v>594</v>
      </c>
      <c r="D5552" s="2" t="str">
        <f t="shared" si="85"/>
        <v>Error?</v>
      </c>
    </row>
    <row r="5553" spans="1:4" x14ac:dyDescent="0.2">
      <c r="A5553" s="5">
        <v>5492</v>
      </c>
      <c r="B5553" s="138">
        <f>'Revenues 9-14'!F5</f>
        <v>107029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107029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9100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3105</v>
      </c>
      <c r="D5586" s="2" t="str">
        <f t="shared" si="86"/>
        <v>Error?</v>
      </c>
    </row>
    <row r="5587" spans="1:4" x14ac:dyDescent="0.2">
      <c r="A5587" s="5">
        <v>5526</v>
      </c>
      <c r="B5587" s="138">
        <f>'Revenues 9-14'!F108</f>
        <v>12205</v>
      </c>
      <c r="C5587" s="2" t="s">
        <v>594</v>
      </c>
      <c r="D5587" s="2" t="str">
        <f t="shared" si="86"/>
        <v>Error?</v>
      </c>
    </row>
    <row r="5588" spans="1:4" x14ac:dyDescent="0.2">
      <c r="A5588" s="5">
        <v>5527</v>
      </c>
      <c r="B5588" s="138">
        <f>'Revenues 9-14'!F109</f>
        <v>119234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24000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24000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28791</v>
      </c>
      <c r="D5615" s="2" t="str">
        <f t="shared" si="86"/>
        <v>Error?</v>
      </c>
    </row>
    <row r="5616" spans="1:4" x14ac:dyDescent="0.2">
      <c r="A5616" s="10">
        <v>5555</v>
      </c>
      <c r="D5616" s="2" t="str">
        <f t="shared" si="86"/>
        <v>OK</v>
      </c>
    </row>
    <row r="5617" spans="1:4" x14ac:dyDescent="0.2">
      <c r="A5617" s="5">
        <v>5556</v>
      </c>
      <c r="B5617" s="138">
        <f>'Revenues 9-14'!F152</f>
        <v>59409</v>
      </c>
      <c r="D5617" s="2" t="str">
        <f t="shared" si="86"/>
        <v>Error?</v>
      </c>
    </row>
    <row r="5618" spans="1:4" x14ac:dyDescent="0.2">
      <c r="A5618" s="5">
        <v>5557</v>
      </c>
      <c r="B5618" s="138">
        <f>'Revenues 9-14'!F154</f>
        <v>88200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88200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112200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231434</v>
      </c>
      <c r="C5720" s="2" t="s">
        <v>594</v>
      </c>
      <c r="D5720" s="2" t="str">
        <f t="shared" si="88"/>
        <v>Error?</v>
      </c>
    </row>
    <row r="5721" spans="1:4" x14ac:dyDescent="0.2">
      <c r="A5721" s="5">
        <v>5660</v>
      </c>
      <c r="B5721" s="138">
        <f>'Revenues 9-14'!G5</f>
        <v>53868</v>
      </c>
      <c r="D5721" s="2" t="str">
        <f t="shared" si="88"/>
        <v>Error?</v>
      </c>
    </row>
    <row r="5722" spans="1:4" x14ac:dyDescent="0.2">
      <c r="A5722" s="5">
        <v>5661</v>
      </c>
      <c r="B5722" s="138">
        <f>'Revenues 9-14'!G7</f>
        <v>0</v>
      </c>
      <c r="D5722" s="2" t="str">
        <f t="shared" si="88"/>
        <v>Error?</v>
      </c>
    </row>
    <row r="5723" spans="1:4" x14ac:dyDescent="0.2">
      <c r="A5723" s="5">
        <v>5662</v>
      </c>
      <c r="B5723" s="138">
        <f>'Revenues 9-14'!G8</f>
        <v>65839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119707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119707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79677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79677</v>
      </c>
      <c r="C5915" s="2" t="s">
        <v>594</v>
      </c>
      <c r="D5915" s="2" t="str">
        <f t="shared" si="91"/>
        <v>Error?</v>
      </c>
    </row>
    <row r="5916" spans="1:4" x14ac:dyDescent="0.2">
      <c r="A5916" s="5">
        <v>5855</v>
      </c>
      <c r="B5916" s="138">
        <f>'Revenues 9-14'!I5</f>
        <v>26757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26757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26757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26757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26757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26757</v>
      </c>
      <c r="C6023" s="2" t="s">
        <v>594</v>
      </c>
      <c r="D6023" s="2" t="str">
        <f t="shared" si="93"/>
        <v>Error?</v>
      </c>
    </row>
    <row r="6024" spans="1:5" x14ac:dyDescent="0.2">
      <c r="A6024" s="5">
        <v>5963</v>
      </c>
      <c r="B6024" s="138">
        <f>'Revenues 9-14'!G109</f>
        <v>119707</v>
      </c>
      <c r="C6024" s="2" t="s">
        <v>594</v>
      </c>
      <c r="D6024" s="2" t="str">
        <f t="shared" si="93"/>
        <v>Error?</v>
      </c>
    </row>
    <row r="6025" spans="1:5" x14ac:dyDescent="0.2">
      <c r="A6025" s="5">
        <v>5964</v>
      </c>
      <c r="B6025" s="138">
        <f>'Revenues 9-14'!H109</f>
        <v>79677</v>
      </c>
      <c r="C6025" s="2" t="s">
        <v>594</v>
      </c>
      <c r="D6025" s="2" t="str">
        <f t="shared" si="93"/>
        <v>Error?</v>
      </c>
    </row>
    <row r="6026" spans="1:5" x14ac:dyDescent="0.2">
      <c r="A6026" s="5">
        <v>5965</v>
      </c>
      <c r="B6026" s="138">
        <f>'Revenues 9-14'!I109</f>
        <v>26757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26757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54079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10144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292.3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10221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10221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10221</v>
      </c>
      <c r="D6216" s="2" t="str">
        <f t="shared" si="96"/>
        <v>Error?</v>
      </c>
      <c r="E6216" s="2" t="s">
        <v>199</v>
      </c>
    </row>
    <row r="6217" spans="1:5" x14ac:dyDescent="0.2">
      <c r="A6217">
        <v>6156</v>
      </c>
      <c r="B6217" s="138">
        <f>'Assets-Liab 5-6'!J4</f>
        <v>10221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124946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124946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124946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123710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123710</v>
      </c>
      <c r="D6229" s="2" t="str">
        <f t="shared" si="96"/>
        <v>Error?</v>
      </c>
      <c r="E6229" s="2" t="s">
        <v>199</v>
      </c>
    </row>
    <row r="6230" spans="1:5" x14ac:dyDescent="0.2">
      <c r="A6230">
        <v>6169</v>
      </c>
      <c r="B6230" s="138">
        <f>'Acct Summary 7-8'!J20</f>
        <v>1236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1236</v>
      </c>
      <c r="D6263" s="2" t="str">
        <f t="shared" si="96"/>
        <v>Error?</v>
      </c>
      <c r="E6263" s="2" t="s">
        <v>199</v>
      </c>
    </row>
    <row r="6264" spans="1:5" x14ac:dyDescent="0.2">
      <c r="A6264">
        <v>6203</v>
      </c>
      <c r="B6264" s="138">
        <f>'Acct Summary 7-8'!J79</f>
        <v>8985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10221</v>
      </c>
      <c r="D6266" s="2" t="str">
        <f t="shared" si="96"/>
        <v>Error?</v>
      </c>
      <c r="E6266" s="2" t="s">
        <v>199</v>
      </c>
    </row>
    <row r="6267" spans="1:5" x14ac:dyDescent="0.2">
      <c r="A6267">
        <v>6206</v>
      </c>
      <c r="B6267" s="138">
        <f>'Acct Summary 7-8'!C82</f>
        <v>480537</v>
      </c>
      <c r="D6267" s="2" t="str">
        <f t="shared" si="96"/>
        <v>Error?</v>
      </c>
      <c r="E6267" s="2" t="s">
        <v>199</v>
      </c>
    </row>
    <row r="6268" spans="1:5" x14ac:dyDescent="0.2">
      <c r="A6268">
        <v>6207</v>
      </c>
      <c r="B6268" s="138">
        <f>'Acct Summary 7-8'!D82</f>
        <v>38046</v>
      </c>
      <c r="D6268" s="2" t="str">
        <f t="shared" si="96"/>
        <v>Error?</v>
      </c>
      <c r="E6268" s="2" t="s">
        <v>199</v>
      </c>
    </row>
    <row r="6269" spans="1:5" x14ac:dyDescent="0.2">
      <c r="A6269">
        <v>6208</v>
      </c>
      <c r="B6269" s="138">
        <f>'Acct Summary 7-8'!E82</f>
        <v>4342</v>
      </c>
      <c r="D6269" s="2" t="str">
        <f t="shared" si="96"/>
        <v>Error?</v>
      </c>
      <c r="E6269" s="2" t="s">
        <v>199</v>
      </c>
    </row>
    <row r="6270" spans="1:5" x14ac:dyDescent="0.2">
      <c r="A6270">
        <v>6209</v>
      </c>
      <c r="B6270" s="138">
        <f>'Acct Summary 7-8'!F82</f>
        <v>67060</v>
      </c>
      <c r="D6270" s="2" t="str">
        <f t="shared" si="96"/>
        <v>Error?</v>
      </c>
      <c r="E6270" s="2" t="s">
        <v>199</v>
      </c>
    </row>
    <row r="6271" spans="1:5" x14ac:dyDescent="0.2">
      <c r="A6271">
        <v>6210</v>
      </c>
      <c r="B6271" s="138">
        <f>'Acct Summary 7-8'!G82</f>
        <v>18813</v>
      </c>
      <c r="D6271" s="2" t="str">
        <f t="shared" ref="D6271:D6334" si="97">IF(ISBLANK(B6271),"OK",IF(A6271-B6271=0,"OK","Error?"))</f>
        <v>Error?</v>
      </c>
      <c r="E6271" s="2" t="s">
        <v>199</v>
      </c>
    </row>
    <row r="6272" spans="1:5" x14ac:dyDescent="0.2">
      <c r="A6272">
        <v>6211</v>
      </c>
      <c r="B6272" s="138">
        <f>'Acct Summary 7-8'!H82</f>
        <v>79677</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1236</v>
      </c>
      <c r="D6274" s="2" t="str">
        <f t="shared" si="97"/>
        <v>Error?</v>
      </c>
      <c r="E6274" s="2" t="s">
        <v>199</v>
      </c>
    </row>
    <row r="6275" spans="1:5" x14ac:dyDescent="0.2">
      <c r="A6275">
        <v>6214</v>
      </c>
      <c r="B6275" s="138">
        <f>'Acct Summary 7-8'!K82</f>
        <v>21930</v>
      </c>
      <c r="D6275" s="2" t="str">
        <f t="shared" si="97"/>
        <v>Error?</v>
      </c>
      <c r="E6275" s="2" t="s">
        <v>199</v>
      </c>
    </row>
    <row r="6276" spans="1:5" x14ac:dyDescent="0.2">
      <c r="A6276">
        <v>6215</v>
      </c>
      <c r="B6276" s="138">
        <f>'Acct Summary 7-8'!C83</f>
        <v>0.35770902220826067</v>
      </c>
      <c r="D6276" s="2" t="str">
        <f t="shared" si="97"/>
        <v>Error?</v>
      </c>
      <c r="E6276" s="2" t="s">
        <v>199</v>
      </c>
    </row>
    <row r="6277" spans="1:5" x14ac:dyDescent="0.2">
      <c r="A6277">
        <v>6216</v>
      </c>
      <c r="B6277" s="138">
        <f>'Acct Summary 7-8'!D83</f>
        <v>0.13986265917713142</v>
      </c>
      <c r="D6277" s="2" t="str">
        <f t="shared" si="97"/>
        <v>Error?</v>
      </c>
      <c r="E6277" s="2" t="s">
        <v>199</v>
      </c>
    </row>
    <row r="6278" spans="1:5" x14ac:dyDescent="0.2">
      <c r="A6278">
        <v>6217</v>
      </c>
      <c r="B6278" s="138">
        <f>'Acct Summary 7-8'!E83</f>
        <v>1.1385657009049263E-2</v>
      </c>
      <c r="D6278" s="2" t="str">
        <f t="shared" si="97"/>
        <v>Error?</v>
      </c>
      <c r="E6278" s="2" t="s">
        <v>199</v>
      </c>
    </row>
    <row r="6279" spans="1:5" x14ac:dyDescent="0.2">
      <c r="A6279">
        <v>6218</v>
      </c>
      <c r="B6279" s="138">
        <f>'Acct Summary 7-8'!F83</f>
        <v>0.4557781055235739</v>
      </c>
      <c r="D6279" s="2" t="str">
        <f t="shared" si="97"/>
        <v>Error?</v>
      </c>
      <c r="E6279" s="2" t="s">
        <v>199</v>
      </c>
    </row>
    <row r="6280" spans="1:5" x14ac:dyDescent="0.2">
      <c r="A6280">
        <v>6219</v>
      </c>
      <c r="B6280" s="138">
        <f>'Acct Summary 7-8'!G83</f>
        <v>0.20261276009132814</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0.12092750220135016</v>
      </c>
      <c r="D6283" s="2" t="str">
        <f t="shared" si="97"/>
        <v>Error?</v>
      </c>
      <c r="E6283" s="2" t="s">
        <v>199</v>
      </c>
    </row>
    <row r="6284" spans="1:5" x14ac:dyDescent="0.2">
      <c r="A6284">
        <v>6223</v>
      </c>
      <c r="B6284" s="138">
        <f>'Acct Summary 7-8'!K83</f>
        <v>0.31155878842984602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124946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124946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3865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124946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1980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57201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861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98713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11660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8204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861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92132</v>
      </c>
      <c r="D6983" s="2" t="str">
        <f t="shared" si="108"/>
        <v>Error?</v>
      </c>
    </row>
    <row r="6984" spans="1:4" x14ac:dyDescent="0.2">
      <c r="A6984">
        <v>6923</v>
      </c>
      <c r="B6984" s="138">
        <f>'Expenditures 15-22'!K86</f>
        <v>92132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92132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791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791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791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123710</v>
      </c>
      <c r="D7042" s="2" t="str">
        <f t="shared" si="109"/>
        <v>Error?</v>
      </c>
    </row>
    <row r="7043" spans="1:5" x14ac:dyDescent="0.2">
      <c r="A7043">
        <v>6982</v>
      </c>
      <c r="B7043" s="138">
        <f>'Revenues 9-14'!H9</f>
        <v>0</v>
      </c>
      <c r="D7043" s="2" t="str">
        <f t="shared" si="109"/>
        <v>Error?</v>
      </c>
    </row>
    <row r="7044" spans="1:5" x14ac:dyDescent="0.2">
      <c r="A7044">
        <v>6983</v>
      </c>
      <c r="B7044" s="138">
        <f>'Revenues 9-14'!D106</f>
        <v>525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791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124946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3172</v>
      </c>
      <c r="D7073" s="2" t="str">
        <f t="shared" si="109"/>
        <v>Error?</v>
      </c>
    </row>
    <row r="7074" spans="1:4" x14ac:dyDescent="0.2">
      <c r="A7074">
        <v>7013</v>
      </c>
      <c r="B7074" s="138">
        <f>'Expenditures 15-22'!K216</f>
        <v>3172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1463</v>
      </c>
      <c r="D7077" s="2" t="str">
        <f t="shared" si="109"/>
        <v>Error?</v>
      </c>
    </row>
    <row r="7078" spans="1:4" x14ac:dyDescent="0.2">
      <c r="A7078">
        <v>7017</v>
      </c>
      <c r="B7078" s="138">
        <f>'Expenditures 15-22'!K220</f>
        <v>1463</v>
      </c>
      <c r="D7078" s="2" t="str">
        <f t="shared" si="109"/>
        <v>Error?</v>
      </c>
    </row>
    <row r="7079" spans="1:4" x14ac:dyDescent="0.2">
      <c r="A7079">
        <v>7018</v>
      </c>
      <c r="B7079" s="138">
        <f>'Expenditures 15-22'!D226</f>
        <v>96</v>
      </c>
      <c r="D7079" s="2" t="str">
        <f t="shared" si="109"/>
        <v>Error?</v>
      </c>
    </row>
    <row r="7080" spans="1:4" x14ac:dyDescent="0.2">
      <c r="A7080">
        <v>7019</v>
      </c>
      <c r="B7080" s="138">
        <f>'Expenditures 15-22'!K226</f>
        <v>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8308</v>
      </c>
      <c r="D7089" s="2" t="str">
        <f t="shared" si="109"/>
        <v>Error?</v>
      </c>
    </row>
    <row r="7090" spans="1:4" x14ac:dyDescent="0.2">
      <c r="A7090">
        <v>7029</v>
      </c>
      <c r="B7090" s="138">
        <f>'Expenditures 15-22'!K252</f>
        <v>8308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18862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18862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92994</v>
      </c>
      <c r="D7154" s="2" t="str">
        <f t="shared" si="110"/>
        <v>Error?</v>
      </c>
    </row>
    <row r="7155" spans="1:4" x14ac:dyDescent="0.2">
      <c r="A7155">
        <v>7094</v>
      </c>
      <c r="B7155" s="138">
        <f>'Expenditures 15-22'!D323</f>
        <v>10913</v>
      </c>
      <c r="D7155" s="2" t="str">
        <f t="shared" si="110"/>
        <v>Error?</v>
      </c>
    </row>
    <row r="7156" spans="1:4" x14ac:dyDescent="0.2">
      <c r="A7156">
        <v>7095</v>
      </c>
      <c r="B7156" s="138">
        <f>'Expenditures 15-22'!E323</f>
        <v>941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104848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92994</v>
      </c>
      <c r="D7199" s="2" t="str">
        <f t="shared" si="111"/>
        <v>Error?</v>
      </c>
    </row>
    <row r="7200" spans="1:4" x14ac:dyDescent="0.2">
      <c r="A7200">
        <v>7139</v>
      </c>
      <c r="B7200" s="138">
        <f>'Expenditures 15-22'!D330</f>
        <v>10913</v>
      </c>
      <c r="D7200" s="2" t="str">
        <f t="shared" si="111"/>
        <v>Error?</v>
      </c>
    </row>
    <row r="7201" spans="1:4" x14ac:dyDescent="0.2">
      <c r="A7201">
        <v>7140</v>
      </c>
      <c r="B7201" s="138">
        <f>'Expenditures 15-22'!E330</f>
        <v>19803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123710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92994</v>
      </c>
      <c r="D7216" s="2" t="str">
        <f t="shared" si="111"/>
        <v>Error?</v>
      </c>
    </row>
    <row r="7217" spans="1:4" x14ac:dyDescent="0.2">
      <c r="A7217">
        <v>7156</v>
      </c>
      <c r="B7217" s="138">
        <f>'Expenditures 15-22'!D342</f>
        <v>10913</v>
      </c>
      <c r="D7217" s="2" t="str">
        <f t="shared" si="111"/>
        <v>Error?</v>
      </c>
    </row>
    <row r="7218" spans="1:4" x14ac:dyDescent="0.2">
      <c r="A7218">
        <v>7157</v>
      </c>
      <c r="B7218" s="138">
        <f>'Expenditures 15-22'!E342</f>
        <v>19803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123710</v>
      </c>
      <c r="D7224" s="2" t="str">
        <f t="shared" si="111"/>
        <v>Error?</v>
      </c>
    </row>
    <row r="7225" spans="1:4" x14ac:dyDescent="0.2">
      <c r="A7225">
        <v>7164</v>
      </c>
      <c r="B7225" s="138">
        <f>'Expenditures 15-22'!K343</f>
        <v>1236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13095</v>
      </c>
      <c r="D7246" s="2" t="str">
        <f t="shared" si="112"/>
        <v>Error?</v>
      </c>
    </row>
    <row r="7247" spans="1:4" x14ac:dyDescent="0.2">
      <c r="A7247">
        <f t="shared" si="113"/>
        <v>7186</v>
      </c>
      <c r="B7247" s="138">
        <f>'Expenditures 15-22'!E7</f>
        <v>71</v>
      </c>
      <c r="D7247" s="2" t="str">
        <f t="shared" si="112"/>
        <v>Error?</v>
      </c>
    </row>
    <row r="7248" spans="1:4" x14ac:dyDescent="0.2">
      <c r="A7248">
        <f t="shared" si="113"/>
        <v>7187</v>
      </c>
      <c r="B7248" s="138">
        <f>'Expenditures 15-22'!F7</f>
        <v>25361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2985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9591</v>
      </c>
      <c r="D7257" s="2" t="str">
        <f t="shared" si="112"/>
        <v>Error?</v>
      </c>
    </row>
    <row r="7258" spans="1:4" x14ac:dyDescent="0.2">
      <c r="A7258">
        <f t="shared" si="113"/>
        <v>7197</v>
      </c>
      <c r="B7258" s="138">
        <f>'Expenditures 15-22'!D11</f>
        <v>2069</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6607</v>
      </c>
      <c r="D7263" s="2" t="str">
        <f t="shared" si="112"/>
        <v>Error?</v>
      </c>
    </row>
    <row r="7264" spans="1:4" x14ac:dyDescent="0.2">
      <c r="A7264">
        <f t="shared" si="113"/>
        <v>7203</v>
      </c>
      <c r="B7264" s="138">
        <f>'Expenditures 15-22'!D17</f>
        <v>1597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1652</v>
      </c>
      <c r="D7624" s="2" t="str">
        <f t="shared" si="124"/>
        <v>Error?</v>
      </c>
      <c r="E7624" s="2" t="s">
        <v>19</v>
      </c>
    </row>
    <row r="7625" spans="1:5" x14ac:dyDescent="0.2">
      <c r="A7625">
        <f t="shared" si="123"/>
        <v>7564</v>
      </c>
      <c r="B7625" s="138">
        <f>'Cap Outlay Deprec 26'!I17</f>
        <v>165.2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108459.2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3918</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3918</v>
      </c>
      <c r="D7719" s="2" t="str">
        <f t="shared" si="126"/>
        <v>Error?</v>
      </c>
      <c r="E7719" s="2" t="s">
        <v>881</v>
      </c>
    </row>
    <row r="7720" spans="1:6" x14ac:dyDescent="0.2">
      <c r="A7720">
        <v>7659</v>
      </c>
      <c r="B7720" s="138">
        <f>'Rest Tax Levies-Tort Im 25'!H14</f>
        <v>21406</v>
      </c>
      <c r="D7720" s="2" t="str">
        <f t="shared" si="126"/>
        <v>Error?</v>
      </c>
      <c r="E7720" s="2" t="s">
        <v>881</v>
      </c>
    </row>
    <row r="7721" spans="1:6" x14ac:dyDescent="0.2">
      <c r="A7721">
        <v>7660</v>
      </c>
      <c r="B7721" s="138">
        <f>'Rest Tax Levies-Tort Im 25'!K14</f>
        <v>3918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79677</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162156</v>
      </c>
      <c r="D7797" s="2" t="str">
        <f t="shared" si="127"/>
        <v>Error?</v>
      </c>
      <c r="E7797" s="4" t="s">
        <v>2020</v>
      </c>
    </row>
    <row r="7798" spans="1:5" x14ac:dyDescent="0.2">
      <c r="A7798">
        <v>7737</v>
      </c>
      <c r="B7798" s="138">
        <f>'Contracts Paid in CY 29'!F141</f>
        <v>104790</v>
      </c>
      <c r="D7798" s="2" t="str">
        <f t="shared" si="127"/>
        <v>Error?</v>
      </c>
      <c r="E7798" s="4" t="s">
        <v>2020</v>
      </c>
    </row>
    <row r="7799" spans="1:5" x14ac:dyDescent="0.2">
      <c r="A7799">
        <v>7738</v>
      </c>
      <c r="B7799" s="138">
        <f>'Contracts Paid in CY 29'!G141</f>
        <v>57366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Edgar County CUSD #6</v>
      </c>
      <c r="B7" s="2402"/>
      <c r="C7" s="2402"/>
      <c r="D7" s="2439"/>
      <c r="E7" s="2440">
        <f>COVER!A13</f>
        <v>11023006026</v>
      </c>
      <c r="F7" s="2441"/>
      <c r="G7" s="2408">
        <f>COVER!T23</f>
        <v>0</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Daughhetee &amp; Parks Management Consulting PC</v>
      </c>
      <c r="H9" s="2415"/>
      <c r="I9" s="2415"/>
      <c r="J9" s="2415"/>
      <c r="K9" s="2415"/>
      <c r="L9" s="2416"/>
    </row>
    <row r="10" spans="1:29" ht="13.5" customHeight="1" x14ac:dyDescent="0.2">
      <c r="A10" s="2398" t="str">
        <f>COVER!A38</f>
        <v>James Acklin</v>
      </c>
      <c r="B10" s="2399"/>
      <c r="C10" s="2399"/>
      <c r="D10" s="2399"/>
      <c r="E10" s="2399"/>
      <c r="F10" s="2400"/>
      <c r="G10" s="2414" t="str">
        <f>COVER!T17</f>
        <v>2200A Kickapoo Drive</v>
      </c>
      <c r="H10" s="2427"/>
      <c r="I10" s="2427"/>
      <c r="J10" s="2427"/>
      <c r="K10" s="2427"/>
      <c r="L10" s="2428"/>
    </row>
    <row r="11" spans="1:29" ht="13.5" customHeight="1" x14ac:dyDescent="0.2">
      <c r="A11" s="1185" t="s">
        <v>1599</v>
      </c>
      <c r="B11" s="1186"/>
      <c r="C11" s="1187"/>
      <c r="D11" s="1192"/>
      <c r="E11" s="1187"/>
      <c r="F11" s="1191"/>
      <c r="G11" s="2414" t="str">
        <f>COVER!T19</f>
        <v>Danville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joeagcpa@yahoo.com</v>
      </c>
      <c r="J13" s="2436"/>
      <c r="K13" s="2436"/>
      <c r="L13" s="2437"/>
    </row>
    <row r="14" spans="1:29" ht="13.5" customHeight="1" x14ac:dyDescent="0.2">
      <c r="A14" s="2414" t="str">
        <f>COVER!A19</f>
        <v>23231 Illinois Highway 1</v>
      </c>
      <c r="B14" s="2427"/>
      <c r="C14" s="2427"/>
      <c r="D14" s="2427"/>
      <c r="E14" s="2427"/>
      <c r="F14" s="2428"/>
      <c r="G14" s="1196" t="s">
        <v>1247</v>
      </c>
      <c r="H14" s="1194"/>
      <c r="I14" s="1194"/>
      <c r="J14" s="1194"/>
      <c r="K14" s="1194"/>
      <c r="L14" s="1195"/>
    </row>
    <row r="15" spans="1:29" ht="13.5" customHeight="1" x14ac:dyDescent="0.2">
      <c r="A15" s="2414" t="str">
        <f>COVER!A21</f>
        <v>Chrisman</v>
      </c>
      <c r="B15" s="2427"/>
      <c r="C15" s="2427"/>
      <c r="D15" s="2427"/>
      <c r="E15" s="2427"/>
      <c r="F15" s="2428"/>
      <c r="G15" s="2424" t="str">
        <f>COVER!T15</f>
        <v>Joe Daughhetee</v>
      </c>
      <c r="H15" s="2425"/>
      <c r="I15" s="2425"/>
      <c r="J15" s="2425"/>
      <c r="K15" s="2425"/>
      <c r="L15" s="2426"/>
    </row>
    <row r="16" spans="1:29" ht="12.2" customHeight="1" x14ac:dyDescent="0.2">
      <c r="A16" s="2404">
        <f>COVER!A25</f>
        <v>61924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217-431-2727</v>
      </c>
      <c r="H18" s="2402"/>
      <c r="I18" s="2402"/>
      <c r="J18" s="2402"/>
      <c r="K18" s="2401" t="str">
        <f>COVER!X21</f>
        <v>217-431-3273</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Edgar County CUSD #6</v>
      </c>
      <c r="B1" s="2438"/>
      <c r="C1" s="2438"/>
      <c r="D1" s="2438"/>
    </row>
    <row r="2" spans="1:11" s="1215" customFormat="1" ht="12.75" x14ac:dyDescent="0.2">
      <c r="A2" s="2443">
        <f>'Single Audit Cover'!E7</f>
        <v>11023006026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Edgar County CUSD #6</v>
      </c>
      <c r="B1" s="2446"/>
      <c r="C1" s="2446"/>
      <c r="D1" s="2446"/>
      <c r="E1" s="2446"/>
    </row>
    <row r="2" spans="1:5" x14ac:dyDescent="0.2">
      <c r="A2" s="2447">
        <f>'Single Audit Cover'!E7</f>
        <v>11023006026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230139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10144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240283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240283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240283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Edgar County CUSD #6</v>
      </c>
      <c r="B1" s="2451"/>
      <c r="C1" s="2451"/>
      <c r="D1" s="2451"/>
      <c r="E1" s="2451"/>
      <c r="F1" s="2451"/>
    </row>
    <row r="2" spans="1:7" ht="13.5" customHeight="1" x14ac:dyDescent="0.2">
      <c r="A2" s="2452">
        <f>'Single Audit Cover'!E7</f>
        <v>11023006026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Edgar County CUSD #6</v>
      </c>
      <c r="C1" s="2463"/>
      <c r="D1" s="2463"/>
      <c r="E1" s="2463"/>
      <c r="F1" s="2463"/>
      <c r="G1" s="2463"/>
      <c r="H1" s="2463"/>
      <c r="I1" s="2463"/>
      <c r="J1" s="2463"/>
      <c r="K1" s="2463"/>
      <c r="L1" s="2463"/>
      <c r="M1" s="2463"/>
    </row>
    <row r="2" spans="2:14" ht="15" x14ac:dyDescent="0.2">
      <c r="B2" s="2452">
        <f>'Single Audit Cover'!E7</f>
        <v>11023006026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8"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Edgar County CUSD #6</v>
      </c>
      <c r="C1" s="2471"/>
      <c r="D1" s="2471"/>
      <c r="E1" s="2471"/>
      <c r="F1" s="2471"/>
      <c r="G1" s="2471"/>
      <c r="H1" s="2471"/>
      <c r="I1" s="2471"/>
      <c r="J1" s="1422"/>
    </row>
    <row r="2" spans="2:10" s="317" customFormat="1" ht="12.75" customHeight="1" x14ac:dyDescent="0.2">
      <c r="B2" s="2472">
        <f>'Single Audit Cover'!E7</f>
        <v>11023006026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Edgar County CUSD #6</v>
      </c>
      <c r="C1" s="2470"/>
      <c r="D1" s="2470"/>
      <c r="E1" s="2470"/>
      <c r="F1" s="2470"/>
      <c r="G1" s="2470"/>
      <c r="H1" s="2470"/>
      <c r="I1" s="2470"/>
      <c r="J1" s="2470"/>
      <c r="K1" s="2470"/>
      <c r="L1" s="1374"/>
      <c r="M1" s="1374"/>
    </row>
    <row r="2" spans="1:13" ht="12" customHeight="1" x14ac:dyDescent="0.2">
      <c r="B2" s="2472">
        <f>'Single Audit Cover'!E7</f>
        <v>11023006026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Edgar County CUSD #6</v>
      </c>
      <c r="C1" s="2497"/>
      <c r="D1" s="2497"/>
      <c r="E1" s="2497"/>
      <c r="F1" s="2497"/>
      <c r="G1" s="2497"/>
      <c r="H1" s="2497"/>
      <c r="I1" s="2497"/>
      <c r="J1" s="2497"/>
      <c r="K1" s="2497"/>
      <c r="L1" s="1465"/>
    </row>
    <row r="2" spans="1:12" ht="12.75" customHeight="1" x14ac:dyDescent="0.2">
      <c r="B2" s="2498">
        <f>'Single Audit Cover'!E7</f>
        <v>11023006026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Edgar County CUSD #6</v>
      </c>
      <c r="C1" s="2470"/>
      <c r="D1" s="2470"/>
      <c r="E1" s="1491"/>
    </row>
    <row r="2" spans="2:5" s="1282" customFormat="1" ht="12.75" customHeight="1" x14ac:dyDescent="0.2">
      <c r="B2" s="2472">
        <f>'Single Audit Cover'!E7</f>
        <v>11023006026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59" sqref="L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55458308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2.9399999999999999E-2</v>
      </c>
      <c r="E10" s="356" t="s">
        <v>1062</v>
      </c>
      <c r="F10" s="355">
        <v>5.0000000000000001E-3</v>
      </c>
      <c r="G10" s="356" t="s">
        <v>1062</v>
      </c>
      <c r="H10" s="355">
        <v>2E-3</v>
      </c>
      <c r="I10" s="356" t="s">
        <v>1063</v>
      </c>
      <c r="J10" s="1754">
        <f>ROUND(D10+F10+H10,5)</f>
        <v>3.6400000000000002E-2</v>
      </c>
      <c r="K10" s="222"/>
      <c r="L10" s="355">
        <v>5.0000000000000001E-3</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3539973</v>
      </c>
      <c r="E16" s="356"/>
      <c r="F16" s="1755">
        <f>SUM('Acct Summary 7-8'!C17,'Acct Summary 7-8'!D17,'Acct Summary 7-8'!F17)</f>
        <v>2954330</v>
      </c>
      <c r="G16" s="356"/>
      <c r="H16" s="1755">
        <f>SUM(D16-F16)</f>
        <v>585643</v>
      </c>
      <c r="I16" s="222"/>
      <c r="J16" s="1755">
        <f>SUM('Acct Summary 7-8'!C81,'Acct Summary 7-8'!D81,'Acct Summary 7-8'!F81,'Acct Summary 7-8'!I81)</f>
        <v>1762531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7653246.5040000007</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Edgar County CUSD #6</v>
      </c>
      <c r="E7" s="391"/>
      <c r="G7" s="252"/>
      <c r="H7" s="387"/>
      <c r="I7" s="387"/>
      <c r="J7" s="387"/>
      <c r="K7" s="387"/>
      <c r="L7" s="329"/>
      <c r="M7" s="329"/>
      <c r="N7" s="329"/>
      <c r="O7" s="329"/>
      <c r="P7" s="329"/>
    </row>
    <row r="8" spans="1:18" ht="12.75" x14ac:dyDescent="0.2">
      <c r="A8" s="329"/>
      <c r="B8" s="329"/>
      <c r="C8" s="389" t="s">
        <v>1187</v>
      </c>
      <c r="D8" s="392">
        <f>COVER!A13</f>
        <v>11023006026</v>
      </c>
      <c r="E8" s="393"/>
      <c r="G8" s="329"/>
      <c r="H8" s="329"/>
      <c r="I8" s="329"/>
      <c r="J8" s="329"/>
      <c r="K8" s="329"/>
      <c r="L8" s="329"/>
      <c r="M8" s="329"/>
      <c r="N8" s="329"/>
      <c r="O8" s="329"/>
      <c r="P8" s="329"/>
    </row>
    <row r="9" spans="1:18" ht="12.75" x14ac:dyDescent="0.2">
      <c r="A9" s="329"/>
      <c r="B9" s="329"/>
      <c r="C9" s="389" t="s">
        <v>737</v>
      </c>
      <c r="D9" s="394" t="str">
        <f>COVER!A15</f>
        <v>Edgar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1762531</v>
      </c>
      <c r="I12" s="404"/>
      <c r="J12" s="404"/>
      <c r="K12" s="405">
        <f>TRUNC((H12/H13*100000),5)/100000</f>
        <v>0.49789391040000003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3539973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2954330</v>
      </c>
      <c r="I17" s="404"/>
      <c r="J17" s="416"/>
      <c r="K17" s="405">
        <f>TRUNC((H17/H18*100000),5)/100000</f>
        <v>0.83456286239999999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3539973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1762531</v>
      </c>
      <c r="I24" s="422"/>
      <c r="J24" s="422"/>
      <c r="K24" s="423">
        <f>TRUNC(((H24/H25*100000)/100000),2)</f>
        <v>214.77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8206.4722199999997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1715880.0495199999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7653246.5040000007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M46" sqref="M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1343374</v>
      </c>
      <c r="D4" s="466">
        <v>272024</v>
      </c>
      <c r="E4" s="466">
        <v>9406</v>
      </c>
      <c r="F4" s="466">
        <v>147133</v>
      </c>
      <c r="G4" s="466">
        <v>92852</v>
      </c>
      <c r="H4" s="466">
        <v>79677</v>
      </c>
      <c r="I4" s="466">
        <v>0</v>
      </c>
      <c r="J4" s="467">
        <v>10221</v>
      </c>
      <c r="K4" s="466">
        <v>70388</v>
      </c>
      <c r="L4" s="466">
        <v>69415</v>
      </c>
      <c r="M4" s="468"/>
      <c r="N4" s="469"/>
    </row>
    <row r="5" spans="1:14" x14ac:dyDescent="0.2">
      <c r="A5" s="463" t="s">
        <v>1049</v>
      </c>
      <c r="B5" s="470">
        <v>120</v>
      </c>
      <c r="C5" s="465"/>
      <c r="D5" s="466"/>
      <c r="E5" s="466">
        <v>371951</v>
      </c>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1343374</v>
      </c>
      <c r="D13" s="1759">
        <f t="shared" ref="D13:L13" si="0">SUM(D4:D12)</f>
        <v>272024</v>
      </c>
      <c r="E13" s="1759">
        <f t="shared" si="0"/>
        <v>381357</v>
      </c>
      <c r="F13" s="1759">
        <f t="shared" si="0"/>
        <v>147133</v>
      </c>
      <c r="G13" s="1759">
        <f t="shared" si="0"/>
        <v>92852</v>
      </c>
      <c r="H13" s="1759">
        <f t="shared" si="0"/>
        <v>79677</v>
      </c>
      <c r="I13" s="1759">
        <f t="shared" si="0"/>
        <v>0</v>
      </c>
      <c r="J13" s="1759">
        <f t="shared" si="0"/>
        <v>10221</v>
      </c>
      <c r="K13" s="1759">
        <f t="shared" si="0"/>
        <v>70388</v>
      </c>
      <c r="L13" s="1759">
        <f t="shared" si="0"/>
        <v>69415</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32000</v>
      </c>
      <c r="N16" s="484"/>
    </row>
    <row r="17" spans="1:14" s="485" customFormat="1" ht="12.75" customHeight="1" x14ac:dyDescent="0.2">
      <c r="A17" s="482" t="s">
        <v>1470</v>
      </c>
      <c r="B17" s="483">
        <v>230</v>
      </c>
      <c r="C17" s="477"/>
      <c r="D17" s="477"/>
      <c r="E17" s="477"/>
      <c r="F17" s="477"/>
      <c r="G17" s="477"/>
      <c r="H17" s="477"/>
      <c r="I17" s="477"/>
      <c r="J17" s="477"/>
      <c r="K17" s="477"/>
      <c r="L17" s="477"/>
      <c r="M17" s="467">
        <v>2736658</v>
      </c>
      <c r="N17" s="484"/>
    </row>
    <row r="18" spans="1:14" s="485" customFormat="1" ht="12.75" customHeight="1" x14ac:dyDescent="0.2">
      <c r="A18" s="482" t="s">
        <v>1471</v>
      </c>
      <c r="B18" s="483">
        <v>240</v>
      </c>
      <c r="C18" s="477"/>
      <c r="D18" s="477"/>
      <c r="E18" s="477"/>
      <c r="F18" s="477"/>
      <c r="G18" s="477"/>
      <c r="H18" s="477"/>
      <c r="I18" s="477"/>
      <c r="J18" s="477"/>
      <c r="K18" s="477"/>
      <c r="L18" s="477"/>
      <c r="M18" s="467">
        <v>19070</v>
      </c>
      <c r="N18" s="484"/>
    </row>
    <row r="19" spans="1:14" s="485" customFormat="1" ht="12.75" customHeight="1" x14ac:dyDescent="0.2">
      <c r="A19" s="482" t="s">
        <v>1472</v>
      </c>
      <c r="B19" s="483">
        <v>250</v>
      </c>
      <c r="C19" s="477"/>
      <c r="D19" s="477"/>
      <c r="E19" s="477"/>
      <c r="F19" s="477"/>
      <c r="G19" s="477"/>
      <c r="H19" s="477"/>
      <c r="I19" s="477"/>
      <c r="J19" s="477"/>
      <c r="K19" s="477"/>
      <c r="L19" s="477"/>
      <c r="M19" s="467">
        <v>36797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2824525</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69415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69415</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v>381357</v>
      </c>
      <c r="F38" s="466">
        <v>0</v>
      </c>
      <c r="G38" s="466">
        <v>92852</v>
      </c>
      <c r="H38" s="466">
        <v>79677</v>
      </c>
      <c r="I38" s="466"/>
      <c r="J38" s="467">
        <v>10221</v>
      </c>
      <c r="K38" s="466">
        <v>70388</v>
      </c>
      <c r="L38" s="481"/>
      <c r="M38" s="497"/>
      <c r="N38" s="497"/>
    </row>
    <row r="39" spans="1:14" s="329" customFormat="1" ht="13.5" customHeight="1" x14ac:dyDescent="0.2">
      <c r="A39" s="496" t="s">
        <v>360</v>
      </c>
      <c r="B39" s="483">
        <v>730</v>
      </c>
      <c r="C39" s="466">
        <v>1343374</v>
      </c>
      <c r="D39" s="466">
        <v>272024</v>
      </c>
      <c r="E39" s="466"/>
      <c r="F39" s="466">
        <v>147133</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2824525</v>
      </c>
      <c r="N40" s="497"/>
    </row>
    <row r="41" spans="1:14" ht="13.5" customHeight="1" thickBot="1" x14ac:dyDescent="0.25">
      <c r="A41" s="1758" t="s">
        <v>676</v>
      </c>
      <c r="B41" s="1728"/>
      <c r="C41" s="1710">
        <f>(SUM(C34,C37,C38,C39))</f>
        <v>1343374</v>
      </c>
      <c r="D41" s="1710">
        <f t="shared" ref="D41:L41" si="2">SUM(D34,D37,D38:D39)</f>
        <v>272024</v>
      </c>
      <c r="E41" s="1710">
        <f t="shared" si="2"/>
        <v>381357</v>
      </c>
      <c r="F41" s="1710">
        <f t="shared" si="2"/>
        <v>147133</v>
      </c>
      <c r="G41" s="1710">
        <f t="shared" si="2"/>
        <v>92852</v>
      </c>
      <c r="H41" s="1710">
        <f t="shared" si="2"/>
        <v>79677</v>
      </c>
      <c r="I41" s="1710">
        <f t="shared" si="2"/>
        <v>0</v>
      </c>
      <c r="J41" s="1710">
        <f t="shared" si="2"/>
        <v>10221</v>
      </c>
      <c r="K41" s="1710">
        <f t="shared" si="2"/>
        <v>70388</v>
      </c>
      <c r="L41" s="1710">
        <f t="shared" si="2"/>
        <v>69415</v>
      </c>
      <c r="M41" s="1710">
        <f>SUM(M40)</f>
        <v>2824525</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2" activePane="bottomLeft" state="frozenSplit"/>
      <selection activeCell="A47" sqref="A47"/>
      <selection pane="bottomLeft" activeCell="C84" sqref="C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1922022</v>
      </c>
      <c r="D4" s="1764">
        <f>'Revenues 9-14'!D109</f>
        <v>277148</v>
      </c>
      <c r="E4" s="1764">
        <f>'Revenues 9-14'!E109</f>
        <v>4342</v>
      </c>
      <c r="F4" s="1764">
        <f>'Revenues 9-14'!F109</f>
        <v>119234</v>
      </c>
      <c r="G4" s="1764">
        <f>'Revenues 9-14'!G109</f>
        <v>119707</v>
      </c>
      <c r="H4" s="1764">
        <f>'Revenues 9-14'!H109</f>
        <v>79677</v>
      </c>
      <c r="I4" s="1764">
        <f>'Revenues 9-14'!I109</f>
        <v>26757</v>
      </c>
      <c r="J4" s="1764">
        <f>'Revenues 9-14'!J109</f>
        <v>124946</v>
      </c>
      <c r="K4" s="1764">
        <f>'Revenues 9-14'!K109</f>
        <v>26757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834101</v>
      </c>
      <c r="D6" s="1765">
        <f>'Revenues 9-14'!D173</f>
        <v>18372</v>
      </c>
      <c r="E6" s="1765">
        <f>'Revenues 9-14'!E173</f>
        <v>0</v>
      </c>
      <c r="F6" s="1765">
        <f>'Revenues 9-14'!F173</f>
        <v>112200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230139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2986262</v>
      </c>
      <c r="D8" s="1710">
        <f t="shared" ref="D8:K8" si="0">SUM(D4:D7)</f>
        <v>295520</v>
      </c>
      <c r="E8" s="1710">
        <f t="shared" si="0"/>
        <v>4342</v>
      </c>
      <c r="F8" s="1710">
        <f t="shared" si="0"/>
        <v>231434</v>
      </c>
      <c r="G8" s="1710">
        <f t="shared" si="0"/>
        <v>119707</v>
      </c>
      <c r="H8" s="1710">
        <f t="shared" si="0"/>
        <v>79677</v>
      </c>
      <c r="I8" s="1710">
        <f t="shared" si="0"/>
        <v>26757</v>
      </c>
      <c r="J8" s="1710">
        <f t="shared" si="0"/>
        <v>124946</v>
      </c>
      <c r="K8" s="1710">
        <f t="shared" si="0"/>
        <v>26757</v>
      </c>
      <c r="L8" s="347"/>
    </row>
    <row r="9" spans="1:13" ht="15.75" thickTop="1" x14ac:dyDescent="0.2">
      <c r="A9" s="514" t="s">
        <v>1752</v>
      </c>
      <c r="B9" s="515">
        <v>3998</v>
      </c>
      <c r="C9" s="481">
        <v>310640</v>
      </c>
      <c r="D9" s="516"/>
      <c r="E9" s="481"/>
      <c r="F9" s="481"/>
      <c r="G9" s="517"/>
      <c r="H9" s="481"/>
      <c r="I9" s="509" t="s">
        <v>1231</v>
      </c>
      <c r="J9" s="478"/>
      <c r="K9" s="481"/>
      <c r="L9" s="347"/>
    </row>
    <row r="10" spans="1:13" s="519" customFormat="1" ht="13.5" thickBot="1" x14ac:dyDescent="0.25">
      <c r="A10" s="1758" t="s">
        <v>1235</v>
      </c>
      <c r="B10" s="1731"/>
      <c r="C10" s="1710">
        <f>SUM(C8:C9)</f>
        <v>3296902</v>
      </c>
      <c r="D10" s="1710">
        <f t="shared" ref="D10:K10" si="1">SUM(D8:D9)</f>
        <v>295520</v>
      </c>
      <c r="E10" s="1710">
        <f t="shared" si="1"/>
        <v>4342</v>
      </c>
      <c r="F10" s="1710">
        <f t="shared" si="1"/>
        <v>231434</v>
      </c>
      <c r="G10" s="1710">
        <f t="shared" si="1"/>
        <v>119707</v>
      </c>
      <c r="H10" s="1710">
        <f t="shared" si="1"/>
        <v>79677</v>
      </c>
      <c r="I10" s="1710">
        <f t="shared" si="1"/>
        <v>26757</v>
      </c>
      <c r="J10" s="1710">
        <f t="shared" si="1"/>
        <v>124946</v>
      </c>
      <c r="K10" s="1710">
        <f t="shared" si="1"/>
        <v>26757</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1596107</v>
      </c>
      <c r="D12" s="520" t="s">
        <v>1231</v>
      </c>
      <c r="E12" s="468" t="s">
        <v>1231</v>
      </c>
      <c r="F12" s="468" t="s">
        <v>1231</v>
      </c>
      <c r="G12" s="1764">
        <f>'Expenditures 15-22'!K229</f>
        <v>35376</v>
      </c>
      <c r="H12" s="521"/>
      <c r="I12" s="468" t="s">
        <v>1231</v>
      </c>
      <c r="J12" s="468" t="s">
        <v>1231</v>
      </c>
      <c r="K12" s="521" t="s">
        <v>1231</v>
      </c>
      <c r="L12" s="347"/>
    </row>
    <row r="13" spans="1:13" ht="15.75" customHeight="1" x14ac:dyDescent="0.2">
      <c r="A13" s="1598" t="s">
        <v>477</v>
      </c>
      <c r="B13" s="1600">
        <v>2000</v>
      </c>
      <c r="C13" s="1765">
        <f>'Expenditures 15-22'!K74</f>
        <v>844243</v>
      </c>
      <c r="D13" s="1765">
        <f>'Expenditures 15-22'!K129</f>
        <v>257474</v>
      </c>
      <c r="E13" s="469" t="s">
        <v>1231</v>
      </c>
      <c r="F13" s="1765">
        <f>'Expenditures 15-22'!K184</f>
        <v>164374</v>
      </c>
      <c r="G13" s="1765">
        <f>'Expenditures 15-22'!K279</f>
        <v>65518</v>
      </c>
      <c r="H13" s="1765">
        <f>'Expenditures 15-22'!K303</f>
        <v>0</v>
      </c>
      <c r="I13" s="468" t="s">
        <v>1231</v>
      </c>
      <c r="J13" s="1765">
        <f>'Expenditures 15-22'!K330</f>
        <v>123710</v>
      </c>
      <c r="K13" s="1769">
        <f>'Expenditures 15-22'!K352</f>
        <v>4827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92132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2532482</v>
      </c>
      <c r="D17" s="1710">
        <f t="shared" si="2"/>
        <v>257474</v>
      </c>
      <c r="E17" s="1710">
        <f t="shared" si="2"/>
        <v>0</v>
      </c>
      <c r="F17" s="1710">
        <f t="shared" si="2"/>
        <v>164374</v>
      </c>
      <c r="G17" s="1710">
        <f t="shared" si="2"/>
        <v>100894</v>
      </c>
      <c r="H17" s="1710">
        <f t="shared" si="2"/>
        <v>0</v>
      </c>
      <c r="I17" s="468"/>
      <c r="J17" s="1710">
        <f>SUM(J12:J16)</f>
        <v>123710</v>
      </c>
      <c r="K17" s="1710">
        <f>SUM(K12:K16)</f>
        <v>4827</v>
      </c>
      <c r="L17" s="347"/>
    </row>
    <row r="18" spans="1:12" ht="15" customHeight="1" thickTop="1" x14ac:dyDescent="0.2">
      <c r="A18" s="1766" t="s">
        <v>1753</v>
      </c>
      <c r="B18" s="1767">
        <v>4180</v>
      </c>
      <c r="C18" s="1764">
        <f t="shared" ref="C18:H18" si="3">C9</f>
        <v>310640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2843122</v>
      </c>
      <c r="D19" s="1710">
        <f t="shared" si="4"/>
        <v>257474</v>
      </c>
      <c r="E19" s="1710">
        <f t="shared" si="4"/>
        <v>0</v>
      </c>
      <c r="F19" s="1710">
        <f t="shared" si="4"/>
        <v>164374</v>
      </c>
      <c r="G19" s="1710">
        <f t="shared" si="4"/>
        <v>100894</v>
      </c>
      <c r="H19" s="1710">
        <f t="shared" si="4"/>
        <v>0</v>
      </c>
      <c r="I19" s="468"/>
      <c r="J19" s="1710">
        <f>SUM(J17:J18)</f>
        <v>123710</v>
      </c>
      <c r="K19" s="1710">
        <f>SUM(K17:K18)</f>
        <v>4827</v>
      </c>
      <c r="L19" s="347"/>
    </row>
    <row r="20" spans="1:12" ht="16.5" thickTop="1" thickBot="1" x14ac:dyDescent="0.25">
      <c r="A20" s="2143" t="s">
        <v>1754</v>
      </c>
      <c r="B20" s="2144"/>
      <c r="C20" s="1768">
        <f>C8-C17</f>
        <v>453780</v>
      </c>
      <c r="D20" s="1768">
        <f t="shared" ref="D20:K20" si="5">D8-D17</f>
        <v>38046</v>
      </c>
      <c r="E20" s="1768">
        <f t="shared" si="5"/>
        <v>4342</v>
      </c>
      <c r="F20" s="1768">
        <f t="shared" si="5"/>
        <v>67060</v>
      </c>
      <c r="G20" s="1768">
        <f t="shared" si="5"/>
        <v>18813</v>
      </c>
      <c r="H20" s="1768">
        <f t="shared" si="5"/>
        <v>79677</v>
      </c>
      <c r="I20" s="1768">
        <f t="shared" si="5"/>
        <v>26757</v>
      </c>
      <c r="J20" s="1768">
        <f t="shared" si="5"/>
        <v>1236</v>
      </c>
      <c r="K20" s="1768">
        <f t="shared" si="5"/>
        <v>21930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v>26757</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26757</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26757</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26757</v>
      </c>
      <c r="J76" s="1725">
        <f t="shared" si="7"/>
        <v>0</v>
      </c>
      <c r="K76" s="1725">
        <f t="shared" si="7"/>
        <v>0</v>
      </c>
      <c r="L76" s="524"/>
    </row>
    <row r="77" spans="1:12" ht="14.25" thickTop="1" thickBot="1" x14ac:dyDescent="0.25">
      <c r="A77" s="2135" t="s">
        <v>1239</v>
      </c>
      <c r="B77" s="2136"/>
      <c r="C77" s="1725">
        <f t="shared" ref="C77:K77" si="8">C44-C76</f>
        <v>26757</v>
      </c>
      <c r="D77" s="1725">
        <f t="shared" si="8"/>
        <v>0</v>
      </c>
      <c r="E77" s="1725">
        <f t="shared" si="8"/>
        <v>0</v>
      </c>
      <c r="F77" s="1725">
        <f t="shared" si="8"/>
        <v>0</v>
      </c>
      <c r="G77" s="1725">
        <f t="shared" si="8"/>
        <v>0</v>
      </c>
      <c r="H77" s="1725">
        <f t="shared" si="8"/>
        <v>0</v>
      </c>
      <c r="I77" s="1725">
        <f t="shared" si="8"/>
        <v>-26757</v>
      </c>
      <c r="J77" s="1725">
        <f t="shared" si="8"/>
        <v>0</v>
      </c>
      <c r="K77" s="1725">
        <f t="shared" si="8"/>
        <v>0</v>
      </c>
      <c r="L77" s="347"/>
    </row>
    <row r="78" spans="1:12" ht="21.75" customHeight="1" thickTop="1" thickBot="1" x14ac:dyDescent="0.25">
      <c r="A78" s="2139" t="s">
        <v>618</v>
      </c>
      <c r="B78" s="2140"/>
      <c r="C78" s="1724">
        <f t="shared" ref="C78:K78" si="9">C20+C77</f>
        <v>480537</v>
      </c>
      <c r="D78" s="1724">
        <f t="shared" si="9"/>
        <v>38046</v>
      </c>
      <c r="E78" s="1724">
        <f t="shared" si="9"/>
        <v>4342</v>
      </c>
      <c r="F78" s="1724">
        <f t="shared" si="9"/>
        <v>67060</v>
      </c>
      <c r="G78" s="1724">
        <f t="shared" si="9"/>
        <v>18813</v>
      </c>
      <c r="H78" s="1724">
        <f t="shared" si="9"/>
        <v>79677</v>
      </c>
      <c r="I78" s="1724">
        <f t="shared" si="9"/>
        <v>0</v>
      </c>
      <c r="J78" s="1724">
        <f t="shared" si="9"/>
        <v>1236</v>
      </c>
      <c r="K78" s="1724">
        <f t="shared" si="9"/>
        <v>21930</v>
      </c>
      <c r="L78" s="533"/>
    </row>
    <row r="79" spans="1:12" ht="13.5" thickTop="1" x14ac:dyDescent="0.2">
      <c r="A79" s="1516" t="s">
        <v>2073</v>
      </c>
      <c r="B79" s="534"/>
      <c r="C79" s="478">
        <v>862837</v>
      </c>
      <c r="D79" s="535">
        <v>233978</v>
      </c>
      <c r="E79" s="535">
        <v>377015</v>
      </c>
      <c r="F79" s="535">
        <v>80073</v>
      </c>
      <c r="G79" s="535">
        <v>74039</v>
      </c>
      <c r="H79" s="535"/>
      <c r="I79" s="535"/>
      <c r="J79" s="535">
        <v>8985</v>
      </c>
      <c r="K79" s="535">
        <v>48458</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1343374</v>
      </c>
      <c r="D81" s="1710">
        <f>SUM(D78:D80)</f>
        <v>272024</v>
      </c>
      <c r="E81" s="1710">
        <f t="shared" ref="E81:K81" si="10">SUM(E78:E80)</f>
        <v>381357</v>
      </c>
      <c r="F81" s="1710">
        <f t="shared" si="10"/>
        <v>147133</v>
      </c>
      <c r="G81" s="1710">
        <f t="shared" si="10"/>
        <v>92852</v>
      </c>
      <c r="H81" s="1710">
        <f t="shared" si="10"/>
        <v>79677</v>
      </c>
      <c r="I81" s="1710">
        <f t="shared" si="10"/>
        <v>0</v>
      </c>
      <c r="J81" s="1710">
        <f t="shared" si="10"/>
        <v>10221</v>
      </c>
      <c r="K81" s="1710">
        <f t="shared" si="10"/>
        <v>70388</v>
      </c>
      <c r="L81" s="347"/>
    </row>
    <row r="82" spans="1:12" ht="0.75" customHeight="1" thickTop="1" thickBot="1" x14ac:dyDescent="0.25">
      <c r="A82" s="536" t="s">
        <v>361</v>
      </c>
      <c r="B82" s="537"/>
      <c r="C82" s="538">
        <f>(C81-C79)</f>
        <v>480537</v>
      </c>
      <c r="D82" s="538">
        <f t="shared" ref="D82:K82" si="11">(D81-D79)</f>
        <v>38046</v>
      </c>
      <c r="E82" s="538">
        <f t="shared" si="11"/>
        <v>4342</v>
      </c>
      <c r="F82" s="538">
        <f t="shared" si="11"/>
        <v>67060</v>
      </c>
      <c r="G82" s="538">
        <f t="shared" si="11"/>
        <v>18813</v>
      </c>
      <c r="H82" s="538">
        <f t="shared" si="11"/>
        <v>79677</v>
      </c>
      <c r="I82" s="538">
        <f t="shared" si="11"/>
        <v>0</v>
      </c>
      <c r="J82" s="538">
        <f t="shared" si="11"/>
        <v>1236</v>
      </c>
      <c r="K82" s="538">
        <f t="shared" si="11"/>
        <v>21930</v>
      </c>
    </row>
    <row r="83" spans="1:12" ht="14.25" hidden="1" thickTop="1" thickBot="1" x14ac:dyDescent="0.25">
      <c r="A83" s="539" t="s">
        <v>362</v>
      </c>
      <c r="B83" s="464"/>
      <c r="C83" s="540">
        <f>C82/C81</f>
        <v>0.35770902220826067</v>
      </c>
      <c r="D83" s="540">
        <f t="shared" ref="D83:K83" si="12">D82/D81</f>
        <v>0.13986265917713142</v>
      </c>
      <c r="E83" s="540">
        <f t="shared" si="12"/>
        <v>1.1385657009049263E-2</v>
      </c>
      <c r="F83" s="540">
        <f t="shared" si="12"/>
        <v>0.4557781055235739</v>
      </c>
      <c r="G83" s="540">
        <f t="shared" si="12"/>
        <v>0.20261276009132814</v>
      </c>
      <c r="H83" s="540">
        <f t="shared" si="12"/>
        <v>1</v>
      </c>
      <c r="I83" s="540" t="e">
        <f t="shared" si="12"/>
        <v>#DIV/0!</v>
      </c>
      <c r="J83" s="540">
        <f t="shared" si="12"/>
        <v>0.12092750220135016</v>
      </c>
      <c r="K83" s="540">
        <f t="shared" si="12"/>
        <v>0.31155878842984602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4" activePane="bottomLeft" state="frozen"/>
      <selection activeCell="A47" sqref="A47"/>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1573327</v>
      </c>
      <c r="D5" s="481">
        <v>267573</v>
      </c>
      <c r="E5" s="466"/>
      <c r="F5" s="548">
        <v>107029</v>
      </c>
      <c r="G5" s="466">
        <v>53868</v>
      </c>
      <c r="H5" s="466"/>
      <c r="I5" s="466">
        <v>26757</v>
      </c>
      <c r="J5" s="467">
        <v>124946</v>
      </c>
      <c r="K5" s="466">
        <v>26757</v>
      </c>
    </row>
    <row r="6" spans="1:12" ht="15" x14ac:dyDescent="0.2">
      <c r="A6" s="463" t="s">
        <v>1761</v>
      </c>
      <c r="B6" s="470">
        <v>1130</v>
      </c>
      <c r="C6" s="466">
        <v>26757</v>
      </c>
      <c r="D6" s="466"/>
      <c r="E6" s="475"/>
      <c r="F6" s="475"/>
      <c r="G6" s="468"/>
      <c r="H6" s="468"/>
      <c r="I6" s="468"/>
      <c r="J6" s="468"/>
      <c r="K6" s="468"/>
    </row>
    <row r="7" spans="1:12" x14ac:dyDescent="0.2">
      <c r="A7" s="463" t="s">
        <v>112</v>
      </c>
      <c r="B7" s="549">
        <v>1140</v>
      </c>
      <c r="C7" s="466">
        <v>21406</v>
      </c>
      <c r="D7" s="466"/>
      <c r="E7" s="468"/>
      <c r="F7" s="467"/>
      <c r="G7" s="467"/>
      <c r="H7" s="467"/>
      <c r="I7" s="468"/>
      <c r="J7" s="468"/>
      <c r="K7" s="468"/>
    </row>
    <row r="8" spans="1:12" x14ac:dyDescent="0.2">
      <c r="A8" s="463" t="s">
        <v>433</v>
      </c>
      <c r="B8" s="470">
        <v>1150</v>
      </c>
      <c r="C8" s="475"/>
      <c r="D8" s="475"/>
      <c r="E8" s="477"/>
      <c r="F8" s="477"/>
      <c r="G8" s="481">
        <v>65839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1621490</v>
      </c>
      <c r="D12" s="1729">
        <f t="shared" si="0"/>
        <v>267573</v>
      </c>
      <c r="E12" s="1729">
        <f t="shared" si="0"/>
        <v>0</v>
      </c>
      <c r="F12" s="1729">
        <f t="shared" si="0"/>
        <v>107029</v>
      </c>
      <c r="G12" s="1729">
        <f t="shared" si="0"/>
        <v>119707</v>
      </c>
      <c r="H12" s="1729">
        <f t="shared" si="0"/>
        <v>0</v>
      </c>
      <c r="I12" s="1729">
        <f t="shared" si="0"/>
        <v>26757</v>
      </c>
      <c r="J12" s="1729">
        <f t="shared" si="0"/>
        <v>124946</v>
      </c>
      <c r="K12" s="1710">
        <f t="shared" si="0"/>
        <v>26757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124377</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124377</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400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400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4627</v>
      </c>
      <c r="D65" s="466"/>
      <c r="E65" s="466">
        <v>4342</v>
      </c>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4627</v>
      </c>
      <c r="D67" s="1710">
        <f t="shared" ref="D67:K67" si="2">SUM(D65:D66)</f>
        <v>0</v>
      </c>
      <c r="E67" s="1710">
        <f t="shared" si="2"/>
        <v>4342</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54079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14399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68478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12831</v>
      </c>
      <c r="D77" s="466"/>
      <c r="E77" s="468"/>
      <c r="F77" s="468"/>
      <c r="G77" s="468"/>
      <c r="H77" s="468"/>
      <c r="I77" s="468"/>
      <c r="J77" s="468"/>
      <c r="K77" s="468"/>
    </row>
    <row r="78" spans="1:11" ht="12.75" customHeight="1" x14ac:dyDescent="0.2">
      <c r="A78" s="463" t="s">
        <v>78</v>
      </c>
      <c r="B78" s="470">
        <v>1719</v>
      </c>
      <c r="C78" s="551">
        <v>3125</v>
      </c>
      <c r="D78" s="466"/>
      <c r="E78" s="468"/>
      <c r="F78" s="468"/>
      <c r="G78" s="468"/>
      <c r="H78" s="468"/>
      <c r="I78" s="468"/>
      <c r="J78" s="468"/>
      <c r="K78" s="468"/>
    </row>
    <row r="79" spans="1:11" ht="12.75" customHeight="1" x14ac:dyDescent="0.2">
      <c r="A79" s="463" t="s">
        <v>571</v>
      </c>
      <c r="B79" s="470">
        <v>1720</v>
      </c>
      <c r="C79" s="551">
        <v>7670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23626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16908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16908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40</v>
      </c>
      <c r="D96" s="551"/>
      <c r="E96" s="479"/>
      <c r="F96" s="478">
        <v>9100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46010</v>
      </c>
      <c r="D98" s="466">
        <v>9050</v>
      </c>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3865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79677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335</v>
      </c>
      <c r="D105" s="561"/>
      <c r="E105" s="468"/>
      <c r="F105" s="468"/>
      <c r="G105" s="468"/>
      <c r="H105" s="510"/>
      <c r="I105" s="468"/>
      <c r="J105" s="468"/>
      <c r="K105" s="468"/>
    </row>
    <row r="106" spans="1:12" ht="12.75" customHeight="1" x14ac:dyDescent="0.2">
      <c r="A106" s="463" t="s">
        <v>1505</v>
      </c>
      <c r="B106" s="470">
        <v>1993</v>
      </c>
      <c r="C106" s="466">
        <v>11866</v>
      </c>
      <c r="D106" s="489">
        <v>525</v>
      </c>
      <c r="E106" s="467"/>
      <c r="F106" s="467"/>
      <c r="G106" s="467"/>
      <c r="H106" s="467"/>
      <c r="I106" s="521"/>
      <c r="J106" s="467"/>
      <c r="K106" s="467"/>
    </row>
    <row r="107" spans="1:12" ht="12.75" customHeight="1" x14ac:dyDescent="0.2">
      <c r="A107" s="463" t="s">
        <v>80</v>
      </c>
      <c r="B107" s="470">
        <v>1999</v>
      </c>
      <c r="C107" s="551"/>
      <c r="D107" s="466"/>
      <c r="E107" s="466"/>
      <c r="F107" s="466">
        <v>3105</v>
      </c>
      <c r="G107" s="466"/>
      <c r="H107" s="466"/>
      <c r="I107" s="466"/>
      <c r="J107" s="467"/>
      <c r="K107" s="466"/>
    </row>
    <row r="108" spans="1:12" ht="12.75" customHeight="1" thickBot="1" x14ac:dyDescent="0.25">
      <c r="A108" s="1730" t="s">
        <v>508</v>
      </c>
      <c r="B108" s="1734"/>
      <c r="C108" s="1729">
        <f>SUM(C95:C107)</f>
        <v>62116</v>
      </c>
      <c r="D108" s="1729">
        <f t="shared" ref="D108:K108" si="3">SUM(D95:D107)</f>
        <v>9575</v>
      </c>
      <c r="E108" s="1729">
        <f t="shared" si="3"/>
        <v>0</v>
      </c>
      <c r="F108" s="1729">
        <f t="shared" si="3"/>
        <v>12205</v>
      </c>
      <c r="G108" s="1729">
        <f t="shared" si="3"/>
        <v>0</v>
      </c>
      <c r="H108" s="1729">
        <f t="shared" si="3"/>
        <v>79677</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1922022</v>
      </c>
      <c r="D109" s="1737">
        <f t="shared" si="4"/>
        <v>277148</v>
      </c>
      <c r="E109" s="1737">
        <f t="shared" si="4"/>
        <v>4342</v>
      </c>
      <c r="F109" s="1737">
        <f t="shared" si="4"/>
        <v>119234</v>
      </c>
      <c r="G109" s="1737">
        <f t="shared" si="4"/>
        <v>119707</v>
      </c>
      <c r="H109" s="1737">
        <f t="shared" si="4"/>
        <v>79677</v>
      </c>
      <c r="I109" s="1737">
        <f t="shared" si="4"/>
        <v>26757</v>
      </c>
      <c r="J109" s="1737">
        <f t="shared" si="4"/>
        <v>124946</v>
      </c>
      <c r="K109" s="1724">
        <f t="shared" si="4"/>
        <v>26757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569251</v>
      </c>
      <c r="D117" s="481">
        <v>18372</v>
      </c>
      <c r="E117" s="466"/>
      <c r="F117" s="481">
        <v>24000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569251</v>
      </c>
      <c r="D121" s="1729">
        <f t="shared" si="5"/>
        <v>18372</v>
      </c>
      <c r="E121" s="1729">
        <f t="shared" si="5"/>
        <v>0</v>
      </c>
      <c r="F121" s="1729">
        <f t="shared" si="5"/>
        <v>24000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21033</v>
      </c>
      <c r="D125" s="561"/>
      <c r="E125" s="468"/>
      <c r="F125" s="466"/>
      <c r="G125" s="468"/>
      <c r="H125" s="468"/>
      <c r="I125" s="468"/>
      <c r="J125" s="468"/>
      <c r="K125" s="468"/>
    </row>
    <row r="126" spans="1:11" ht="12.75" customHeight="1" x14ac:dyDescent="0.2">
      <c r="A126" s="463" t="s">
        <v>922</v>
      </c>
      <c r="B126" s="562">
        <v>3110</v>
      </c>
      <c r="C126" s="551">
        <v>38072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59105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13265</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1980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15245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1080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3918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28791</v>
      </c>
      <c r="G151" s="467"/>
      <c r="H151" s="468"/>
      <c r="I151" s="468"/>
      <c r="J151" s="468"/>
      <c r="K151" s="468"/>
    </row>
    <row r="152" spans="1:11" ht="12.75" customHeight="1" x14ac:dyDescent="0.2">
      <c r="A152" s="463" t="s">
        <v>1117</v>
      </c>
      <c r="B152" s="562">
        <v>3510</v>
      </c>
      <c r="C152" s="551"/>
      <c r="D152" s="466"/>
      <c r="E152" s="561"/>
      <c r="F152" s="466">
        <v>59409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88200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134060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51442</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264850</v>
      </c>
      <c r="D172" s="1744">
        <f t="shared" si="6"/>
        <v>0</v>
      </c>
      <c r="E172" s="1744">
        <f t="shared" si="6"/>
        <v>0</v>
      </c>
      <c r="F172" s="1744">
        <f t="shared" si="6"/>
        <v>88200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834101</v>
      </c>
      <c r="D173" s="1737">
        <f>SUM(D121,D172)</f>
        <v>18372</v>
      </c>
      <c r="E173" s="1737">
        <f>SUM(E121,E172)</f>
        <v>0</v>
      </c>
      <c r="F173" s="1737">
        <f t="shared" ref="F173:K173" si="7">SUM(F121,F172)</f>
        <v>112200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10983</v>
      </c>
      <c r="D183" s="466"/>
      <c r="E183" s="468"/>
      <c r="F183" s="466"/>
      <c r="G183" s="466"/>
      <c r="H183" s="466"/>
      <c r="I183" s="468"/>
      <c r="J183" s="468"/>
      <c r="K183" s="466"/>
    </row>
    <row r="184" spans="1:11" ht="13.5" thickBot="1" x14ac:dyDescent="0.25">
      <c r="A184" s="2169" t="s">
        <v>818</v>
      </c>
      <c r="B184" s="2170"/>
      <c r="C184" s="1729">
        <f>SUM(C180:C183)</f>
        <v>10983</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50798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30562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81360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76310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76310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23361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23361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15916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22209</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219156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230139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2986262</v>
      </c>
      <c r="D275" s="1737">
        <f t="shared" si="12"/>
        <v>295520</v>
      </c>
      <c r="E275" s="1737">
        <f t="shared" si="12"/>
        <v>4342</v>
      </c>
      <c r="F275" s="1737">
        <f t="shared" si="12"/>
        <v>231434</v>
      </c>
      <c r="G275" s="1737">
        <f t="shared" si="12"/>
        <v>119707</v>
      </c>
      <c r="H275" s="1737">
        <f t="shared" si="12"/>
        <v>79677</v>
      </c>
      <c r="I275" s="1737">
        <f t="shared" si="12"/>
        <v>26757</v>
      </c>
      <c r="J275" s="1737">
        <f t="shared" si="12"/>
        <v>124946</v>
      </c>
      <c r="K275" s="1724">
        <f t="shared" si="12"/>
        <v>26757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O46" sqref="O46:O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897425</v>
      </c>
      <c r="D5" s="466">
        <v>164059</v>
      </c>
      <c r="E5" s="466"/>
      <c r="F5" s="466">
        <v>26832</v>
      </c>
      <c r="G5" s="466"/>
      <c r="H5" s="466">
        <v>22678</v>
      </c>
      <c r="I5" s="467">
        <v>861</v>
      </c>
      <c r="J5" s="467"/>
      <c r="K5" s="1693">
        <f>SUM(C5:J5)</f>
        <v>1111855</v>
      </c>
      <c r="L5" s="466">
        <v>1181686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57201</v>
      </c>
      <c r="D7" s="467">
        <v>13095</v>
      </c>
      <c r="E7" s="467">
        <v>71</v>
      </c>
      <c r="F7" s="467">
        <v>25361</v>
      </c>
      <c r="G7" s="467"/>
      <c r="H7" s="467">
        <v>2985</v>
      </c>
      <c r="I7" s="467"/>
      <c r="J7" s="467"/>
      <c r="K7" s="1693">
        <f t="shared" ref="K7:K32" si="0">SUM(C7:J7)</f>
        <v>98713</v>
      </c>
      <c r="L7" s="466">
        <v>106867</v>
      </c>
    </row>
    <row r="8" spans="1:14" x14ac:dyDescent="0.2">
      <c r="A8" s="1526" t="s">
        <v>166</v>
      </c>
      <c r="B8" s="615">
        <v>1200</v>
      </c>
      <c r="C8" s="466">
        <v>203297</v>
      </c>
      <c r="D8" s="466">
        <v>40074</v>
      </c>
      <c r="E8" s="466"/>
      <c r="F8" s="466">
        <v>1812</v>
      </c>
      <c r="G8" s="466"/>
      <c r="H8" s="466">
        <v>720</v>
      </c>
      <c r="I8" s="467"/>
      <c r="J8" s="467"/>
      <c r="K8" s="1693">
        <f t="shared" si="0"/>
        <v>245903</v>
      </c>
      <c r="L8" s="466">
        <v>268600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40739</v>
      </c>
      <c r="D10" s="466">
        <v>13950</v>
      </c>
      <c r="E10" s="466"/>
      <c r="F10" s="466">
        <v>6248</v>
      </c>
      <c r="G10" s="466"/>
      <c r="H10" s="466">
        <v>2340</v>
      </c>
      <c r="I10" s="467"/>
      <c r="J10" s="467"/>
      <c r="K10" s="1693">
        <f t="shared" si="0"/>
        <v>63277</v>
      </c>
      <c r="L10" s="466">
        <v>83700</v>
      </c>
    </row>
    <row r="11" spans="1:14" x14ac:dyDescent="0.2">
      <c r="A11" s="1526" t="s">
        <v>1192</v>
      </c>
      <c r="B11" s="615" t="s">
        <v>163</v>
      </c>
      <c r="C11" s="467">
        <v>9591</v>
      </c>
      <c r="D11" s="467">
        <v>2069</v>
      </c>
      <c r="E11" s="467"/>
      <c r="F11" s="467"/>
      <c r="G11" s="467"/>
      <c r="H11" s="467"/>
      <c r="I11" s="467"/>
      <c r="J11" s="467"/>
      <c r="K11" s="1693">
        <f t="shared" si="0"/>
        <v>11660</v>
      </c>
      <c r="L11" s="466">
        <v>6000</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33404</v>
      </c>
      <c r="D14" s="466">
        <v>2314</v>
      </c>
      <c r="E14" s="466">
        <v>11171</v>
      </c>
      <c r="F14" s="466">
        <v>2988</v>
      </c>
      <c r="G14" s="466"/>
      <c r="H14" s="466">
        <v>6618</v>
      </c>
      <c r="I14" s="467"/>
      <c r="J14" s="467"/>
      <c r="K14" s="1693">
        <f t="shared" si="0"/>
        <v>56495</v>
      </c>
      <c r="L14" s="466">
        <v>72640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6607</v>
      </c>
      <c r="D17" s="467">
        <v>1597</v>
      </c>
      <c r="E17" s="467"/>
      <c r="F17" s="467"/>
      <c r="G17" s="467"/>
      <c r="H17" s="467"/>
      <c r="I17" s="467"/>
      <c r="J17" s="467"/>
      <c r="K17" s="1693">
        <f t="shared" si="0"/>
        <v>8204</v>
      </c>
      <c r="L17" s="466">
        <v>10200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1248264</v>
      </c>
      <c r="D33" s="1692">
        <f t="shared" ref="D33:L33" si="1">SUM(D5:D32)</f>
        <v>237158</v>
      </c>
      <c r="E33" s="1692">
        <f t="shared" si="1"/>
        <v>11242</v>
      </c>
      <c r="F33" s="1692">
        <f t="shared" si="1"/>
        <v>63241</v>
      </c>
      <c r="G33" s="1692">
        <f t="shared" si="1"/>
        <v>0</v>
      </c>
      <c r="H33" s="1692">
        <f t="shared" si="1"/>
        <v>35341</v>
      </c>
      <c r="I33" s="1692">
        <f t="shared" si="1"/>
        <v>861</v>
      </c>
      <c r="J33" s="1692">
        <f t="shared" si="1"/>
        <v>0</v>
      </c>
      <c r="K33" s="1692">
        <f t="shared" si="1"/>
        <v>1596107</v>
      </c>
      <c r="L33" s="1692">
        <f t="shared" si="1"/>
        <v>1729693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37970</v>
      </c>
      <c r="D37" s="466">
        <v>9173</v>
      </c>
      <c r="E37" s="466"/>
      <c r="F37" s="466"/>
      <c r="G37" s="466"/>
      <c r="H37" s="466">
        <v>1197</v>
      </c>
      <c r="I37" s="467"/>
      <c r="J37" s="467"/>
      <c r="K37" s="1693">
        <f t="shared" si="2"/>
        <v>48340</v>
      </c>
      <c r="L37" s="466">
        <v>49070</v>
      </c>
    </row>
    <row r="38" spans="1:14" x14ac:dyDescent="0.2">
      <c r="A38" s="1526" t="s">
        <v>207</v>
      </c>
      <c r="B38" s="615">
        <v>2130</v>
      </c>
      <c r="C38" s="466">
        <v>18128</v>
      </c>
      <c r="D38" s="466">
        <v>46</v>
      </c>
      <c r="E38" s="466">
        <v>25</v>
      </c>
      <c r="F38" s="466">
        <v>122</v>
      </c>
      <c r="G38" s="466"/>
      <c r="H38" s="466"/>
      <c r="I38" s="467"/>
      <c r="J38" s="467"/>
      <c r="K38" s="1693">
        <f t="shared" si="2"/>
        <v>18321</v>
      </c>
      <c r="L38" s="466">
        <v>19915</v>
      </c>
    </row>
    <row r="39" spans="1:14" x14ac:dyDescent="0.2">
      <c r="A39" s="1526" t="s">
        <v>208</v>
      </c>
      <c r="B39" s="615">
        <v>2140</v>
      </c>
      <c r="C39" s="466">
        <v>48065</v>
      </c>
      <c r="D39" s="466">
        <v>10405</v>
      </c>
      <c r="E39" s="466"/>
      <c r="F39" s="466">
        <v>2944</v>
      </c>
      <c r="G39" s="466"/>
      <c r="H39" s="466">
        <v>85</v>
      </c>
      <c r="I39" s="467"/>
      <c r="J39" s="467"/>
      <c r="K39" s="1693">
        <f t="shared" si="2"/>
        <v>61499</v>
      </c>
      <c r="L39" s="466">
        <v>62400</v>
      </c>
    </row>
    <row r="40" spans="1:14" x14ac:dyDescent="0.2">
      <c r="A40" s="1526" t="s">
        <v>209</v>
      </c>
      <c r="B40" s="615">
        <v>2150</v>
      </c>
      <c r="C40" s="466"/>
      <c r="D40" s="466"/>
      <c r="E40" s="466">
        <v>71668</v>
      </c>
      <c r="F40" s="466">
        <v>429</v>
      </c>
      <c r="G40" s="466"/>
      <c r="H40" s="466">
        <v>550</v>
      </c>
      <c r="I40" s="467"/>
      <c r="J40" s="467"/>
      <c r="K40" s="1693">
        <f t="shared" si="2"/>
        <v>72647</v>
      </c>
      <c r="L40" s="466">
        <v>77500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104163</v>
      </c>
      <c r="D42" s="1692">
        <f t="shared" ref="D42:L42" si="3">SUM(D36:D41)</f>
        <v>19624</v>
      </c>
      <c r="E42" s="1692">
        <f t="shared" si="3"/>
        <v>71693</v>
      </c>
      <c r="F42" s="1692">
        <f t="shared" si="3"/>
        <v>3495</v>
      </c>
      <c r="G42" s="1692">
        <f t="shared" si="3"/>
        <v>0</v>
      </c>
      <c r="H42" s="1692">
        <f t="shared" si="3"/>
        <v>1832</v>
      </c>
      <c r="I42" s="1692">
        <f t="shared" si="3"/>
        <v>0</v>
      </c>
      <c r="J42" s="1692">
        <f t="shared" si="3"/>
        <v>0</v>
      </c>
      <c r="K42" s="1692">
        <f t="shared" si="3"/>
        <v>200807</v>
      </c>
      <c r="L42" s="1692">
        <f t="shared" si="3"/>
        <v>208885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235</v>
      </c>
      <c r="F44" s="481"/>
      <c r="G44" s="481"/>
      <c r="H44" s="481"/>
      <c r="I44" s="467"/>
      <c r="J44" s="467"/>
      <c r="K44" s="1694">
        <f>SUM(C44:J44)</f>
        <v>235</v>
      </c>
      <c r="L44" s="481"/>
    </row>
    <row r="45" spans="1:14" x14ac:dyDescent="0.2">
      <c r="A45" s="1526" t="s">
        <v>869</v>
      </c>
      <c r="B45" s="615">
        <v>2220</v>
      </c>
      <c r="C45" s="466">
        <v>46097</v>
      </c>
      <c r="D45" s="466">
        <v>4493</v>
      </c>
      <c r="E45" s="466">
        <v>394</v>
      </c>
      <c r="F45" s="466">
        <v>1272</v>
      </c>
      <c r="G45" s="466"/>
      <c r="H45" s="466">
        <v>1660</v>
      </c>
      <c r="I45" s="467"/>
      <c r="J45" s="467"/>
      <c r="K45" s="1694">
        <f>SUM(C45:J45)</f>
        <v>53916</v>
      </c>
      <c r="L45" s="466">
        <v>56850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46097</v>
      </c>
      <c r="D47" s="1692">
        <f t="shared" ref="D47:K47" si="4">SUM(D44:D46)</f>
        <v>4493</v>
      </c>
      <c r="E47" s="1692">
        <f t="shared" si="4"/>
        <v>629</v>
      </c>
      <c r="F47" s="1692">
        <f t="shared" si="4"/>
        <v>1272</v>
      </c>
      <c r="G47" s="1692">
        <f t="shared" si="4"/>
        <v>0</v>
      </c>
      <c r="H47" s="1692">
        <f t="shared" si="4"/>
        <v>1660</v>
      </c>
      <c r="I47" s="1692">
        <f t="shared" si="4"/>
        <v>0</v>
      </c>
      <c r="J47" s="1692">
        <f t="shared" si="4"/>
        <v>0</v>
      </c>
      <c r="K47" s="1692">
        <f t="shared" si="4"/>
        <v>54151</v>
      </c>
      <c r="L47" s="1692">
        <f>SUM(L44:L46)</f>
        <v>56850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2500</v>
      </c>
      <c r="D49" s="481">
        <v>40870</v>
      </c>
      <c r="E49" s="481"/>
      <c r="F49" s="481">
        <v>220</v>
      </c>
      <c r="G49" s="481"/>
      <c r="H49" s="481">
        <v>3792</v>
      </c>
      <c r="I49" s="467"/>
      <c r="J49" s="467"/>
      <c r="K49" s="1694">
        <f>SUM(C49:J49)</f>
        <v>47382</v>
      </c>
      <c r="L49" s="481">
        <v>52750</v>
      </c>
    </row>
    <row r="50" spans="1:14" x14ac:dyDescent="0.2">
      <c r="A50" s="1526" t="s">
        <v>872</v>
      </c>
      <c r="B50" s="615">
        <v>2320</v>
      </c>
      <c r="C50" s="466">
        <v>104174</v>
      </c>
      <c r="D50" s="466">
        <v>112</v>
      </c>
      <c r="E50" s="466">
        <v>310</v>
      </c>
      <c r="F50" s="466">
        <v>5171</v>
      </c>
      <c r="G50" s="466"/>
      <c r="H50" s="466">
        <v>4380</v>
      </c>
      <c r="I50" s="467"/>
      <c r="J50" s="467"/>
      <c r="K50" s="1694">
        <f>SUM(C50:J50)</f>
        <v>114147</v>
      </c>
      <c r="L50" s="466">
        <v>126680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106674</v>
      </c>
      <c r="D53" s="1692">
        <f t="shared" ref="D53:L53" si="5">SUM(D49:D52)</f>
        <v>40982</v>
      </c>
      <c r="E53" s="1692">
        <f t="shared" si="5"/>
        <v>310</v>
      </c>
      <c r="F53" s="1692">
        <f t="shared" si="5"/>
        <v>5391</v>
      </c>
      <c r="G53" s="1692">
        <f t="shared" si="5"/>
        <v>0</v>
      </c>
      <c r="H53" s="1692">
        <f t="shared" si="5"/>
        <v>8172</v>
      </c>
      <c r="I53" s="1692">
        <f t="shared" si="5"/>
        <v>0</v>
      </c>
      <c r="J53" s="1692">
        <f t="shared" si="5"/>
        <v>0</v>
      </c>
      <c r="K53" s="1692">
        <f t="shared" si="5"/>
        <v>161529</v>
      </c>
      <c r="L53" s="1692">
        <f t="shared" si="5"/>
        <v>179430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142430</v>
      </c>
      <c r="D55" s="481">
        <v>19345</v>
      </c>
      <c r="E55" s="481">
        <v>13082</v>
      </c>
      <c r="F55" s="481">
        <v>2659</v>
      </c>
      <c r="G55" s="481"/>
      <c r="H55" s="481">
        <v>2674</v>
      </c>
      <c r="I55" s="467"/>
      <c r="J55" s="467"/>
      <c r="K55" s="1694">
        <f>SUM(C55:J55)</f>
        <v>180190</v>
      </c>
      <c r="L55" s="481">
        <v>186800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142430</v>
      </c>
      <c r="D57" s="1696">
        <f t="shared" ref="D57:K57" si="6">SUM(D55:D56)</f>
        <v>19345</v>
      </c>
      <c r="E57" s="1696">
        <f t="shared" si="6"/>
        <v>13082</v>
      </c>
      <c r="F57" s="1696">
        <f t="shared" si="6"/>
        <v>2659</v>
      </c>
      <c r="G57" s="1696">
        <f t="shared" si="6"/>
        <v>0</v>
      </c>
      <c r="H57" s="1696">
        <f t="shared" si="6"/>
        <v>2674</v>
      </c>
      <c r="I57" s="1696">
        <f t="shared" si="6"/>
        <v>0</v>
      </c>
      <c r="J57" s="1696">
        <f t="shared" si="6"/>
        <v>0</v>
      </c>
      <c r="K57" s="1696">
        <f t="shared" si="6"/>
        <v>180190</v>
      </c>
      <c r="L57" s="1692">
        <f>SUM(L55:L56)</f>
        <v>186800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45592</v>
      </c>
      <c r="D63" s="466">
        <v>3541</v>
      </c>
      <c r="E63" s="466">
        <v>2630</v>
      </c>
      <c r="F63" s="466">
        <v>94092</v>
      </c>
      <c r="G63" s="466"/>
      <c r="H63" s="466">
        <v>440</v>
      </c>
      <c r="I63" s="467"/>
      <c r="J63" s="467"/>
      <c r="K63" s="1694">
        <f t="shared" si="7"/>
        <v>146295</v>
      </c>
      <c r="L63" s="466">
        <v>153930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45592</v>
      </c>
      <c r="D65" s="1692">
        <f t="shared" ref="D65:L65" si="8">SUM(D59:D64)</f>
        <v>3541</v>
      </c>
      <c r="E65" s="1692">
        <f t="shared" si="8"/>
        <v>2630</v>
      </c>
      <c r="F65" s="1692">
        <f t="shared" si="8"/>
        <v>94092</v>
      </c>
      <c r="G65" s="1692">
        <f t="shared" si="8"/>
        <v>0</v>
      </c>
      <c r="H65" s="1692">
        <f t="shared" si="8"/>
        <v>440</v>
      </c>
      <c r="I65" s="1692">
        <f t="shared" si="8"/>
        <v>0</v>
      </c>
      <c r="J65" s="1692">
        <f t="shared" si="8"/>
        <v>0</v>
      </c>
      <c r="K65" s="1692">
        <f t="shared" si="8"/>
        <v>146295</v>
      </c>
      <c r="L65" s="1692">
        <f t="shared" si="8"/>
        <v>153930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8309</v>
      </c>
      <c r="D69" s="466">
        <v>2141</v>
      </c>
      <c r="E69" s="466">
        <v>80276</v>
      </c>
      <c r="F69" s="466">
        <v>4356</v>
      </c>
      <c r="G69" s="466"/>
      <c r="H69" s="466">
        <v>6189</v>
      </c>
      <c r="I69" s="467"/>
      <c r="J69" s="467"/>
      <c r="K69" s="1694">
        <f>SUM(C69:J69)</f>
        <v>101271</v>
      </c>
      <c r="L69" s="466">
        <v>116406</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8309</v>
      </c>
      <c r="D72" s="1692">
        <f t="shared" ref="D72:K72" si="9">SUM(D67:D71)</f>
        <v>2141</v>
      </c>
      <c r="E72" s="1692">
        <f t="shared" si="9"/>
        <v>80276</v>
      </c>
      <c r="F72" s="1692">
        <f t="shared" si="9"/>
        <v>4356</v>
      </c>
      <c r="G72" s="1692">
        <f t="shared" si="9"/>
        <v>0</v>
      </c>
      <c r="H72" s="1692">
        <f t="shared" si="9"/>
        <v>6189</v>
      </c>
      <c r="I72" s="1692">
        <f t="shared" si="9"/>
        <v>0</v>
      </c>
      <c r="J72" s="1692">
        <f t="shared" si="9"/>
        <v>0</v>
      </c>
      <c r="K72" s="1692">
        <f t="shared" si="9"/>
        <v>101271</v>
      </c>
      <c r="L72" s="1692">
        <f>SUM(L67:L71)</f>
        <v>116406</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453265</v>
      </c>
      <c r="D74" s="1699">
        <f t="shared" ref="D74:K74" si="10">SUM(D42,D47,D53,D57,D65,D72,D73)</f>
        <v>90126</v>
      </c>
      <c r="E74" s="1699">
        <f t="shared" si="10"/>
        <v>168620</v>
      </c>
      <c r="F74" s="1699">
        <f t="shared" si="10"/>
        <v>111265</v>
      </c>
      <c r="G74" s="1699">
        <f t="shared" si="10"/>
        <v>0</v>
      </c>
      <c r="H74" s="1699">
        <f t="shared" si="10"/>
        <v>20967</v>
      </c>
      <c r="I74" s="1699">
        <f t="shared" si="10"/>
        <v>0</v>
      </c>
      <c r="J74" s="1699">
        <f t="shared" si="10"/>
        <v>0</v>
      </c>
      <c r="K74" s="1699">
        <f t="shared" si="10"/>
        <v>844243</v>
      </c>
      <c r="L74" s="1699">
        <f>SUM(L42,L47,L53,L57,L65,L72,L73)</f>
        <v>902301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92132</v>
      </c>
      <c r="I86" s="477"/>
      <c r="J86" s="477"/>
      <c r="K86" s="1699">
        <f t="shared" ref="K86:K98" si="12">H86</f>
        <v>92132</v>
      </c>
      <c r="L86" s="530">
        <v>131000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92132</v>
      </c>
      <c r="I92" s="477"/>
      <c r="J92" s="477"/>
      <c r="K92" s="1699">
        <f t="shared" si="12"/>
        <v>92132</v>
      </c>
      <c r="L92" s="1692">
        <f>SUM(L85:L91)</f>
        <v>131000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92132</v>
      </c>
      <c r="I102" s="477"/>
      <c r="J102" s="477"/>
      <c r="K102" s="1699">
        <f>SUM(K84,K92,K100,K101)</f>
        <v>92132</v>
      </c>
      <c r="L102" s="1699">
        <f>SUM(L84,L92,L100,L101)</f>
        <v>131000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1701529</v>
      </c>
      <c r="D114" s="1692">
        <f t="shared" ref="D114:K114" si="13">SUM(D33,D74,D75,D102,D112,D113)</f>
        <v>327284</v>
      </c>
      <c r="E114" s="1692">
        <f t="shared" si="13"/>
        <v>179862</v>
      </c>
      <c r="F114" s="1692">
        <f t="shared" si="13"/>
        <v>174506</v>
      </c>
      <c r="G114" s="1692">
        <f t="shared" si="13"/>
        <v>0</v>
      </c>
      <c r="H114" s="1692">
        <f>SUM(H33,H74,H75,H102,H112,H113)</f>
        <v>148440</v>
      </c>
      <c r="I114" s="1692">
        <f t="shared" si="13"/>
        <v>861</v>
      </c>
      <c r="J114" s="1692">
        <f t="shared" si="13"/>
        <v>0</v>
      </c>
      <c r="K114" s="1692">
        <f t="shared" si="13"/>
        <v>2532482</v>
      </c>
      <c r="L114" s="1692">
        <f>SUM(L33,L74,L75,L102,L112,L113)</f>
        <v>2762994</v>
      </c>
    </row>
    <row r="115" spans="1:14" ht="13.5" thickTop="1" x14ac:dyDescent="0.2">
      <c r="A115" s="2173" t="s">
        <v>1053</v>
      </c>
      <c r="B115" s="2174"/>
      <c r="C115" s="619"/>
      <c r="D115" s="619"/>
      <c r="E115" s="619"/>
      <c r="F115" s="619"/>
      <c r="G115" s="619"/>
      <c r="H115" s="619"/>
      <c r="I115" s="619"/>
      <c r="J115" s="619"/>
      <c r="K115" s="1706">
        <f>'Revenues 9-14'!C275-'Expenditures 15-22'!K114</f>
        <v>453780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98134</v>
      </c>
      <c r="D124" s="466">
        <v>9344</v>
      </c>
      <c r="E124" s="466">
        <v>56691</v>
      </c>
      <c r="F124" s="466">
        <v>92161</v>
      </c>
      <c r="G124" s="466"/>
      <c r="H124" s="466"/>
      <c r="I124" s="467">
        <v>791</v>
      </c>
      <c r="J124" s="467"/>
      <c r="K124" s="1692">
        <f>SUM(C124:J124)</f>
        <v>257121</v>
      </c>
      <c r="L124" s="466">
        <v>275198</v>
      </c>
    </row>
    <row r="125" spans="1:14" ht="14.25" thickTop="1" thickBot="1" x14ac:dyDescent="0.25">
      <c r="A125" s="1526" t="s">
        <v>1010</v>
      </c>
      <c r="B125" s="615">
        <v>2550</v>
      </c>
      <c r="C125" s="466"/>
      <c r="D125" s="466"/>
      <c r="E125" s="466"/>
      <c r="F125" s="466">
        <v>353</v>
      </c>
      <c r="G125" s="466"/>
      <c r="H125" s="466"/>
      <c r="I125" s="467"/>
      <c r="J125" s="467"/>
      <c r="K125" s="1692">
        <f>SUM(C125:J125)</f>
        <v>353</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98134</v>
      </c>
      <c r="D127" s="1692">
        <f t="shared" ref="D127:L127" si="14">SUM(D122:D126)</f>
        <v>9344</v>
      </c>
      <c r="E127" s="1692">
        <f t="shared" si="14"/>
        <v>56691</v>
      </c>
      <c r="F127" s="1692">
        <f t="shared" si="14"/>
        <v>92514</v>
      </c>
      <c r="G127" s="1692">
        <f t="shared" si="14"/>
        <v>0</v>
      </c>
      <c r="H127" s="1692">
        <f t="shared" si="14"/>
        <v>0</v>
      </c>
      <c r="I127" s="1692">
        <f t="shared" si="14"/>
        <v>791</v>
      </c>
      <c r="J127" s="1692">
        <f t="shared" si="14"/>
        <v>0</v>
      </c>
      <c r="K127" s="1692">
        <f t="shared" si="14"/>
        <v>257474</v>
      </c>
      <c r="L127" s="1692">
        <f t="shared" si="14"/>
        <v>275198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98134</v>
      </c>
      <c r="D129" s="1699">
        <f t="shared" ref="D129:L129" si="15">SUM(D120,D127,D128)</f>
        <v>9344</v>
      </c>
      <c r="E129" s="1699">
        <f t="shared" si="15"/>
        <v>56691</v>
      </c>
      <c r="F129" s="1699">
        <f t="shared" si="15"/>
        <v>92514</v>
      </c>
      <c r="G129" s="1699">
        <f t="shared" si="15"/>
        <v>0</v>
      </c>
      <c r="H129" s="1699">
        <f t="shared" si="15"/>
        <v>0</v>
      </c>
      <c r="I129" s="1699">
        <f t="shared" si="15"/>
        <v>791</v>
      </c>
      <c r="J129" s="1699">
        <f t="shared" si="15"/>
        <v>0</v>
      </c>
      <c r="K129" s="1699">
        <f t="shared" si="15"/>
        <v>257474</v>
      </c>
      <c r="L129" s="1699">
        <f t="shared" si="15"/>
        <v>275198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98134</v>
      </c>
      <c r="D151" s="1692">
        <f t="shared" ref="D151:K151" si="16">SUM(D129,D130,D139,D149,D150)</f>
        <v>9344</v>
      </c>
      <c r="E151" s="1692">
        <f t="shared" si="16"/>
        <v>56691</v>
      </c>
      <c r="F151" s="1692">
        <f t="shared" si="16"/>
        <v>92514</v>
      </c>
      <c r="G151" s="1692">
        <f t="shared" si="16"/>
        <v>0</v>
      </c>
      <c r="H151" s="1692">
        <f t="shared" si="16"/>
        <v>0</v>
      </c>
      <c r="I151" s="1692">
        <f t="shared" si="16"/>
        <v>791</v>
      </c>
      <c r="J151" s="1692">
        <f t="shared" si="16"/>
        <v>0</v>
      </c>
      <c r="K151" s="1692">
        <f t="shared" si="16"/>
        <v>257474</v>
      </c>
      <c r="L151" s="1692">
        <f>SUM(L129,L130,L139,L149,L150)</f>
        <v>275198</v>
      </c>
    </row>
    <row r="152" spans="1:14" ht="12.75" customHeight="1" thickTop="1" x14ac:dyDescent="0.2">
      <c r="A152" s="2193" t="s">
        <v>1240</v>
      </c>
      <c r="B152" s="2194"/>
      <c r="C152" s="619"/>
      <c r="D152" s="619"/>
      <c r="E152" s="619"/>
      <c r="F152" s="619"/>
      <c r="G152" s="619"/>
      <c r="H152" s="619"/>
      <c r="I152" s="619"/>
      <c r="J152" s="617"/>
      <c r="K152" s="1706">
        <f>'Revenues 9-14'!D275-'Expenditures 15-22'!K151</f>
        <v>38046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3" t="s">
        <v>1053</v>
      </c>
      <c r="B175" s="2174"/>
      <c r="C175" s="617"/>
      <c r="D175" s="617"/>
      <c r="E175" s="617"/>
      <c r="F175" s="617"/>
      <c r="G175" s="617"/>
      <c r="H175" s="619"/>
      <c r="I175" s="617"/>
      <c r="J175" s="617"/>
      <c r="K175" s="1706">
        <f>'Revenues 9-14'!E275-'Expenditures 15-22'!K174</f>
        <v>4342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78480</v>
      </c>
      <c r="D182" s="466">
        <v>5748</v>
      </c>
      <c r="E182" s="466">
        <v>46860</v>
      </c>
      <c r="F182" s="466">
        <v>32744</v>
      </c>
      <c r="G182" s="466"/>
      <c r="H182" s="466">
        <v>542</v>
      </c>
      <c r="I182" s="467"/>
      <c r="J182" s="467"/>
      <c r="K182" s="1693">
        <f>SUM(C182:J182)</f>
        <v>164374</v>
      </c>
      <c r="L182" s="466">
        <v>182250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78480</v>
      </c>
      <c r="D184" s="1699">
        <f t="shared" ref="D184:J184" si="17">SUM(D180,D182,D183)</f>
        <v>5748</v>
      </c>
      <c r="E184" s="1699">
        <f t="shared" si="17"/>
        <v>46860</v>
      </c>
      <c r="F184" s="1699">
        <f t="shared" si="17"/>
        <v>32744</v>
      </c>
      <c r="G184" s="1699">
        <f t="shared" si="17"/>
        <v>0</v>
      </c>
      <c r="H184" s="1699">
        <f t="shared" si="17"/>
        <v>542</v>
      </c>
      <c r="I184" s="1699">
        <f t="shared" si="17"/>
        <v>0</v>
      </c>
      <c r="J184" s="1699">
        <f t="shared" si="17"/>
        <v>0</v>
      </c>
      <c r="K184" s="1699">
        <f>SUM(K180,K182,K183)</f>
        <v>164374</v>
      </c>
      <c r="L184" s="1699">
        <f>SUM(L180, L182:L183)</f>
        <v>182250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78480</v>
      </c>
      <c r="D210" s="1692">
        <f>SUM(D184,D185)</f>
        <v>5748</v>
      </c>
      <c r="E210" s="1692">
        <f>SUM(E184,E185,E196)</f>
        <v>46860</v>
      </c>
      <c r="F210" s="1692">
        <f>SUM(F184,F185)</f>
        <v>32744</v>
      </c>
      <c r="G210" s="1692">
        <f>SUM(G184,G185)</f>
        <v>0</v>
      </c>
      <c r="H210" s="1692">
        <f>SUM(H184,H185,H196,H208,H209)</f>
        <v>542</v>
      </c>
      <c r="I210" s="1692">
        <f>SUM(I184,I185)</f>
        <v>0</v>
      </c>
      <c r="J210" s="1692">
        <f>SUM(J184,J185)</f>
        <v>0</v>
      </c>
      <c r="K210" s="1693">
        <f>SUM(K184,K185,K196,K208,K209)</f>
        <v>164374</v>
      </c>
      <c r="L210" s="1692">
        <f>SUM(L184,L185,L196,L208,L209)</f>
        <v>182250</v>
      </c>
    </row>
    <row r="211" spans="1:14" ht="13.5" thickTop="1" x14ac:dyDescent="0.2">
      <c r="A211" s="2173" t="s">
        <v>1053</v>
      </c>
      <c r="B211" s="2174"/>
      <c r="C211" s="619"/>
      <c r="D211" s="619"/>
      <c r="E211" s="619"/>
      <c r="F211" s="619"/>
      <c r="G211" s="619"/>
      <c r="H211" s="619"/>
      <c r="I211" s="617"/>
      <c r="J211" s="617"/>
      <c r="K211" s="1706">
        <f>'Revenues 9-14'!F275-'Expenditures 15-22'!K210</f>
        <v>67060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17042</v>
      </c>
      <c r="E215" s="617"/>
      <c r="F215" s="617"/>
      <c r="G215" s="617"/>
      <c r="H215" s="617"/>
      <c r="I215" s="617"/>
      <c r="J215" s="617"/>
      <c r="K215" s="1693">
        <f>D215</f>
        <v>17042</v>
      </c>
      <c r="L215" s="466">
        <v>20650</v>
      </c>
    </row>
    <row r="216" spans="1:14" x14ac:dyDescent="0.2">
      <c r="A216" s="1526" t="s">
        <v>165</v>
      </c>
      <c r="B216" s="615" t="s">
        <v>1024</v>
      </c>
      <c r="C216" s="617"/>
      <c r="D216" s="467">
        <v>3172</v>
      </c>
      <c r="E216" s="617"/>
      <c r="F216" s="617"/>
      <c r="G216" s="617"/>
      <c r="H216" s="617"/>
      <c r="I216" s="617"/>
      <c r="J216" s="617"/>
      <c r="K216" s="1693">
        <f t="shared" ref="K216:K228" si="19">D216</f>
        <v>3172</v>
      </c>
      <c r="L216" s="466">
        <v>4000</v>
      </c>
    </row>
    <row r="217" spans="1:14" x14ac:dyDescent="0.2">
      <c r="A217" s="1526" t="s">
        <v>166</v>
      </c>
      <c r="B217" s="615">
        <v>1200</v>
      </c>
      <c r="C217" s="617"/>
      <c r="D217" s="466">
        <v>10675</v>
      </c>
      <c r="E217" s="617"/>
      <c r="F217" s="617"/>
      <c r="G217" s="617"/>
      <c r="H217" s="617"/>
      <c r="I217" s="617"/>
      <c r="J217" s="617"/>
      <c r="K217" s="1693">
        <f t="shared" si="19"/>
        <v>10675</v>
      </c>
      <c r="L217" s="466">
        <v>12000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1385</v>
      </c>
      <c r="E219" s="617"/>
      <c r="F219" s="617"/>
      <c r="G219" s="617"/>
      <c r="H219" s="617"/>
      <c r="I219" s="617"/>
      <c r="J219" s="617"/>
      <c r="K219" s="1693">
        <f t="shared" si="19"/>
        <v>1385</v>
      </c>
      <c r="L219" s="466">
        <v>2300</v>
      </c>
    </row>
    <row r="220" spans="1:14" x14ac:dyDescent="0.2">
      <c r="A220" s="1526" t="s">
        <v>298</v>
      </c>
      <c r="B220" s="615" t="s">
        <v>163</v>
      </c>
      <c r="C220" s="617"/>
      <c r="D220" s="467">
        <v>1463</v>
      </c>
      <c r="E220" s="617"/>
      <c r="F220" s="617"/>
      <c r="G220" s="617"/>
      <c r="H220" s="617"/>
      <c r="I220" s="617"/>
      <c r="J220" s="617"/>
      <c r="K220" s="1693">
        <f t="shared" si="19"/>
        <v>1463</v>
      </c>
      <c r="L220" s="466">
        <v>1000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1543</v>
      </c>
      <c r="E223" s="617"/>
      <c r="F223" s="617"/>
      <c r="G223" s="617"/>
      <c r="H223" s="617"/>
      <c r="I223" s="617"/>
      <c r="J223" s="617"/>
      <c r="K223" s="1693">
        <f t="shared" si="19"/>
        <v>1543</v>
      </c>
      <c r="L223" s="466">
        <v>1800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96</v>
      </c>
      <c r="E226" s="617"/>
      <c r="F226" s="617"/>
      <c r="G226" s="617"/>
      <c r="H226" s="617"/>
      <c r="I226" s="617"/>
      <c r="J226" s="617"/>
      <c r="K226" s="1693">
        <f t="shared" si="19"/>
        <v>96</v>
      </c>
      <c r="L226" s="466">
        <v>200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35376</v>
      </c>
      <c r="E229" s="617"/>
      <c r="F229" s="617"/>
      <c r="G229" s="617"/>
      <c r="H229" s="617"/>
      <c r="I229" s="617"/>
      <c r="J229" s="617"/>
      <c r="K229" s="1692">
        <f>SUM(K215:K228)</f>
        <v>35376</v>
      </c>
      <c r="L229" s="1692">
        <f>SUM(L215:L228)</f>
        <v>41950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551</v>
      </c>
      <c r="E233" s="617"/>
      <c r="F233" s="617"/>
      <c r="G233" s="617"/>
      <c r="H233" s="617"/>
      <c r="I233" s="617"/>
      <c r="J233" s="617"/>
      <c r="K233" s="1693">
        <f t="shared" si="20"/>
        <v>551</v>
      </c>
      <c r="L233" s="466">
        <v>600</v>
      </c>
    </row>
    <row r="234" spans="1:12" x14ac:dyDescent="0.2">
      <c r="A234" s="1526" t="s">
        <v>207</v>
      </c>
      <c r="B234" s="615">
        <v>2130</v>
      </c>
      <c r="C234" s="617"/>
      <c r="D234" s="466">
        <v>2717</v>
      </c>
      <c r="E234" s="617"/>
      <c r="F234" s="617"/>
      <c r="G234" s="617"/>
      <c r="H234" s="617"/>
      <c r="I234" s="617"/>
      <c r="J234" s="617"/>
      <c r="K234" s="1693">
        <f t="shared" si="20"/>
        <v>2717</v>
      </c>
      <c r="L234" s="466">
        <v>3100</v>
      </c>
    </row>
    <row r="235" spans="1:12" x14ac:dyDescent="0.2">
      <c r="A235" s="1526" t="s">
        <v>208</v>
      </c>
      <c r="B235" s="615">
        <v>2140</v>
      </c>
      <c r="C235" s="617"/>
      <c r="D235" s="466">
        <v>697</v>
      </c>
      <c r="E235" s="617"/>
      <c r="F235" s="617"/>
      <c r="G235" s="617"/>
      <c r="H235" s="617"/>
      <c r="I235" s="617"/>
      <c r="J235" s="617"/>
      <c r="K235" s="1693">
        <f t="shared" si="20"/>
        <v>697</v>
      </c>
      <c r="L235" s="466">
        <v>800</v>
      </c>
    </row>
    <row r="236" spans="1:12" x14ac:dyDescent="0.2">
      <c r="A236" s="1526" t="s">
        <v>209</v>
      </c>
      <c r="B236" s="615">
        <v>2150</v>
      </c>
      <c r="C236" s="617"/>
      <c r="D236" s="466"/>
      <c r="E236" s="617"/>
      <c r="F236" s="617"/>
      <c r="G236" s="617"/>
      <c r="H236" s="617"/>
      <c r="I236" s="617"/>
      <c r="J236" s="617"/>
      <c r="K236" s="1693">
        <f t="shared" si="20"/>
        <v>0</v>
      </c>
      <c r="L236" s="466">
        <v>200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3965</v>
      </c>
      <c r="E238" s="617"/>
      <c r="F238" s="617"/>
      <c r="G238" s="617"/>
      <c r="H238" s="617"/>
      <c r="I238" s="617"/>
      <c r="J238" s="617"/>
      <c r="K238" s="1692">
        <f>SUM(K232:K237)</f>
        <v>3965</v>
      </c>
      <c r="L238" s="1692">
        <f>SUM(L232:L237)</f>
        <v>4700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2240</v>
      </c>
      <c r="E241" s="617"/>
      <c r="F241" s="617"/>
      <c r="G241" s="617"/>
      <c r="H241" s="617"/>
      <c r="I241" s="617"/>
      <c r="J241" s="617"/>
      <c r="K241" s="1694">
        <f>D241</f>
        <v>2240</v>
      </c>
      <c r="L241" s="466">
        <v>3000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2240</v>
      </c>
      <c r="E243" s="617"/>
      <c r="F243" s="617"/>
      <c r="G243" s="617"/>
      <c r="H243" s="617"/>
      <c r="I243" s="617"/>
      <c r="J243" s="617"/>
      <c r="K243" s="1692">
        <f>SUM(K240:K242)</f>
        <v>2240</v>
      </c>
      <c r="L243" s="1692">
        <f>SUM(L240:L242)</f>
        <v>3000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191</v>
      </c>
      <c r="E245" s="617"/>
      <c r="F245" s="617"/>
      <c r="G245" s="617"/>
      <c r="H245" s="617"/>
      <c r="I245" s="617"/>
      <c r="J245" s="617"/>
      <c r="K245" s="1694">
        <f>D245</f>
        <v>191</v>
      </c>
      <c r="L245" s="481">
        <v>300</v>
      </c>
    </row>
    <row r="246" spans="1:12" x14ac:dyDescent="0.2">
      <c r="A246" s="1526" t="s">
        <v>872</v>
      </c>
      <c r="B246" s="615">
        <v>2320</v>
      </c>
      <c r="C246" s="617"/>
      <c r="D246" s="466">
        <v>8849</v>
      </c>
      <c r="E246" s="617"/>
      <c r="F246" s="617"/>
      <c r="G246" s="617"/>
      <c r="H246" s="617"/>
      <c r="I246" s="617"/>
      <c r="J246" s="617"/>
      <c r="K246" s="1694">
        <f t="shared" ref="K246:K256" si="21">D246</f>
        <v>8849</v>
      </c>
      <c r="L246" s="466">
        <v>10000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8308</v>
      </c>
      <c r="E252" s="617"/>
      <c r="F252" s="617"/>
      <c r="G252" s="617"/>
      <c r="H252" s="617"/>
      <c r="I252" s="617"/>
      <c r="J252" s="617"/>
      <c r="K252" s="1694">
        <f t="shared" si="21"/>
        <v>8308</v>
      </c>
      <c r="L252" s="466">
        <v>9500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17348</v>
      </c>
      <c r="E257" s="617"/>
      <c r="F257" s="617"/>
      <c r="G257" s="617"/>
      <c r="H257" s="617"/>
      <c r="I257" s="617"/>
      <c r="J257" s="617"/>
      <c r="K257" s="1692">
        <f>SUM(K245:K256)</f>
        <v>17348</v>
      </c>
      <c r="L257" s="1692">
        <f>SUM(L245:L256)</f>
        <v>19800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10144</v>
      </c>
      <c r="E259" s="617"/>
      <c r="F259" s="617"/>
      <c r="G259" s="617"/>
      <c r="H259" s="617"/>
      <c r="I259" s="617"/>
      <c r="J259" s="617"/>
      <c r="K259" s="1694">
        <f>D259</f>
        <v>10144</v>
      </c>
      <c r="L259" s="481">
        <v>11450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10144</v>
      </c>
      <c r="E261" s="617"/>
      <c r="F261" s="617"/>
      <c r="G261" s="617"/>
      <c r="H261" s="617"/>
      <c r="I261" s="617"/>
      <c r="J261" s="617"/>
      <c r="K261" s="1692">
        <f>SUM(K259:K260)</f>
        <v>10144</v>
      </c>
      <c r="L261" s="1692">
        <f>SUM(L259:L260)</f>
        <v>11450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14588</v>
      </c>
      <c r="E266" s="617"/>
      <c r="F266" s="617"/>
      <c r="G266" s="617"/>
      <c r="H266" s="617"/>
      <c r="I266" s="617"/>
      <c r="J266" s="617"/>
      <c r="K266" s="1694">
        <f t="shared" si="22"/>
        <v>14588</v>
      </c>
      <c r="L266" s="466">
        <v>15500</v>
      </c>
    </row>
    <row r="267" spans="1:14" x14ac:dyDescent="0.2">
      <c r="A267" s="1526" t="s">
        <v>1010</v>
      </c>
      <c r="B267" s="615">
        <v>2550</v>
      </c>
      <c r="C267" s="617"/>
      <c r="D267" s="466">
        <v>10725</v>
      </c>
      <c r="E267" s="617"/>
      <c r="F267" s="617"/>
      <c r="G267" s="617"/>
      <c r="H267" s="617"/>
      <c r="I267" s="617"/>
      <c r="J267" s="617"/>
      <c r="K267" s="1694">
        <f t="shared" si="22"/>
        <v>10725</v>
      </c>
      <c r="L267" s="466">
        <v>13500</v>
      </c>
    </row>
    <row r="268" spans="1:14" x14ac:dyDescent="0.2">
      <c r="A268" s="1526" t="s">
        <v>102</v>
      </c>
      <c r="B268" s="615">
        <v>2560</v>
      </c>
      <c r="C268" s="617"/>
      <c r="D268" s="466">
        <v>6387</v>
      </c>
      <c r="E268" s="617"/>
      <c r="F268" s="617"/>
      <c r="G268" s="617"/>
      <c r="H268" s="617"/>
      <c r="I268" s="617"/>
      <c r="J268" s="617"/>
      <c r="K268" s="1694">
        <f t="shared" si="22"/>
        <v>6387</v>
      </c>
      <c r="L268" s="466">
        <v>8800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31700</v>
      </c>
      <c r="E270" s="617"/>
      <c r="F270" s="617"/>
      <c r="G270" s="617"/>
      <c r="H270" s="617"/>
      <c r="I270" s="617"/>
      <c r="J270" s="617"/>
      <c r="K270" s="1692">
        <f>SUM(K263:K269)</f>
        <v>31700</v>
      </c>
      <c r="L270" s="1692">
        <f>SUM(L263:L269)</f>
        <v>37800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121</v>
      </c>
      <c r="E274" s="617"/>
      <c r="F274" s="617"/>
      <c r="G274" s="617"/>
      <c r="H274" s="617"/>
      <c r="I274" s="617"/>
      <c r="J274" s="617"/>
      <c r="K274" s="1694">
        <f>D274</f>
        <v>121</v>
      </c>
      <c r="L274" s="466">
        <v>250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121</v>
      </c>
      <c r="E277" s="617"/>
      <c r="F277" s="617"/>
      <c r="G277" s="617"/>
      <c r="H277" s="617"/>
      <c r="I277" s="617"/>
      <c r="J277" s="617"/>
      <c r="K277" s="1692">
        <f>SUM(K272:K276)</f>
        <v>121</v>
      </c>
      <c r="L277" s="1692">
        <f>SUM(L272:L276)</f>
        <v>250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65518</v>
      </c>
      <c r="E279" s="617"/>
      <c r="F279" s="617"/>
      <c r="G279" s="617"/>
      <c r="H279" s="617"/>
      <c r="I279" s="617"/>
      <c r="J279" s="617"/>
      <c r="K279" s="1699">
        <f>SUM(K238,K243,K257,K261,K270,K277,K278)</f>
        <v>65518</v>
      </c>
      <c r="L279" s="1699">
        <f>SUM(L238,L243,L257,L261,L270,L277,L278)</f>
        <v>77000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100894</v>
      </c>
      <c r="E295" s="617"/>
      <c r="F295" s="617"/>
      <c r="G295" s="617"/>
      <c r="H295" s="1692">
        <f>H293</f>
        <v>0</v>
      </c>
      <c r="I295" s="617"/>
      <c r="J295" s="617"/>
      <c r="K295" s="1692">
        <f>SUM(K229,K279,K280,K285,K293,K294)</f>
        <v>100894</v>
      </c>
      <c r="L295" s="1692">
        <f>SUM(L229,L279,L280,L285,L293,L294)</f>
        <v>118950</v>
      </c>
    </row>
    <row r="296" spans="1:14" ht="13.5" thickTop="1" x14ac:dyDescent="0.2">
      <c r="A296" s="2173" t="s">
        <v>1053</v>
      </c>
      <c r="B296" s="2174"/>
      <c r="C296" s="617"/>
      <c r="D296" s="619"/>
      <c r="E296" s="617"/>
      <c r="F296" s="617"/>
      <c r="G296" s="617"/>
      <c r="H296" s="688"/>
      <c r="I296" s="617"/>
      <c r="J296" s="617"/>
      <c r="K296" s="1706">
        <f>'Revenues 9-14'!G275-'Expenditures 15-22'!K295</f>
        <v>18813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65000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65000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65000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79677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18862</v>
      </c>
      <c r="F320" s="467"/>
      <c r="G320" s="467"/>
      <c r="H320" s="467"/>
      <c r="I320" s="467"/>
      <c r="J320" s="467"/>
      <c r="K320" s="1693">
        <f t="shared" ref="K320:K327" si="24">SUM(C320:J320)</f>
        <v>18862</v>
      </c>
      <c r="L320" s="467">
        <v>18151</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92994</v>
      </c>
      <c r="D323" s="467">
        <v>10913</v>
      </c>
      <c r="E323" s="467">
        <v>941</v>
      </c>
      <c r="F323" s="467"/>
      <c r="G323" s="467"/>
      <c r="H323" s="467"/>
      <c r="I323" s="467"/>
      <c r="J323" s="467"/>
      <c r="K323" s="1693">
        <f t="shared" si="24"/>
        <v>104848</v>
      </c>
      <c r="L323" s="467">
        <v>105700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2500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92994</v>
      </c>
      <c r="D330" s="1692">
        <f t="shared" ref="D330:J330" si="25">SUM(D319:D329)</f>
        <v>10913</v>
      </c>
      <c r="E330" s="1692">
        <f t="shared" si="25"/>
        <v>19803</v>
      </c>
      <c r="F330" s="1692">
        <f t="shared" si="25"/>
        <v>0</v>
      </c>
      <c r="G330" s="1692">
        <f t="shared" si="25"/>
        <v>0</v>
      </c>
      <c r="H330" s="1692">
        <f t="shared" si="25"/>
        <v>0</v>
      </c>
      <c r="I330" s="1692">
        <f t="shared" si="25"/>
        <v>0</v>
      </c>
      <c r="J330" s="1692">
        <f t="shared" si="25"/>
        <v>0</v>
      </c>
      <c r="K330" s="1692">
        <f>SUM(K319:K329)</f>
        <v>123710</v>
      </c>
      <c r="L330" s="1692">
        <f>SUM(L319:L329)</f>
        <v>132351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92994</v>
      </c>
      <c r="D342" s="1692">
        <f>SUM(D330)</f>
        <v>10913</v>
      </c>
      <c r="E342" s="1692">
        <f>SUM(E330)</f>
        <v>19803</v>
      </c>
      <c r="F342" s="1692">
        <f>SUM(F330)</f>
        <v>0</v>
      </c>
      <c r="G342" s="1692">
        <f>SUM(G330)</f>
        <v>0</v>
      </c>
      <c r="H342" s="1692">
        <f>SUM(H330,H334,H340)</f>
        <v>0</v>
      </c>
      <c r="I342" s="1692">
        <f>SUM(I330)</f>
        <v>0</v>
      </c>
      <c r="J342" s="1692">
        <f>SUM(J330)</f>
        <v>0</v>
      </c>
      <c r="K342" s="1692">
        <f>SUM(K330,K334,K340)</f>
        <v>123710</v>
      </c>
      <c r="L342" s="1699">
        <f>SUM(L330,L340,L341)</f>
        <v>132351</v>
      </c>
    </row>
    <row r="343" spans="1:14" ht="12.75" customHeight="1" thickTop="1" x14ac:dyDescent="0.2">
      <c r="A343" s="2186" t="s">
        <v>1053</v>
      </c>
      <c r="B343" s="2187"/>
      <c r="C343" s="617"/>
      <c r="D343" s="617"/>
      <c r="E343" s="617"/>
      <c r="F343" s="617"/>
      <c r="G343" s="617"/>
      <c r="H343" s="617"/>
      <c r="I343" s="617"/>
      <c r="J343" s="617"/>
      <c r="K343" s="1706">
        <f>'Revenues 9-14'!J275-'Expenditures 15-22'!K342</f>
        <v>1236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4827</v>
      </c>
      <c r="F349" s="466"/>
      <c r="G349" s="466"/>
      <c r="H349" s="466"/>
      <c r="I349" s="467"/>
      <c r="J349" s="467"/>
      <c r="K349" s="1693">
        <f>SUM(C349:J349)</f>
        <v>4827</v>
      </c>
      <c r="L349" s="466">
        <v>70000</v>
      </c>
    </row>
    <row r="350" spans="1:14" ht="12.75" customHeight="1" thickBot="1" x14ac:dyDescent="0.25">
      <c r="A350" s="1690" t="s">
        <v>743</v>
      </c>
      <c r="B350" s="1691" t="s">
        <v>35</v>
      </c>
      <c r="C350" s="1692">
        <f>SUM(C348:C349)</f>
        <v>0</v>
      </c>
      <c r="D350" s="1692">
        <f t="shared" ref="D350:L350" si="26">SUM(D348:D349)</f>
        <v>0</v>
      </c>
      <c r="E350" s="1692">
        <f t="shared" si="26"/>
        <v>4827</v>
      </c>
      <c r="F350" s="1692">
        <f t="shared" si="26"/>
        <v>0</v>
      </c>
      <c r="G350" s="1692">
        <f t="shared" si="26"/>
        <v>0</v>
      </c>
      <c r="H350" s="1692">
        <f t="shared" si="26"/>
        <v>0</v>
      </c>
      <c r="I350" s="1692">
        <f t="shared" si="26"/>
        <v>0</v>
      </c>
      <c r="J350" s="1692">
        <f t="shared" si="26"/>
        <v>0</v>
      </c>
      <c r="K350" s="1692">
        <f t="shared" si="26"/>
        <v>4827</v>
      </c>
      <c r="L350" s="1692">
        <f t="shared" si="26"/>
        <v>70000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4827</v>
      </c>
      <c r="F352" s="1692">
        <f t="shared" si="27"/>
        <v>0</v>
      </c>
      <c r="G352" s="1692">
        <f t="shared" si="27"/>
        <v>0</v>
      </c>
      <c r="H352" s="1692">
        <f t="shared" si="27"/>
        <v>0</v>
      </c>
      <c r="I352" s="1692">
        <f t="shared" si="27"/>
        <v>0</v>
      </c>
      <c r="J352" s="1692">
        <f t="shared" si="27"/>
        <v>0</v>
      </c>
      <c r="K352" s="1692">
        <f t="shared" si="27"/>
        <v>4827</v>
      </c>
      <c r="L352" s="1692">
        <f t="shared" si="27"/>
        <v>70000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4827</v>
      </c>
      <c r="F367" s="1692">
        <f t="shared" si="28"/>
        <v>0</v>
      </c>
      <c r="G367" s="1692">
        <f t="shared" si="28"/>
        <v>0</v>
      </c>
      <c r="H367" s="1692">
        <f t="shared" si="28"/>
        <v>0</v>
      </c>
      <c r="I367" s="1692">
        <f t="shared" si="28"/>
        <v>0</v>
      </c>
      <c r="J367" s="1692">
        <f t="shared" si="28"/>
        <v>0</v>
      </c>
      <c r="K367" s="1692">
        <f t="shared" si="28"/>
        <v>4827</v>
      </c>
      <c r="L367" s="1692">
        <f t="shared" si="28"/>
        <v>70000</v>
      </c>
    </row>
    <row r="368" spans="1:14" ht="13.5" thickTop="1" x14ac:dyDescent="0.2">
      <c r="A368" s="2173" t="s">
        <v>1053</v>
      </c>
      <c r="B368" s="2174"/>
      <c r="C368" s="655"/>
      <c r="D368" s="655"/>
      <c r="E368" s="627"/>
      <c r="F368" s="627"/>
      <c r="G368" s="627"/>
      <c r="H368" s="627"/>
      <c r="I368" s="627"/>
      <c r="J368" s="624"/>
      <c r="K368" s="1693">
        <f>'Revenues 9-14'!K275-'Expenditures 15-22'!K367</f>
        <v>21930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4d435f69-8686-490b-bd6d-b153bf22ab50"/>
    <ds:schemaRef ds:uri="d21dc803-237d-4c68-8692-8d731fd29118"/>
    <ds:schemaRef ds:uri="http://purl.org/dc/terms/"/>
    <ds:schemaRef ds:uri="http://schemas.openxmlformats.org/package/2006/metadata/core-propertie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2018-10-02T18:02:56Z</cp:lastPrinted>
  <dcterms:created xsi:type="dcterms:W3CDTF">2003-10-29T19:06:34Z</dcterms:created>
  <dcterms:modified xsi:type="dcterms:W3CDTF">2018-10-12T15:38:11Z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