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3)" sheetId="184" r:id="rId28"/>
    <sheet name=" SEFA" sheetId="179" r:id="rId29"/>
    <sheet name=" SEFA (2)" sheetId="183" r:id="rId30"/>
    <sheet name="SEFA NOTES" sheetId="173" r:id="rId31"/>
    <sheet name="SF&amp;QC Sec-1" sheetId="174" r:id="rId32"/>
    <sheet name="SF&amp;QC Sec-2" sheetId="175" r:id="rId33"/>
    <sheet name="SF&amp;QC Sec-2 (1)" sheetId="186" r:id="rId34"/>
    <sheet name="SF&amp;QC Sec-2 (2)" sheetId="185" r:id="rId35"/>
    <sheet name="SF&amp;QC Sec-3 (2)" sheetId="187" r:id="rId36"/>
    <sheet name="SSPAF" sheetId="177" r:id="rId37"/>
  </sheets>
  <externalReferences>
    <externalReference r:id="rId38"/>
  </externalReferences>
  <definedNames>
    <definedName name="_xlnm.Print_Area" localSheetId="28">' SEFA'!$B$1:$M$45</definedName>
    <definedName name="_xlnm.Print_Area" localSheetId="29">' SEFA (2)'!$B$1:$M$46</definedName>
    <definedName name="_xlnm.Print_Area" localSheetId="27">' SEFA (3)'!$B$1:$M$45</definedName>
    <definedName name="_xlnm.Print_Area" localSheetId="30">'SEFA NOTES'!$A$1:$F$41</definedName>
    <definedName name="_xlnm.Print_Area" localSheetId="26">'SEFA Reconcile'!$A$1:$E$49</definedName>
    <definedName name="_xlnm.Print_Area" localSheetId="31">'SF&amp;QC Sec-1'!$A$1:$J$62</definedName>
    <definedName name="_xlnm.Print_Area" localSheetId="35">'SF&amp;QC Sec-3 (2)'!$A$1:$K$52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27">#REF!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27">#REF!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27">#REF!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27">#REF!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27">#REF!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B4" i="187" l="1"/>
  <c r="B4" i="186" l="1"/>
  <c r="B4" i="185"/>
  <c r="K24" i="183" l="1"/>
  <c r="K26" i="183" s="1"/>
  <c r="K28" i="183" s="1"/>
  <c r="J24" i="183"/>
  <c r="J26" i="183" s="1"/>
  <c r="I24" i="183"/>
  <c r="I26" i="183" s="1"/>
  <c r="I28" i="183" s="1"/>
  <c r="H24" i="183"/>
  <c r="H26" i="183" s="1"/>
  <c r="G24" i="183"/>
  <c r="G26" i="183" s="1"/>
  <c r="F24" i="183"/>
  <c r="F26" i="183" s="1"/>
  <c r="E24" i="183"/>
  <c r="E26" i="183" s="1"/>
  <c r="E28" i="183" s="1"/>
  <c r="K19" i="183"/>
  <c r="J19" i="183"/>
  <c r="I19" i="183"/>
  <c r="H19" i="183"/>
  <c r="G19" i="183"/>
  <c r="F19" i="183"/>
  <c r="E19" i="183"/>
  <c r="K26" i="179"/>
  <c r="J26" i="179"/>
  <c r="I26" i="179"/>
  <c r="H26" i="179"/>
  <c r="G26" i="179"/>
  <c r="F26" i="179"/>
  <c r="E26" i="179"/>
  <c r="K17" i="179"/>
  <c r="J17" i="179"/>
  <c r="J19" i="179" s="1"/>
  <c r="I17" i="179"/>
  <c r="H17" i="179"/>
  <c r="H19" i="179" s="1"/>
  <c r="G17" i="179"/>
  <c r="F17" i="179"/>
  <c r="F19" i="179" s="1"/>
  <c r="E17" i="179"/>
  <c r="K22" i="184"/>
  <c r="J22" i="184"/>
  <c r="I22" i="184"/>
  <c r="H22" i="184"/>
  <c r="G22" i="184"/>
  <c r="F22" i="184"/>
  <c r="E22" i="184"/>
  <c r="K16" i="184"/>
  <c r="K19" i="179" s="1"/>
  <c r="J16" i="184"/>
  <c r="I16" i="184"/>
  <c r="I19" i="179" s="1"/>
  <c r="H16" i="184"/>
  <c r="G16" i="184"/>
  <c r="L16" i="184" s="1"/>
  <c r="F16" i="184"/>
  <c r="E16" i="184"/>
  <c r="E19" i="179" s="1"/>
  <c r="L25" i="184"/>
  <c r="L20" i="184"/>
  <c r="L22" i="184" s="1"/>
  <c r="L14" i="184"/>
  <c r="L13" i="184"/>
  <c r="B4" i="184"/>
  <c r="L23" i="183"/>
  <c r="L22" i="183"/>
  <c r="L24" i="183" s="1"/>
  <c r="L18" i="183"/>
  <c r="L17" i="183"/>
  <c r="L16" i="183"/>
  <c r="L14" i="183"/>
  <c r="B4" i="183"/>
  <c r="L26" i="183" l="1"/>
  <c r="F28" i="183"/>
  <c r="H28" i="183"/>
  <c r="J28" i="183"/>
  <c r="G19" i="179"/>
  <c r="G28" i="183" s="1"/>
  <c r="L19" i="183"/>
  <c r="D125" i="29"/>
  <c r="F219" i="5" l="1"/>
  <c r="C25" i="4"/>
  <c r="J351" i="29"/>
  <c r="J349" i="29"/>
  <c r="J348" i="29"/>
  <c r="I351" i="29"/>
  <c r="I349" i="29"/>
  <c r="I348" i="29"/>
  <c r="H363" i="29"/>
  <c r="H361" i="29"/>
  <c r="H360" i="29"/>
  <c r="H356" i="29"/>
  <c r="H355" i="29"/>
  <c r="H354" i="29"/>
  <c r="H351" i="29"/>
  <c r="H349" i="29"/>
  <c r="H348" i="29"/>
  <c r="G351" i="29"/>
  <c r="G349" i="29"/>
  <c r="G348" i="29"/>
  <c r="F351" i="29"/>
  <c r="F349" i="29"/>
  <c r="F348" i="29"/>
  <c r="E351" i="29"/>
  <c r="E349" i="29"/>
  <c r="E348" i="29"/>
  <c r="D351" i="29"/>
  <c r="D349" i="29"/>
  <c r="D348" i="29"/>
  <c r="C351" i="29"/>
  <c r="C349" i="29"/>
  <c r="C348" i="29"/>
  <c r="J329" i="29"/>
  <c r="J328" i="29"/>
  <c r="J327" i="29"/>
  <c r="J326" i="29"/>
  <c r="J325" i="29"/>
  <c r="J324" i="29"/>
  <c r="J323" i="29"/>
  <c r="J322" i="29"/>
  <c r="J321" i="29"/>
  <c r="J320" i="29"/>
  <c r="J319" i="29"/>
  <c r="I329" i="29"/>
  <c r="I328" i="29"/>
  <c r="I327" i="29"/>
  <c r="I326" i="29"/>
  <c r="I325" i="29"/>
  <c r="I324" i="29"/>
  <c r="I323" i="29"/>
  <c r="I322" i="29"/>
  <c r="I321" i="29"/>
  <c r="I320" i="29"/>
  <c r="I319" i="29"/>
  <c r="H339" i="29"/>
  <c r="H338" i="29"/>
  <c r="H337" i="29"/>
  <c r="H333" i="29"/>
  <c r="H332" i="29"/>
  <c r="H329" i="29"/>
  <c r="H328" i="29"/>
  <c r="H327" i="29"/>
  <c r="H326" i="29"/>
  <c r="H325" i="29"/>
  <c r="H324" i="29"/>
  <c r="H323" i="29"/>
  <c r="H322" i="29"/>
  <c r="H321" i="29"/>
  <c r="H320" i="29"/>
  <c r="H319" i="29"/>
  <c r="G329" i="29"/>
  <c r="G328" i="29"/>
  <c r="G327" i="29"/>
  <c r="G326" i="29"/>
  <c r="G325" i="29"/>
  <c r="G324" i="29"/>
  <c r="G323" i="29"/>
  <c r="G322" i="29"/>
  <c r="G321" i="29"/>
  <c r="G320" i="29"/>
  <c r="G319" i="29"/>
  <c r="F329" i="29"/>
  <c r="F328" i="29"/>
  <c r="F327" i="29"/>
  <c r="F326" i="29"/>
  <c r="F325" i="29"/>
  <c r="F324" i="29"/>
  <c r="F323" i="29"/>
  <c r="F322" i="29"/>
  <c r="F321" i="29"/>
  <c r="F320" i="29"/>
  <c r="F319" i="29"/>
  <c r="E329" i="29"/>
  <c r="E328" i="29"/>
  <c r="E327" i="29"/>
  <c r="E326" i="29"/>
  <c r="E325" i="29"/>
  <c r="E324" i="29"/>
  <c r="E323" i="29"/>
  <c r="E322" i="29"/>
  <c r="E321" i="29"/>
  <c r="E320" i="29"/>
  <c r="E319" i="29"/>
  <c r="D329" i="29"/>
  <c r="D328" i="29"/>
  <c r="D327" i="29"/>
  <c r="D326" i="29"/>
  <c r="D325" i="29"/>
  <c r="D324" i="29"/>
  <c r="D323" i="29"/>
  <c r="D322" i="29"/>
  <c r="D321" i="29"/>
  <c r="D320" i="29"/>
  <c r="D319" i="29"/>
  <c r="C329" i="29"/>
  <c r="C328" i="29"/>
  <c r="C327" i="29"/>
  <c r="C326" i="29"/>
  <c r="C325" i="29"/>
  <c r="C324" i="29"/>
  <c r="C323" i="29"/>
  <c r="C322" i="29"/>
  <c r="C321" i="29"/>
  <c r="C320" i="29"/>
  <c r="C319" i="29"/>
  <c r="J302" i="29"/>
  <c r="J301" i="29"/>
  <c r="I302" i="29"/>
  <c r="I301" i="29"/>
  <c r="H302" i="29"/>
  <c r="H301" i="29"/>
  <c r="G302" i="29"/>
  <c r="G301" i="29"/>
  <c r="F302" i="29"/>
  <c r="F301" i="29"/>
  <c r="H309" i="29"/>
  <c r="H308" i="29"/>
  <c r="H307" i="29"/>
  <c r="H306" i="29"/>
  <c r="E309" i="29"/>
  <c r="E308" i="29"/>
  <c r="E307" i="29"/>
  <c r="E306" i="29"/>
  <c r="E302" i="29"/>
  <c r="E301" i="29"/>
  <c r="D302" i="29"/>
  <c r="D301" i="29"/>
  <c r="C302" i="29"/>
  <c r="C301" i="29"/>
  <c r="H292" i="29"/>
  <c r="H291" i="29"/>
  <c r="H290" i="29"/>
  <c r="H289" i="29"/>
  <c r="H288" i="29"/>
  <c r="D284" i="29"/>
  <c r="D283" i="29"/>
  <c r="D282" i="29"/>
  <c r="D280" i="29"/>
  <c r="D278" i="29"/>
  <c r="D276" i="29"/>
  <c r="D275" i="29"/>
  <c r="D274" i="29"/>
  <c r="D273" i="29"/>
  <c r="D272" i="29"/>
  <c r="D269" i="29"/>
  <c r="D268" i="29"/>
  <c r="D267" i="29"/>
  <c r="D266" i="29"/>
  <c r="D265" i="29"/>
  <c r="D264" i="29"/>
  <c r="D263" i="29"/>
  <c r="D260" i="29"/>
  <c r="D259" i="29"/>
  <c r="D256" i="29"/>
  <c r="D255" i="29"/>
  <c r="D254" i="29"/>
  <c r="D253" i="29"/>
  <c r="D252" i="29"/>
  <c r="D251" i="29"/>
  <c r="D250" i="29"/>
  <c r="D249" i="29"/>
  <c r="D248" i="29"/>
  <c r="D247" i="29"/>
  <c r="D246" i="29"/>
  <c r="D245" i="29"/>
  <c r="D242" i="29"/>
  <c r="D241" i="29"/>
  <c r="D240" i="29"/>
  <c r="D237" i="29"/>
  <c r="D236" i="29"/>
  <c r="D235" i="29"/>
  <c r="D234" i="29"/>
  <c r="D233" i="29"/>
  <c r="D232" i="29"/>
  <c r="D228" i="29"/>
  <c r="D227" i="29"/>
  <c r="D226" i="29"/>
  <c r="D225" i="29"/>
  <c r="D224" i="29"/>
  <c r="D223" i="29"/>
  <c r="D222" i="29"/>
  <c r="D221" i="29"/>
  <c r="D220" i="29"/>
  <c r="D219" i="29"/>
  <c r="D218" i="29"/>
  <c r="D217" i="29"/>
  <c r="D216" i="29"/>
  <c r="D215" i="29"/>
  <c r="J185" i="29"/>
  <c r="J183" i="29"/>
  <c r="J182" i="29"/>
  <c r="J180" i="29"/>
  <c r="I185" i="29"/>
  <c r="I183" i="29"/>
  <c r="I182" i="29"/>
  <c r="I180" i="29"/>
  <c r="H207" i="29"/>
  <c r="H206" i="29"/>
  <c r="H205" i="29"/>
  <c r="H203" i="29"/>
  <c r="H202" i="29"/>
  <c r="H201" i="29"/>
  <c r="H200" i="29"/>
  <c r="H199" i="29"/>
  <c r="H195" i="29"/>
  <c r="H193" i="29"/>
  <c r="H192" i="29"/>
  <c r="H191" i="29"/>
  <c r="H190" i="29"/>
  <c r="H189" i="29"/>
  <c r="H188" i="29"/>
  <c r="H185" i="29"/>
  <c r="H183" i="29"/>
  <c r="H182" i="29"/>
  <c r="H180" i="29"/>
  <c r="G185" i="29"/>
  <c r="G183" i="29"/>
  <c r="G182" i="29"/>
  <c r="G180" i="29"/>
  <c r="F185" i="29"/>
  <c r="F183" i="29"/>
  <c r="F182" i="29"/>
  <c r="F180" i="29"/>
  <c r="E195" i="29"/>
  <c r="E193" i="29"/>
  <c r="E192" i="29"/>
  <c r="E191" i="29"/>
  <c r="E190" i="29"/>
  <c r="E189" i="29"/>
  <c r="E188" i="29"/>
  <c r="E185" i="29"/>
  <c r="E183" i="29"/>
  <c r="E182" i="29"/>
  <c r="E180" i="29"/>
  <c r="D185" i="29"/>
  <c r="D183" i="29"/>
  <c r="D182" i="29"/>
  <c r="D180" i="29"/>
  <c r="C185" i="29"/>
  <c r="C183" i="29"/>
  <c r="C182" i="29"/>
  <c r="C180" i="29"/>
  <c r="E171" i="29"/>
  <c r="H171" i="29"/>
  <c r="H170" i="29"/>
  <c r="H169" i="29"/>
  <c r="H167" i="29"/>
  <c r="H166" i="29"/>
  <c r="H165" i="29"/>
  <c r="H164" i="29"/>
  <c r="H163" i="29"/>
  <c r="H159" i="29"/>
  <c r="H158" i="29"/>
  <c r="H157" i="29"/>
  <c r="J130" i="29"/>
  <c r="J128" i="29"/>
  <c r="J125" i="29"/>
  <c r="J124" i="29"/>
  <c r="J123" i="29"/>
  <c r="J122" i="29"/>
  <c r="J120" i="29"/>
  <c r="I130" i="29"/>
  <c r="I128" i="29"/>
  <c r="I126" i="29"/>
  <c r="I125" i="29"/>
  <c r="I124" i="29"/>
  <c r="I123" i="29"/>
  <c r="I122" i="29"/>
  <c r="I120" i="29"/>
  <c r="H148" i="29"/>
  <c r="H146" i="29"/>
  <c r="H145" i="29"/>
  <c r="H144" i="29"/>
  <c r="H143" i="29"/>
  <c r="H142" i="29"/>
  <c r="H138" i="29"/>
  <c r="H136" i="29"/>
  <c r="H135" i="29"/>
  <c r="H134" i="29"/>
  <c r="H133" i="29"/>
  <c r="H130" i="29"/>
  <c r="H128" i="29"/>
  <c r="H125" i="29"/>
  <c r="H124" i="29"/>
  <c r="H123" i="29"/>
  <c r="H122" i="29"/>
  <c r="H120" i="29"/>
  <c r="G130" i="29"/>
  <c r="G128" i="29"/>
  <c r="G126" i="29"/>
  <c r="G125" i="29"/>
  <c r="G124" i="29"/>
  <c r="G123" i="29"/>
  <c r="G122" i="29"/>
  <c r="G120" i="29"/>
  <c r="F130" i="29"/>
  <c r="F128" i="29"/>
  <c r="F125" i="29"/>
  <c r="F124" i="29"/>
  <c r="F123" i="29"/>
  <c r="F122" i="29"/>
  <c r="F120" i="29"/>
  <c r="E138" i="29"/>
  <c r="E136" i="29"/>
  <c r="E135" i="29"/>
  <c r="E134" i="29"/>
  <c r="E133" i="29"/>
  <c r="E130" i="29"/>
  <c r="E128" i="29"/>
  <c r="E125" i="29"/>
  <c r="E124" i="29"/>
  <c r="E123" i="29"/>
  <c r="E122" i="29"/>
  <c r="E120" i="29"/>
  <c r="D130" i="29"/>
  <c r="D128" i="29"/>
  <c r="D124" i="29"/>
  <c r="D123" i="29"/>
  <c r="D122" i="29"/>
  <c r="D120" i="29"/>
  <c r="C130" i="29"/>
  <c r="C128" i="29"/>
  <c r="C125" i="29"/>
  <c r="C124" i="29"/>
  <c r="C123" i="29"/>
  <c r="C122" i="29"/>
  <c r="C120" i="29"/>
  <c r="H111" i="29"/>
  <c r="H109" i="29"/>
  <c r="H108" i="29"/>
  <c r="H107" i="29"/>
  <c r="H106" i="29"/>
  <c r="H105" i="29"/>
  <c r="E101" i="29"/>
  <c r="E99" i="29"/>
  <c r="H101" i="29"/>
  <c r="H99" i="29"/>
  <c r="H98" i="29"/>
  <c r="H97" i="29"/>
  <c r="H96" i="29"/>
  <c r="H95" i="29"/>
  <c r="H94" i="29"/>
  <c r="H93" i="29"/>
  <c r="H91" i="29"/>
  <c r="H90" i="29"/>
  <c r="H89" i="29"/>
  <c r="H88" i="29"/>
  <c r="H87" i="29"/>
  <c r="H86" i="29"/>
  <c r="H85" i="29"/>
  <c r="H83" i="29"/>
  <c r="H82" i="29"/>
  <c r="H81" i="29"/>
  <c r="H80" i="29"/>
  <c r="H79" i="29"/>
  <c r="H78" i="29"/>
  <c r="J75" i="29"/>
  <c r="J73" i="29"/>
  <c r="J71" i="29"/>
  <c r="J70" i="29"/>
  <c r="J69" i="29"/>
  <c r="J68" i="29"/>
  <c r="J67" i="29"/>
  <c r="I75" i="29"/>
  <c r="I73" i="29"/>
  <c r="I71" i="29"/>
  <c r="I70" i="29"/>
  <c r="I69" i="29"/>
  <c r="I68" i="29"/>
  <c r="I67" i="29"/>
  <c r="H75" i="29"/>
  <c r="H73" i="29"/>
  <c r="H71" i="29"/>
  <c r="H70" i="29"/>
  <c r="H69" i="29"/>
  <c r="H68" i="29"/>
  <c r="H67" i="29"/>
  <c r="G75" i="29"/>
  <c r="G73" i="29"/>
  <c r="G71" i="29"/>
  <c r="G70" i="29"/>
  <c r="G69" i="29"/>
  <c r="G68" i="29"/>
  <c r="G67" i="29"/>
  <c r="F75" i="29"/>
  <c r="F73" i="29"/>
  <c r="F71" i="29"/>
  <c r="F70" i="29"/>
  <c r="F69" i="29"/>
  <c r="F68" i="29"/>
  <c r="F67" i="29"/>
  <c r="E83" i="29"/>
  <c r="E82" i="29"/>
  <c r="E81" i="29"/>
  <c r="E80" i="29"/>
  <c r="E79" i="29"/>
  <c r="E78" i="29"/>
  <c r="E75" i="29"/>
  <c r="E73" i="29"/>
  <c r="E71" i="29"/>
  <c r="E70" i="29"/>
  <c r="E69" i="29"/>
  <c r="E68" i="29"/>
  <c r="E67" i="29"/>
  <c r="D75" i="29"/>
  <c r="D73" i="29"/>
  <c r="D71" i="29"/>
  <c r="D70" i="29"/>
  <c r="D69" i="29"/>
  <c r="D68" i="29"/>
  <c r="D67" i="29"/>
  <c r="C75" i="29"/>
  <c r="C73" i="29"/>
  <c r="C71" i="29"/>
  <c r="C70" i="29"/>
  <c r="C69" i="29"/>
  <c r="C68" i="29"/>
  <c r="C67" i="29"/>
  <c r="J64" i="29"/>
  <c r="J63" i="29"/>
  <c r="J62" i="29"/>
  <c r="J61" i="29"/>
  <c r="J60" i="29"/>
  <c r="J59" i="29"/>
  <c r="J56" i="29"/>
  <c r="J55" i="29"/>
  <c r="J52" i="29"/>
  <c r="J51" i="29"/>
  <c r="J50" i="29"/>
  <c r="J49" i="29"/>
  <c r="J46" i="29"/>
  <c r="J45" i="29"/>
  <c r="J44" i="29"/>
  <c r="J41" i="29"/>
  <c r="J40" i="29"/>
  <c r="J39" i="29"/>
  <c r="J38" i="29"/>
  <c r="J37" i="29"/>
  <c r="J36" i="29"/>
  <c r="I64" i="29"/>
  <c r="I63" i="29"/>
  <c r="I62" i="29"/>
  <c r="I61" i="29"/>
  <c r="I60" i="29"/>
  <c r="I59" i="29"/>
  <c r="I56" i="29"/>
  <c r="I55" i="29"/>
  <c r="I52" i="29"/>
  <c r="I51" i="29"/>
  <c r="I50" i="29"/>
  <c r="I49" i="29"/>
  <c r="I46" i="29"/>
  <c r="I45" i="29"/>
  <c r="I44" i="29"/>
  <c r="I41" i="29"/>
  <c r="I40" i="29"/>
  <c r="I39" i="29"/>
  <c r="I38" i="29"/>
  <c r="I37" i="29"/>
  <c r="I36" i="29"/>
  <c r="H64" i="29"/>
  <c r="H63" i="29"/>
  <c r="H62" i="29"/>
  <c r="H61" i="29"/>
  <c r="H60" i="29"/>
  <c r="H59" i="29"/>
  <c r="H56" i="29"/>
  <c r="H55" i="29"/>
  <c r="H52" i="29"/>
  <c r="H51" i="29"/>
  <c r="H50" i="29"/>
  <c r="H49" i="29"/>
  <c r="H46" i="29"/>
  <c r="H45" i="29"/>
  <c r="H44" i="29"/>
  <c r="H41" i="29"/>
  <c r="H40" i="29"/>
  <c r="H39" i="29"/>
  <c r="H38" i="29"/>
  <c r="H37" i="29"/>
  <c r="H36" i="29"/>
  <c r="G64" i="29"/>
  <c r="G63" i="29"/>
  <c r="G62" i="29"/>
  <c r="G61" i="29"/>
  <c r="G60" i="29"/>
  <c r="G59" i="29"/>
  <c r="G56" i="29"/>
  <c r="G55" i="29"/>
  <c r="G52" i="29"/>
  <c r="G51" i="29"/>
  <c r="G50" i="29"/>
  <c r="G49" i="29"/>
  <c r="G46" i="29"/>
  <c r="G45" i="29"/>
  <c r="G44" i="29"/>
  <c r="G41" i="29"/>
  <c r="G40" i="29"/>
  <c r="G39" i="29"/>
  <c r="G38" i="29"/>
  <c r="G37" i="29"/>
  <c r="G36" i="29"/>
  <c r="F64" i="29"/>
  <c r="F63" i="29"/>
  <c r="F62" i="29"/>
  <c r="F61" i="29"/>
  <c r="F60" i="29"/>
  <c r="F59" i="29"/>
  <c r="F56" i="29"/>
  <c r="F55" i="29"/>
  <c r="F52" i="29"/>
  <c r="F51" i="29"/>
  <c r="F50" i="29"/>
  <c r="F49" i="29"/>
  <c r="F46" i="29"/>
  <c r="F45" i="29"/>
  <c r="F44" i="29"/>
  <c r="F41" i="29"/>
  <c r="F40" i="29"/>
  <c r="F39" i="29"/>
  <c r="F38" i="29"/>
  <c r="F37" i="29"/>
  <c r="F36" i="29"/>
  <c r="E64" i="29"/>
  <c r="E63" i="29"/>
  <c r="E62" i="29"/>
  <c r="E61" i="29"/>
  <c r="E60" i="29"/>
  <c r="E59" i="29"/>
  <c r="E56" i="29"/>
  <c r="E55" i="29"/>
  <c r="E52" i="29"/>
  <c r="E51" i="29"/>
  <c r="E50" i="29"/>
  <c r="E49" i="29"/>
  <c r="E46" i="29"/>
  <c r="E45" i="29"/>
  <c r="E44" i="29"/>
  <c r="E41" i="29"/>
  <c r="E40" i="29"/>
  <c r="E39" i="29"/>
  <c r="E38" i="29"/>
  <c r="E37" i="29"/>
  <c r="E36" i="29"/>
  <c r="D64" i="29"/>
  <c r="D63" i="29"/>
  <c r="D62" i="29"/>
  <c r="D61" i="29"/>
  <c r="D60" i="29"/>
  <c r="D59" i="29"/>
  <c r="D56" i="29"/>
  <c r="D55" i="29"/>
  <c r="D52" i="29"/>
  <c r="D51" i="29"/>
  <c r="D50" i="29"/>
  <c r="D49" i="29"/>
  <c r="D46" i="29"/>
  <c r="D45" i="29"/>
  <c r="D44" i="29"/>
  <c r="D41" i="29"/>
  <c r="D40" i="29"/>
  <c r="D39" i="29"/>
  <c r="D38" i="29"/>
  <c r="D37" i="29"/>
  <c r="D36" i="29"/>
  <c r="C64" i="29"/>
  <c r="C63" i="29"/>
  <c r="C62" i="29"/>
  <c r="C61" i="29"/>
  <c r="C60" i="29"/>
  <c r="C59" i="29"/>
  <c r="C56" i="29"/>
  <c r="C55" i="29"/>
  <c r="C52" i="29"/>
  <c r="C51" i="29"/>
  <c r="C50" i="29"/>
  <c r="C49" i="29"/>
  <c r="C46" i="29"/>
  <c r="C45" i="29"/>
  <c r="C44" i="29"/>
  <c r="C41" i="29"/>
  <c r="C40" i="29"/>
  <c r="C39" i="29"/>
  <c r="C38" i="29"/>
  <c r="C37" i="29"/>
  <c r="C36" i="29"/>
  <c r="J19" i="29"/>
  <c r="J18" i="29"/>
  <c r="J17" i="29"/>
  <c r="J16" i="29"/>
  <c r="J15" i="29"/>
  <c r="J14" i="29"/>
  <c r="J13" i="29"/>
  <c r="J12" i="29"/>
  <c r="J11" i="29"/>
  <c r="J10" i="29"/>
  <c r="J9" i="29"/>
  <c r="J8" i="29"/>
  <c r="J7" i="29"/>
  <c r="J5" i="29"/>
  <c r="I19" i="29"/>
  <c r="I18" i="29"/>
  <c r="I17" i="29"/>
  <c r="I16" i="29"/>
  <c r="I15" i="29"/>
  <c r="I14" i="29"/>
  <c r="I13" i="29"/>
  <c r="I12" i="29"/>
  <c r="I11" i="29"/>
  <c r="I10" i="29"/>
  <c r="I9" i="29"/>
  <c r="I8" i="29"/>
  <c r="I7" i="29"/>
  <c r="I5"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5" i="29"/>
  <c r="G19" i="29"/>
  <c r="G18" i="29"/>
  <c r="G17" i="29"/>
  <c r="G16" i="29"/>
  <c r="G15" i="29"/>
  <c r="G14" i="29"/>
  <c r="G13" i="29"/>
  <c r="G12" i="29"/>
  <c r="G11" i="29"/>
  <c r="G10" i="29"/>
  <c r="G9" i="29"/>
  <c r="G8" i="29"/>
  <c r="G7" i="29"/>
  <c r="G5" i="29"/>
  <c r="F19" i="29"/>
  <c r="F18" i="29"/>
  <c r="F17" i="29"/>
  <c r="F16" i="29"/>
  <c r="F15" i="29"/>
  <c r="F14" i="29"/>
  <c r="F13" i="29"/>
  <c r="F12" i="29"/>
  <c r="F11" i="29"/>
  <c r="F10" i="29"/>
  <c r="F9" i="29"/>
  <c r="F8" i="29"/>
  <c r="F7" i="29"/>
  <c r="F5" i="29"/>
  <c r="E19" i="29"/>
  <c r="E18" i="29"/>
  <c r="E17" i="29"/>
  <c r="E16" i="29"/>
  <c r="E15" i="29"/>
  <c r="E14" i="29"/>
  <c r="E13" i="29"/>
  <c r="E12" i="29"/>
  <c r="E11" i="29"/>
  <c r="E10" i="29"/>
  <c r="E9" i="29"/>
  <c r="E8" i="29"/>
  <c r="E7" i="29"/>
  <c r="E6" i="29"/>
  <c r="E5" i="29"/>
  <c r="D19" i="29"/>
  <c r="D18" i="29"/>
  <c r="D17" i="29"/>
  <c r="D16" i="29"/>
  <c r="D15" i="29"/>
  <c r="D14" i="29"/>
  <c r="D13" i="29"/>
  <c r="D12" i="29"/>
  <c r="D11" i="29"/>
  <c r="D10" i="29"/>
  <c r="D9" i="29"/>
  <c r="D8" i="29"/>
  <c r="D7" i="29"/>
  <c r="D5" i="29"/>
  <c r="C19" i="29"/>
  <c r="C18" i="29"/>
  <c r="C17" i="29"/>
  <c r="C16" i="29"/>
  <c r="C15" i="29"/>
  <c r="C14" i="29"/>
  <c r="C13" i="29"/>
  <c r="C12" i="29"/>
  <c r="C11" i="29"/>
  <c r="C10" i="29"/>
  <c r="C9" i="29"/>
  <c r="C8" i="29"/>
  <c r="C7" i="29"/>
  <c r="C5" i="29"/>
  <c r="K272" i="5"/>
  <c r="H272" i="5"/>
  <c r="G272" i="5"/>
  <c r="G271" i="5"/>
  <c r="G270" i="5"/>
  <c r="G269" i="5"/>
  <c r="G268" i="5"/>
  <c r="G267" i="5"/>
  <c r="G266" i="5"/>
  <c r="G265" i="5"/>
  <c r="G264" i="5"/>
  <c r="G263" i="5"/>
  <c r="G262" i="5"/>
  <c r="G261" i="5"/>
  <c r="F272" i="5"/>
  <c r="F271" i="5"/>
  <c r="F270" i="5"/>
  <c r="F269" i="5"/>
  <c r="F268" i="5"/>
  <c r="F267" i="5"/>
  <c r="F266" i="5"/>
  <c r="F265" i="5"/>
  <c r="F264" i="5"/>
  <c r="F263" i="5"/>
  <c r="F261" i="5"/>
  <c r="D272" i="5"/>
  <c r="D271" i="5"/>
  <c r="D270" i="5"/>
  <c r="D269" i="5"/>
  <c r="D268" i="5"/>
  <c r="D267" i="5"/>
  <c r="D266" i="5"/>
  <c r="D262" i="5"/>
  <c r="D261" i="5"/>
  <c r="C272" i="5"/>
  <c r="C271" i="5"/>
  <c r="C270" i="5"/>
  <c r="C269" i="5"/>
  <c r="C268" i="5"/>
  <c r="C267" i="5"/>
  <c r="C266" i="5"/>
  <c r="C265" i="5"/>
  <c r="C264" i="5"/>
  <c r="C263" i="5"/>
  <c r="C262" i="5"/>
  <c r="C261" i="5"/>
  <c r="C260" i="5"/>
  <c r="K258" i="5"/>
  <c r="K257" i="5"/>
  <c r="K256" i="5"/>
  <c r="K255" i="5"/>
  <c r="K254" i="5"/>
  <c r="K253" i="5"/>
  <c r="K252" i="5"/>
  <c r="K251" i="5"/>
  <c r="K250" i="5"/>
  <c r="K249" i="5"/>
  <c r="K248" i="5"/>
  <c r="K247" i="5"/>
  <c r="K246" i="5"/>
  <c r="K245" i="5"/>
  <c r="K244" i="5"/>
  <c r="K243" i="5"/>
  <c r="K242" i="5"/>
  <c r="K239" i="5"/>
  <c r="K238" i="5"/>
  <c r="K237" i="5"/>
  <c r="K236" i="5"/>
  <c r="K235" i="5"/>
  <c r="K234" i="5"/>
  <c r="K233" i="5"/>
  <c r="K232" i="5"/>
  <c r="K230" i="5"/>
  <c r="J258" i="5"/>
  <c r="J257" i="5"/>
  <c r="J256" i="5"/>
  <c r="J255" i="5"/>
  <c r="J254" i="5"/>
  <c r="J253" i="5"/>
  <c r="J252" i="5"/>
  <c r="J251" i="5"/>
  <c r="J250" i="5"/>
  <c r="J249" i="5"/>
  <c r="J248" i="5"/>
  <c r="J247" i="5"/>
  <c r="J246" i="5"/>
  <c r="J245" i="5"/>
  <c r="J244" i="5"/>
  <c r="J243" i="5"/>
  <c r="J242" i="5"/>
  <c r="J239" i="5"/>
  <c r="J238" i="5"/>
  <c r="J237" i="5"/>
  <c r="J236" i="5"/>
  <c r="J235" i="5"/>
  <c r="J234" i="5"/>
  <c r="J233" i="5"/>
  <c r="J232" i="5"/>
  <c r="J230" i="5"/>
  <c r="H258" i="5"/>
  <c r="H257" i="5"/>
  <c r="H256" i="5"/>
  <c r="H255" i="5"/>
  <c r="H254" i="5"/>
  <c r="H253" i="5"/>
  <c r="H252" i="5"/>
  <c r="H251" i="5"/>
  <c r="H250" i="5"/>
  <c r="H249" i="5"/>
  <c r="H248" i="5"/>
  <c r="H247" i="5"/>
  <c r="H246" i="5"/>
  <c r="H245" i="5"/>
  <c r="H244" i="5"/>
  <c r="H243" i="5"/>
  <c r="H242" i="5"/>
  <c r="H239" i="5"/>
  <c r="H238" i="5"/>
  <c r="H237" i="5"/>
  <c r="H236" i="5"/>
  <c r="H235" i="5"/>
  <c r="H234" i="5"/>
  <c r="H233" i="5"/>
  <c r="H232" i="5"/>
  <c r="H230" i="5"/>
  <c r="G258" i="5"/>
  <c r="G257" i="5"/>
  <c r="G256" i="5"/>
  <c r="G255" i="5"/>
  <c r="G254" i="5"/>
  <c r="G253" i="5"/>
  <c r="G252" i="5"/>
  <c r="G251" i="5"/>
  <c r="G250" i="5"/>
  <c r="G249" i="5"/>
  <c r="G248" i="5"/>
  <c r="G247" i="5"/>
  <c r="G246" i="5"/>
  <c r="G245" i="5"/>
  <c r="G244" i="5"/>
  <c r="G243" i="5"/>
  <c r="G242" i="5"/>
  <c r="G240" i="5"/>
  <c r="G239" i="5"/>
  <c r="G238" i="5"/>
  <c r="G237" i="5"/>
  <c r="G236" i="5"/>
  <c r="G235" i="5"/>
  <c r="G234" i="5"/>
  <c r="G233" i="5"/>
  <c r="G231" i="5"/>
  <c r="G232" i="5"/>
  <c r="G230" i="5"/>
  <c r="G229" i="5"/>
  <c r="F258" i="5"/>
  <c r="F257" i="5"/>
  <c r="F256" i="5"/>
  <c r="F255" i="5"/>
  <c r="F254" i="5"/>
  <c r="F253" i="5"/>
  <c r="F252" i="5"/>
  <c r="F251" i="5"/>
  <c r="F250" i="5"/>
  <c r="F249" i="5"/>
  <c r="F248" i="5"/>
  <c r="F247" i="5"/>
  <c r="F246" i="5"/>
  <c r="F245" i="5"/>
  <c r="F244" i="5"/>
  <c r="F243" i="5"/>
  <c r="F242" i="5"/>
  <c r="F240" i="5"/>
  <c r="F239" i="5"/>
  <c r="F238" i="5"/>
  <c r="F237" i="5"/>
  <c r="F236" i="5"/>
  <c r="F235" i="5"/>
  <c r="F234" i="5"/>
  <c r="F233" i="5"/>
  <c r="F232" i="5"/>
  <c r="F231" i="5"/>
  <c r="F230" i="5"/>
  <c r="E258" i="5"/>
  <c r="E257" i="5"/>
  <c r="E256" i="5"/>
  <c r="E255" i="5"/>
  <c r="E254" i="5"/>
  <c r="E253" i="5"/>
  <c r="E252" i="5"/>
  <c r="E251" i="5"/>
  <c r="E250" i="5"/>
  <c r="E249" i="5"/>
  <c r="E248" i="5"/>
  <c r="E247" i="5"/>
  <c r="E246" i="5"/>
  <c r="E245" i="5"/>
  <c r="E244" i="5"/>
  <c r="E243" i="5"/>
  <c r="E242" i="5"/>
  <c r="E239" i="5"/>
  <c r="E238" i="5"/>
  <c r="E237" i="5"/>
  <c r="E236" i="5"/>
  <c r="E235" i="5"/>
  <c r="E234" i="5"/>
  <c r="E233" i="5"/>
  <c r="E232" i="5"/>
  <c r="E230"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G227" i="5"/>
  <c r="G226" i="5"/>
  <c r="G223" i="5"/>
  <c r="G222" i="5"/>
  <c r="G221" i="5"/>
  <c r="G220" i="5"/>
  <c r="G219" i="5"/>
  <c r="G218" i="5"/>
  <c r="G215" i="5"/>
  <c r="G214" i="5"/>
  <c r="G213" i="5"/>
  <c r="G210" i="5"/>
  <c r="G209" i="5"/>
  <c r="G208" i="5"/>
  <c r="G207" i="5"/>
  <c r="G206" i="5"/>
  <c r="G205" i="5"/>
  <c r="G204" i="5"/>
  <c r="G203" i="5"/>
  <c r="F223" i="5"/>
  <c r="F222" i="5"/>
  <c r="F221" i="5"/>
  <c r="F220" i="5"/>
  <c r="F218" i="5"/>
  <c r="F215" i="5"/>
  <c r="F214" i="5"/>
  <c r="F213" i="5"/>
  <c r="F210" i="5"/>
  <c r="F209" i="5"/>
  <c r="F208" i="5"/>
  <c r="F207" i="5"/>
  <c r="F206" i="5"/>
  <c r="F205" i="5"/>
  <c r="F204" i="5"/>
  <c r="F203" i="5"/>
  <c r="D227" i="5"/>
  <c r="D226" i="5"/>
  <c r="D223" i="5"/>
  <c r="D222" i="5"/>
  <c r="D221" i="5"/>
  <c r="D220" i="5"/>
  <c r="D219" i="5"/>
  <c r="D218" i="5"/>
  <c r="D215" i="5"/>
  <c r="D214" i="5"/>
  <c r="D213" i="5"/>
  <c r="D210" i="5"/>
  <c r="D209" i="5"/>
  <c r="D208" i="5"/>
  <c r="D207" i="5"/>
  <c r="D206" i="5"/>
  <c r="D205" i="5"/>
  <c r="D204" i="5"/>
  <c r="D203" i="5"/>
  <c r="C227" i="5"/>
  <c r="C226" i="5"/>
  <c r="C223" i="5"/>
  <c r="C222" i="5"/>
  <c r="C221" i="5"/>
  <c r="C220" i="5"/>
  <c r="C219" i="5"/>
  <c r="C218" i="5"/>
  <c r="C215" i="5"/>
  <c r="C214" i="5"/>
  <c r="C213" i="5"/>
  <c r="C210" i="5"/>
  <c r="C209" i="5"/>
  <c r="C208" i="5"/>
  <c r="C207" i="5"/>
  <c r="C206" i="5"/>
  <c r="C205" i="5"/>
  <c r="C204" i="5"/>
  <c r="C203" i="5"/>
  <c r="K183" i="5"/>
  <c r="K177" i="5"/>
  <c r="K176" i="5"/>
  <c r="J177" i="5"/>
  <c r="J176" i="5"/>
  <c r="I177" i="5"/>
  <c r="I176" i="5"/>
  <c r="H183" i="5"/>
  <c r="H182" i="5"/>
  <c r="H181" i="5"/>
  <c r="H177" i="5"/>
  <c r="H176" i="5"/>
  <c r="G200" i="5"/>
  <c r="G198" i="5"/>
  <c r="G197" i="5"/>
  <c r="G196" i="5"/>
  <c r="G195" i="5"/>
  <c r="G194" i="5"/>
  <c r="G193" i="5"/>
  <c r="G190" i="5"/>
  <c r="G189" i="5"/>
  <c r="G188" i="5"/>
  <c r="G187" i="5"/>
  <c r="G183" i="5"/>
  <c r="G182" i="5"/>
  <c r="G177" i="5"/>
  <c r="G176" i="5"/>
  <c r="F190" i="5"/>
  <c r="F189" i="5"/>
  <c r="F188" i="5"/>
  <c r="F187" i="5"/>
  <c r="F183" i="5"/>
  <c r="F182" i="5"/>
  <c r="F177" i="5"/>
  <c r="F176" i="5"/>
  <c r="E177" i="5"/>
  <c r="E176" i="5"/>
  <c r="D190" i="5"/>
  <c r="D189" i="5"/>
  <c r="D188" i="5"/>
  <c r="D187" i="5"/>
  <c r="D183" i="5"/>
  <c r="D182" i="5"/>
  <c r="D181" i="5"/>
  <c r="D177" i="5"/>
  <c r="D176" i="5"/>
  <c r="C200" i="5"/>
  <c r="C199" i="5"/>
  <c r="C198" i="5"/>
  <c r="C197" i="5"/>
  <c r="C196" i="5"/>
  <c r="C195" i="5"/>
  <c r="C194" i="5"/>
  <c r="C193" i="5"/>
  <c r="C190" i="5"/>
  <c r="C189" i="5"/>
  <c r="C188" i="5"/>
  <c r="C187" i="5"/>
  <c r="C183" i="5"/>
  <c r="C182" i="5"/>
  <c r="C181" i="5"/>
  <c r="C180" i="5"/>
  <c r="C177" i="5"/>
  <c r="C176" i="5"/>
  <c r="K171" i="5"/>
  <c r="K170" i="5"/>
  <c r="K166" i="5"/>
  <c r="K165" i="5"/>
  <c r="J171" i="5"/>
  <c r="I171" i="5"/>
  <c r="H171" i="5"/>
  <c r="H170" i="5"/>
  <c r="H169" i="5"/>
  <c r="H166" i="5"/>
  <c r="H165" i="5"/>
  <c r="G171" i="5"/>
  <c r="G166" i="5"/>
  <c r="G165" i="5"/>
  <c r="G164" i="5"/>
  <c r="G163" i="5"/>
  <c r="G162" i="5"/>
  <c r="G161" i="5"/>
  <c r="G160" i="5"/>
  <c r="G159" i="5"/>
  <c r="G158" i="5"/>
  <c r="G157" i="5"/>
  <c r="G156" i="5"/>
  <c r="F171" i="5"/>
  <c r="F168" i="5"/>
  <c r="F167" i="5"/>
  <c r="F166" i="5"/>
  <c r="F165" i="5"/>
  <c r="F164" i="5"/>
  <c r="F163" i="5"/>
  <c r="F162" i="5"/>
  <c r="F161" i="5"/>
  <c r="F160" i="5"/>
  <c r="F159" i="5"/>
  <c r="F158" i="5"/>
  <c r="F157" i="5"/>
  <c r="F156" i="5"/>
  <c r="E171" i="5"/>
  <c r="E166" i="5"/>
  <c r="E165" i="5"/>
  <c r="D171" i="5"/>
  <c r="D170" i="5"/>
  <c r="D169" i="5"/>
  <c r="D166" i="5"/>
  <c r="D165" i="5"/>
  <c r="D164" i="5"/>
  <c r="D163" i="5"/>
  <c r="D158" i="5"/>
  <c r="D156" i="5"/>
  <c r="C171" i="5"/>
  <c r="C168" i="5"/>
  <c r="C167" i="5"/>
  <c r="C166" i="5"/>
  <c r="C165" i="5"/>
  <c r="C164" i="5"/>
  <c r="C163" i="5"/>
  <c r="C162" i="5"/>
  <c r="C161" i="5"/>
  <c r="C160" i="5"/>
  <c r="C159" i="5"/>
  <c r="C158" i="5"/>
  <c r="C157" i="5"/>
  <c r="C156" i="5"/>
  <c r="C155" i="5"/>
  <c r="G153" i="5"/>
  <c r="G152" i="5"/>
  <c r="G151" i="5"/>
  <c r="F153" i="5"/>
  <c r="F152" i="5"/>
  <c r="F151" i="5"/>
  <c r="D153" i="5"/>
  <c r="D152" i="5"/>
  <c r="D151" i="5"/>
  <c r="K149" i="5"/>
  <c r="K148" i="5"/>
  <c r="J149" i="5"/>
  <c r="J148" i="5"/>
  <c r="I149" i="5"/>
  <c r="I148" i="5"/>
  <c r="H149" i="5"/>
  <c r="H148" i="5"/>
  <c r="G149" i="5"/>
  <c r="G148" i="5"/>
  <c r="F149" i="5"/>
  <c r="F148" i="5"/>
  <c r="G146" i="5"/>
  <c r="G143" i="5"/>
  <c r="G142" i="5"/>
  <c r="G139" i="5"/>
  <c r="G138" i="5"/>
  <c r="G137" i="5"/>
  <c r="G136" i="5"/>
  <c r="G135" i="5"/>
  <c r="G134" i="5"/>
  <c r="G133" i="5"/>
  <c r="F130" i="5"/>
  <c r="F129" i="5"/>
  <c r="F128" i="5"/>
  <c r="F127" i="5"/>
  <c r="F126" i="5"/>
  <c r="F125" i="5"/>
  <c r="F124" i="5"/>
  <c r="E149" i="5"/>
  <c r="E148" i="5"/>
  <c r="D149" i="5"/>
  <c r="D148" i="5"/>
  <c r="D147" i="5"/>
  <c r="D146" i="5"/>
  <c r="D139" i="5"/>
  <c r="D138" i="5"/>
  <c r="D137" i="5"/>
  <c r="D136" i="5"/>
  <c r="D135" i="5"/>
  <c r="D134" i="5"/>
  <c r="D133" i="5"/>
  <c r="D130" i="5"/>
  <c r="D126" i="5"/>
  <c r="C153" i="5"/>
  <c r="C152" i="5"/>
  <c r="C151" i="5"/>
  <c r="C149" i="5"/>
  <c r="C148" i="5"/>
  <c r="C147" i="5"/>
  <c r="C146" i="5"/>
  <c r="C145" i="5"/>
  <c r="C143" i="5"/>
  <c r="C142" i="5"/>
  <c r="C139" i="5"/>
  <c r="C138" i="5"/>
  <c r="C137" i="5"/>
  <c r="C136" i="5"/>
  <c r="C135" i="5"/>
  <c r="C134" i="5"/>
  <c r="C133" i="5"/>
  <c r="C130" i="5"/>
  <c r="C129" i="5"/>
  <c r="C128" i="5"/>
  <c r="C127" i="5"/>
  <c r="C126" i="5"/>
  <c r="C125" i="5"/>
  <c r="C124" i="5"/>
  <c r="K120" i="5"/>
  <c r="K119" i="5"/>
  <c r="K118" i="5"/>
  <c r="K117" i="5"/>
  <c r="J120" i="5"/>
  <c r="J119" i="5"/>
  <c r="J118" i="5"/>
  <c r="J117" i="5"/>
  <c r="H120" i="5"/>
  <c r="H119" i="5"/>
  <c r="H118" i="5"/>
  <c r="H117" i="5"/>
  <c r="G120" i="5"/>
  <c r="G119" i="5"/>
  <c r="G118" i="5"/>
  <c r="G117" i="5"/>
  <c r="F120" i="5"/>
  <c r="F119" i="5"/>
  <c r="F118" i="5"/>
  <c r="F117" i="5"/>
  <c r="E120" i="5"/>
  <c r="E119" i="5"/>
  <c r="E118" i="5"/>
  <c r="E117" i="5"/>
  <c r="D120" i="5"/>
  <c r="D119" i="5"/>
  <c r="D118" i="5"/>
  <c r="D117" i="5"/>
  <c r="C120" i="5"/>
  <c r="C119" i="5"/>
  <c r="C118" i="5"/>
  <c r="C117" i="5"/>
  <c r="G113" i="5"/>
  <c r="G112" i="5"/>
  <c r="G111" i="5"/>
  <c r="F113" i="5"/>
  <c r="F112" i="5"/>
  <c r="F111" i="5"/>
  <c r="D113" i="5"/>
  <c r="D112" i="5"/>
  <c r="D111" i="5"/>
  <c r="C113" i="5"/>
  <c r="C112" i="5"/>
  <c r="C111" i="5"/>
  <c r="K107" i="5"/>
  <c r="K106" i="5"/>
  <c r="K102" i="5"/>
  <c r="K100" i="5"/>
  <c r="K99" i="5"/>
  <c r="K97" i="5"/>
  <c r="K96" i="5"/>
  <c r="J107" i="5"/>
  <c r="J106" i="5"/>
  <c r="J102" i="5"/>
  <c r="J100" i="5"/>
  <c r="J99" i="5"/>
  <c r="J97" i="5"/>
  <c r="J96" i="5"/>
  <c r="I107" i="5"/>
  <c r="I102" i="5"/>
  <c r="I100" i="5"/>
  <c r="I97" i="5"/>
  <c r="I96" i="5"/>
  <c r="H107" i="5"/>
  <c r="H106" i="5"/>
  <c r="H104" i="5"/>
  <c r="H103" i="5"/>
  <c r="H102" i="5"/>
  <c r="H100" i="5"/>
  <c r="H99" i="5"/>
  <c r="H97" i="5"/>
  <c r="H96" i="5"/>
  <c r="G107" i="5"/>
  <c r="G106" i="5"/>
  <c r="G104" i="5"/>
  <c r="G102" i="5"/>
  <c r="G100" i="5"/>
  <c r="G99" i="5"/>
  <c r="G97" i="5"/>
  <c r="G96" i="5"/>
  <c r="F107" i="5"/>
  <c r="F106" i="5"/>
  <c r="F104" i="5"/>
  <c r="F102" i="5"/>
  <c r="F100" i="5"/>
  <c r="F99" i="5"/>
  <c r="F98" i="5"/>
  <c r="F97" i="5"/>
  <c r="F96" i="5"/>
  <c r="E107" i="5"/>
  <c r="E106" i="5"/>
  <c r="E104" i="5"/>
  <c r="E103" i="5"/>
  <c r="E102" i="5"/>
  <c r="E100" i="5"/>
  <c r="E99" i="5"/>
  <c r="E97" i="5"/>
  <c r="E96" i="5"/>
  <c r="D107" i="5"/>
  <c r="D106" i="5"/>
  <c r="D104" i="5"/>
  <c r="D102" i="5"/>
  <c r="D100" i="5"/>
  <c r="D99" i="5"/>
  <c r="D98" i="5"/>
  <c r="D97" i="5"/>
  <c r="D96" i="5"/>
  <c r="D95" i="5"/>
  <c r="C107" i="5"/>
  <c r="C106" i="5"/>
  <c r="C105" i="5"/>
  <c r="C104" i="5"/>
  <c r="C102" i="5"/>
  <c r="C101" i="5"/>
  <c r="C100" i="5"/>
  <c r="C99" i="5"/>
  <c r="C98" i="5"/>
  <c r="C97" i="5"/>
  <c r="C96" i="5"/>
  <c r="C95" i="5"/>
  <c r="C92" i="5"/>
  <c r="C91" i="5"/>
  <c r="C90" i="5"/>
  <c r="C89" i="5"/>
  <c r="C88" i="5"/>
  <c r="C87" i="5"/>
  <c r="C86" i="5"/>
  <c r="C85" i="5"/>
  <c r="C84" i="5"/>
  <c r="D81" i="5"/>
  <c r="D80" i="5"/>
  <c r="D79" i="5"/>
  <c r="D78" i="5"/>
  <c r="D77" i="5"/>
  <c r="C81" i="5"/>
  <c r="C80" i="5"/>
  <c r="C79" i="5"/>
  <c r="C78" i="5"/>
  <c r="C77" i="5"/>
  <c r="C74" i="5"/>
  <c r="C73" i="5"/>
  <c r="C72" i="5"/>
  <c r="C71" i="5"/>
  <c r="C70" i="5"/>
  <c r="C69" i="5"/>
  <c r="K66" i="5"/>
  <c r="K65" i="5"/>
  <c r="J66" i="5"/>
  <c r="J65" i="5"/>
  <c r="I66" i="5"/>
  <c r="I65" i="5"/>
  <c r="H66" i="5"/>
  <c r="H65" i="5"/>
  <c r="G66" i="5"/>
  <c r="G65" i="5"/>
  <c r="F66" i="5"/>
  <c r="F65" i="5"/>
  <c r="E66" i="5"/>
  <c r="E65" i="5"/>
  <c r="D66" i="5"/>
  <c r="D65" i="5"/>
  <c r="C66" i="5"/>
  <c r="C65" i="5"/>
  <c r="F62" i="5"/>
  <c r="F61" i="5"/>
  <c r="F60" i="5"/>
  <c r="F59" i="5"/>
  <c r="F58" i="5"/>
  <c r="F57" i="5"/>
  <c r="F56" i="5"/>
  <c r="F55" i="5"/>
  <c r="F54" i="5"/>
  <c r="F53" i="5"/>
  <c r="F52" i="5"/>
  <c r="F51" i="5"/>
  <c r="F50" i="5"/>
  <c r="F49" i="5"/>
  <c r="F48" i="5"/>
  <c r="F47" i="5"/>
  <c r="F46" i="5"/>
  <c r="F45" i="5"/>
  <c r="F44" i="5"/>
  <c r="F43" i="5"/>
  <c r="F42" i="5"/>
  <c r="C39" i="5"/>
  <c r="C38" i="5"/>
  <c r="C37" i="5"/>
  <c r="C36" i="5"/>
  <c r="C35" i="5"/>
  <c r="C34" i="5"/>
  <c r="C33" i="5"/>
  <c r="C32" i="5"/>
  <c r="C31" i="5"/>
  <c r="C30" i="5"/>
  <c r="C29" i="5"/>
  <c r="C28" i="5"/>
  <c r="C27" i="5"/>
  <c r="C26" i="5"/>
  <c r="C25" i="5"/>
  <c r="C24" i="5"/>
  <c r="C23" i="5"/>
  <c r="C22" i="5"/>
  <c r="C21" i="5"/>
  <c r="C20" i="5"/>
  <c r="K17" i="5"/>
  <c r="K16" i="5"/>
  <c r="K15" i="5"/>
  <c r="K14" i="5"/>
  <c r="K11" i="5"/>
  <c r="K5" i="5"/>
  <c r="J17" i="5"/>
  <c r="J16" i="5"/>
  <c r="J15" i="5"/>
  <c r="J14" i="5"/>
  <c r="J11" i="5"/>
  <c r="J5" i="5"/>
  <c r="I17" i="5"/>
  <c r="I16" i="5"/>
  <c r="I15" i="5"/>
  <c r="I14" i="5"/>
  <c r="I11" i="5"/>
  <c r="I5" i="5"/>
  <c r="H17" i="5"/>
  <c r="H16" i="5"/>
  <c r="H15" i="5"/>
  <c r="H14" i="5"/>
  <c r="H11" i="5"/>
  <c r="H9" i="5"/>
  <c r="H7" i="5"/>
  <c r="H5" i="5"/>
  <c r="G17" i="5"/>
  <c r="G16" i="5"/>
  <c r="G15" i="5"/>
  <c r="G14" i="5"/>
  <c r="G11" i="5"/>
  <c r="G8" i="5"/>
  <c r="G7" i="5"/>
  <c r="G5" i="5"/>
  <c r="F17" i="5"/>
  <c r="F16" i="5"/>
  <c r="F15" i="5"/>
  <c r="F14" i="5"/>
  <c r="F11" i="5"/>
  <c r="F7" i="5"/>
  <c r="F5" i="5"/>
  <c r="E17" i="5"/>
  <c r="E16" i="5"/>
  <c r="E15" i="5"/>
  <c r="E14" i="5"/>
  <c r="E11" i="5"/>
  <c r="E9" i="5"/>
  <c r="E5" i="5"/>
  <c r="D17" i="5"/>
  <c r="D16" i="5"/>
  <c r="D15" i="5"/>
  <c r="D14" i="5"/>
  <c r="D11" i="5"/>
  <c r="D9" i="5"/>
  <c r="D7" i="5"/>
  <c r="D6" i="5"/>
  <c r="D5" i="5"/>
  <c r="C17" i="5"/>
  <c r="C16" i="5"/>
  <c r="C15" i="5"/>
  <c r="C14" i="5"/>
  <c r="C11" i="5"/>
  <c r="C10" i="5"/>
  <c r="C7" i="5"/>
  <c r="C6" i="5"/>
  <c r="C5" i="5"/>
  <c r="K75" i="4"/>
  <c r="K74" i="4"/>
  <c r="J75" i="4"/>
  <c r="J50" i="4"/>
  <c r="I75" i="4"/>
  <c r="H75" i="4"/>
  <c r="H74" i="4"/>
  <c r="H61" i="4"/>
  <c r="H60" i="4"/>
  <c r="H59" i="4"/>
  <c r="H58" i="4"/>
  <c r="H57" i="4"/>
  <c r="H56" i="4"/>
  <c r="H55" i="4"/>
  <c r="H54" i="4"/>
  <c r="H50" i="4"/>
  <c r="G75" i="4"/>
  <c r="G74" i="4"/>
  <c r="G50" i="4"/>
  <c r="F75" i="4"/>
  <c r="F74" i="4"/>
  <c r="F50" i="4"/>
  <c r="F49" i="4"/>
  <c r="E75" i="4"/>
  <c r="E50" i="4"/>
  <c r="D75" i="4"/>
  <c r="D74" i="4"/>
  <c r="D73" i="4"/>
  <c r="D72" i="4"/>
  <c r="D71" i="4"/>
  <c r="D70" i="4"/>
  <c r="D69" i="4"/>
  <c r="D68" i="4"/>
  <c r="D67" i="4"/>
  <c r="D66" i="4"/>
  <c r="D65" i="4"/>
  <c r="D64" i="4"/>
  <c r="D63" i="4"/>
  <c r="D62" i="4"/>
  <c r="D61" i="4"/>
  <c r="D60" i="4"/>
  <c r="D59" i="4"/>
  <c r="D58" i="4"/>
  <c r="D57" i="4"/>
  <c r="D56" i="4"/>
  <c r="D55" i="4"/>
  <c r="D54" i="4"/>
  <c r="D50" i="4"/>
  <c r="D49" i="4"/>
  <c r="C75" i="4"/>
  <c r="C74" i="4"/>
  <c r="C73" i="4"/>
  <c r="C72" i="4"/>
  <c r="C71" i="4"/>
  <c r="C70" i="4"/>
  <c r="C69" i="4"/>
  <c r="C68" i="4"/>
  <c r="C67" i="4"/>
  <c r="C66" i="4"/>
  <c r="C65" i="4"/>
  <c r="C64" i="4"/>
  <c r="C63" i="4"/>
  <c r="C62" i="4"/>
  <c r="C61" i="4"/>
  <c r="C60" i="4"/>
  <c r="C59" i="4"/>
  <c r="C58" i="4"/>
  <c r="C57" i="4"/>
  <c r="C56" i="4"/>
  <c r="C55" i="4"/>
  <c r="C54" i="4"/>
  <c r="C50" i="4"/>
  <c r="C49" i="4"/>
  <c r="K43" i="4"/>
  <c r="K42" i="4"/>
  <c r="K36" i="4"/>
  <c r="K35" i="4"/>
  <c r="K34" i="4"/>
  <c r="K33" i="4"/>
  <c r="K28" i="4"/>
  <c r="K26" i="4"/>
  <c r="K25" i="4"/>
  <c r="J43" i="4"/>
  <c r="J36" i="4"/>
  <c r="J35" i="4"/>
  <c r="J34" i="4"/>
  <c r="J33" i="4"/>
  <c r="J28" i="4"/>
  <c r="J26" i="4"/>
  <c r="J25" i="4"/>
  <c r="I43" i="4"/>
  <c r="I35" i="4"/>
  <c r="I34" i="4"/>
  <c r="I33" i="4"/>
  <c r="I28" i="4"/>
  <c r="H43" i="4"/>
  <c r="H42" i="4"/>
  <c r="H36" i="4"/>
  <c r="H35" i="4"/>
  <c r="H34" i="4"/>
  <c r="H33" i="4"/>
  <c r="H28" i="4"/>
  <c r="H26" i="4"/>
  <c r="H25" i="4"/>
  <c r="G43" i="4"/>
  <c r="G42" i="4"/>
  <c r="G36" i="4"/>
  <c r="G28" i="4"/>
  <c r="G26" i="4"/>
  <c r="G25" i="4"/>
  <c r="F43" i="4"/>
  <c r="F42" i="4"/>
  <c r="F36" i="4"/>
  <c r="F35" i="4"/>
  <c r="F34" i="4"/>
  <c r="F33" i="4"/>
  <c r="F28" i="4"/>
  <c r="F27" i="4"/>
  <c r="F26" i="4"/>
  <c r="F25" i="4"/>
  <c r="E43" i="4"/>
  <c r="E42" i="4"/>
  <c r="E36" i="4"/>
  <c r="E35" i="4"/>
  <c r="E34" i="4"/>
  <c r="E33" i="4"/>
  <c r="E31" i="4"/>
  <c r="E28" i="4"/>
  <c r="E26" i="4"/>
  <c r="E25" i="4"/>
  <c r="D43" i="4"/>
  <c r="D42" i="4"/>
  <c r="D36" i="4"/>
  <c r="D35" i="4"/>
  <c r="D34" i="4"/>
  <c r="D33" i="4"/>
  <c r="D30" i="4"/>
  <c r="D29" i="4"/>
  <c r="D28" i="4"/>
  <c r="D27" i="4"/>
  <c r="D26" i="4"/>
  <c r="D25" i="4"/>
  <c r="C43" i="4"/>
  <c r="C42" i="4"/>
  <c r="C36" i="4"/>
  <c r="C35" i="4"/>
  <c r="C34" i="4"/>
  <c r="C33" i="4"/>
  <c r="C28" i="4"/>
  <c r="C27" i="4"/>
  <c r="C26" i="4"/>
  <c r="C24" i="4"/>
  <c r="D17" i="171" l="1"/>
  <c r="K33" i="3"/>
  <c r="K32" i="3"/>
  <c r="K31" i="3"/>
  <c r="K30" i="3"/>
  <c r="K29" i="3"/>
  <c r="K28" i="3"/>
  <c r="K27" i="3"/>
  <c r="K26" i="3"/>
  <c r="K25" i="3"/>
  <c r="J33" i="3"/>
  <c r="J31" i="3"/>
  <c r="J30" i="3"/>
  <c r="J29" i="3"/>
  <c r="J28" i="3"/>
  <c r="J26" i="3"/>
  <c r="J25" i="3"/>
  <c r="I33" i="3"/>
  <c r="I32" i="3"/>
  <c r="I31" i="3"/>
  <c r="I30" i="3"/>
  <c r="I29" i="3"/>
  <c r="I28" i="3"/>
  <c r="I27" i="3"/>
  <c r="I26" i="3"/>
  <c r="H33" i="3"/>
  <c r="H32" i="3"/>
  <c r="H31" i="3"/>
  <c r="H30" i="3"/>
  <c r="H29" i="3"/>
  <c r="H28" i="3"/>
  <c r="H27" i="3"/>
  <c r="H26" i="3"/>
  <c r="H25" i="3"/>
  <c r="G33" i="3"/>
  <c r="G32" i="3"/>
  <c r="G30" i="3"/>
  <c r="G29" i="3"/>
  <c r="G28" i="3"/>
  <c r="G27" i="3"/>
  <c r="G26" i="3"/>
  <c r="G25" i="3"/>
  <c r="F33" i="3"/>
  <c r="F32" i="3"/>
  <c r="F31" i="3"/>
  <c r="F30" i="3"/>
  <c r="F29" i="3"/>
  <c r="F28" i="3"/>
  <c r="F27" i="3"/>
  <c r="F26" i="3"/>
  <c r="F25" i="3"/>
  <c r="E33" i="3"/>
  <c r="E32" i="3"/>
  <c r="E31" i="3"/>
  <c r="E30" i="3"/>
  <c r="E29" i="3"/>
  <c r="E28" i="3"/>
  <c r="E27" i="3"/>
  <c r="E26" i="3"/>
  <c r="E25" i="3"/>
  <c r="D33" i="3"/>
  <c r="D32" i="3"/>
  <c r="D31" i="3"/>
  <c r="D30" i="3"/>
  <c r="D29" i="3"/>
  <c r="D28" i="3"/>
  <c r="D27" i="3"/>
  <c r="D26" i="3"/>
  <c r="D25" i="3"/>
  <c r="C33" i="3"/>
  <c r="C32" i="3"/>
  <c r="C31" i="3"/>
  <c r="C30" i="3"/>
  <c r="C29" i="3"/>
  <c r="C28" i="3"/>
  <c r="C27" i="3"/>
  <c r="C26" i="3"/>
  <c r="C25" i="3"/>
  <c r="K12" i="3"/>
  <c r="K11" i="3"/>
  <c r="K10" i="3"/>
  <c r="K9" i="3"/>
  <c r="K8" i="3"/>
  <c r="K7" i="3"/>
  <c r="K6" i="3"/>
  <c r="K5" i="3"/>
  <c r="K4" i="3"/>
  <c r="J12" i="3"/>
  <c r="J11" i="3"/>
  <c r="J10" i="3"/>
  <c r="J9" i="3"/>
  <c r="J8" i="3"/>
  <c r="J7" i="3"/>
  <c r="J6" i="3"/>
  <c r="J5" i="3"/>
  <c r="I12" i="3"/>
  <c r="I11" i="3"/>
  <c r="I10" i="3"/>
  <c r="I9" i="3"/>
  <c r="I8" i="3"/>
  <c r="I7" i="3"/>
  <c r="I6" i="3"/>
  <c r="I5" i="3"/>
  <c r="I4" i="3"/>
  <c r="H12" i="3"/>
  <c r="H11" i="3"/>
  <c r="H10" i="3"/>
  <c r="H9" i="3"/>
  <c r="H8" i="3"/>
  <c r="H7" i="3"/>
  <c r="H6" i="3"/>
  <c r="H5" i="3"/>
  <c r="H4" i="3"/>
  <c r="G12" i="3"/>
  <c r="G11" i="3"/>
  <c r="G10" i="3"/>
  <c r="G9" i="3"/>
  <c r="G8" i="3"/>
  <c r="G7" i="3"/>
  <c r="G6" i="3"/>
  <c r="G5" i="3"/>
  <c r="F12" i="3"/>
  <c r="F11" i="3"/>
  <c r="F10" i="3"/>
  <c r="F9" i="3"/>
  <c r="F8" i="3"/>
  <c r="F7" i="3"/>
  <c r="F6" i="3"/>
  <c r="F5" i="3"/>
  <c r="F4" i="3"/>
  <c r="E12" i="3"/>
  <c r="E11" i="3"/>
  <c r="E10" i="3"/>
  <c r="E9" i="3"/>
  <c r="E8" i="3"/>
  <c r="E7" i="3"/>
  <c r="E6" i="3"/>
  <c r="E5" i="3"/>
  <c r="E4" i="3"/>
  <c r="D12" i="3"/>
  <c r="D11" i="3"/>
  <c r="D10" i="3"/>
  <c r="D9" i="3"/>
  <c r="D8" i="3"/>
  <c r="D7" i="3"/>
  <c r="D6" i="3"/>
  <c r="D5" i="3"/>
  <c r="D4" i="3"/>
  <c r="C12" i="3"/>
  <c r="C11" i="3"/>
  <c r="C10" i="3"/>
  <c r="C9" i="3"/>
  <c r="C8" i="3"/>
  <c r="C7" i="3"/>
  <c r="C6" i="3"/>
  <c r="C5"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4" i="179" l="1"/>
  <c r="L23" i="179"/>
  <c r="L17" i="179"/>
  <c r="L19" i="179" s="1"/>
  <c r="L15" i="179"/>
  <c r="L13" i="179"/>
  <c r="L28" i="183" l="1"/>
  <c r="L26" i="179"/>
  <c r="D14" i="171"/>
  <c r="D12" i="171"/>
  <c r="A10" i="169"/>
  <c r="A16" i="169"/>
  <c r="A15" i="169"/>
  <c r="A14" i="169"/>
  <c r="K18" i="169"/>
  <c r="G18" i="169"/>
  <c r="G15" i="169"/>
  <c r="I13" i="169"/>
  <c r="G11" i="169"/>
  <c r="G10" i="169"/>
  <c r="G9" i="169"/>
  <c r="G7" i="169"/>
  <c r="E7" i="169"/>
  <c r="A7" i="169"/>
  <c r="B4" i="177"/>
  <c r="B4" i="175"/>
  <c r="G43" i="174"/>
  <c r="D47"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1" i="187" l="1"/>
  <c r="B1" i="185"/>
  <c r="B1" i="186"/>
  <c r="B1" i="184"/>
  <c r="B1" i="183"/>
  <c r="B2" i="179"/>
  <c r="B2" i="187"/>
  <c r="B2" i="186"/>
  <c r="B2" i="185"/>
  <c r="B2" i="183"/>
  <c r="B2" i="184"/>
  <c r="B2" i="174"/>
  <c r="A2" i="173"/>
  <c r="B2" i="177"/>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K24" i="12" s="1"/>
  <c r="B7733" i="106" s="1"/>
  <c r="D7733" i="106" s="1"/>
  <c r="J12" i="12"/>
  <c r="B7718" i="106" s="1"/>
  <c r="D7718" i="106" s="1"/>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0" i="127"/>
  <c r="B61"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H28" i="118"/>
  <c r="H33" i="118"/>
  <c r="D11" i="37"/>
  <c r="H22" i="37"/>
  <c r="L22" i="37"/>
  <c r="D24" i="37"/>
  <c r="B4270" i="106" s="1"/>
  <c r="D4270" i="106" s="1"/>
  <c r="J22" i="37" l="1"/>
  <c r="D22" i="37"/>
  <c r="L312" i="29"/>
  <c r="D68" i="36"/>
  <c r="K28" i="118"/>
  <c r="O27" i="118" s="1"/>
  <c r="O29" i="118" s="1"/>
  <c r="L342" i="29"/>
  <c r="K26" i="12"/>
  <c r="B7743" i="106" s="1"/>
  <c r="D7743" i="106" s="1"/>
  <c r="F19" i="7"/>
  <c r="B1807" i="106" s="1"/>
  <c r="D1807" i="106" s="1"/>
  <c r="N22" i="3"/>
  <c r="B283" i="106" s="1"/>
  <c r="D283" i="106" s="1"/>
  <c r="D69" i="36"/>
  <c r="D54" i="36"/>
  <c r="L13" i="11"/>
  <c r="B2060" i="106" s="1"/>
  <c r="D2060" i="106" s="1"/>
  <c r="L5" i="11"/>
  <c r="B2056" i="106" s="1"/>
  <c r="D2056" i="106" s="1"/>
  <c r="B4268" i="106"/>
  <c r="D4268" i="106" s="1"/>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3447" i="106"/>
  <c r="D3447" i="106" s="1"/>
  <c r="B7270" i="106"/>
  <c r="D7254" i="106" l="1"/>
  <c r="D7256" i="106"/>
  <c r="D7253" i="106"/>
  <c r="D7252" i="106"/>
  <c r="L16" i="11"/>
  <c r="B2061" i="106" s="1"/>
  <c r="D2061" i="106" s="1"/>
  <c r="B2031" i="106"/>
  <c r="D2031" i="106" s="1"/>
  <c r="D44" i="36"/>
  <c r="G15" i="4"/>
  <c r="B6032" i="106" s="1"/>
  <c r="D6032" i="106" s="1"/>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F10" i="146" l="1"/>
  <c r="B6266" i="106"/>
  <c r="D6266"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<sst xmlns="http://schemas.openxmlformats.org/spreadsheetml/2006/main" count="5365" uniqueCount="2219">
  <si>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</si>
  <si>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</si>
  <si>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</si>
  <si>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</si>
  <si>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</si>
  <si>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</si>
  <si>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</si>
  <si>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</si>
  <si>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</si>
  <si>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</si>
  <si>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</si>
  <si>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</si>
  <si>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</si>
  <si>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</si>
  <si>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</si>
  <si>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</si>
  <si>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</si>
  <si>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</si>
  <si>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</si>
  <si>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</si>
  <si>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</si>
  <si>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</si>
  <si>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</si>
  <si>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</si>
  <si>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</si>
  <si>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</si>
  <si>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</si>
  <si>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</si>
  <si>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</si>
  <si>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</si>
  <si>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</si>
  <si>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</si>
  <si>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</si>
  <si>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</si>
  <si>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</si>
  <si>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</si>
  <si>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</si>
  <si>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</si>
  <si>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</si>
  <si>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</si>
  <si>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</si>
  <si>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</si>
  <si>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</si>
  <si>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</si>
  <si>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</si>
  <si>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</si>
  <si>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</si>
  <si>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</si>
  <si>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</si>
  <si>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</si>
  <si>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</si>
  <si>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</si>
  <si>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</si>
  <si>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</si>
  <si>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</si>
  <si>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</si>
  <si>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</si>
  <si>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</si>
  <si>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</si>
  <si>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</si>
  <si>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</si>
  <si>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</si>
  <si>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</si>
  <si>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</si>
  <si>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</si>
  <si>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</si>
  <si>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</si>
  <si>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</si>
  <si>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</si>
  <si>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</si>
  <si>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</si>
  <si>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</si>
  <si>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</si>
  <si>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</si>
  <si>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</si>
  <si>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</si>
  <si>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</si>
  <si>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</si>
  <si>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</si>
  <si>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</si>
  <si>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</si>
  <si>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</si>
  <si>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</si>
  <si>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</si>
  <si>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</si>
  <si>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</si>
  <si>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</si>
  <si>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</si>
  <si>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</si>
  <si>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</si>
  <si>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</si>
  <si>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</si>
  <si>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</si>
  <si>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</si>
  <si>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</si>
  <si>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</si>
  <si>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</si>
  <si>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</si>
  <si>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</si>
  <si>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</si>
  <si>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</si>
  <si>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</si>
  <si>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</si>
  <si>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</si>
  <si>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</si>
  <si>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</si>
  <si>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</si>
  <si>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</si>
  <si>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</si>
  <si>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</si>
  <si>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</si>
  <si>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</si>
  <si>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</si>
  <si>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</si>
  <si>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</si>
  <si>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</si>
  <si>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</si>
  <si>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</si>
  <si>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</si>
  <si>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</si>
  <si>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</si>
  <si>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</si>
  <si>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</si>
  <si>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</si>
  <si>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</si>
  <si>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</si>
  <si>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</si>
  <si>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</si>
  <si>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</si>
  <si>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</si>
  <si>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</si>
  <si>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</si>
  <si>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</si>
  <si>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</si>
  <si>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</si>
  <si>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</si>
  <si>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</si>
  <si>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</si>
  <si>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</si>
  <si>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</si>
  <si>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</si>
  <si>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</si>
  <si>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</si>
  <si>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</si>
  <si>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</si>
  <si>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</si>
  <si>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</si>
  <si>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</si>
  <si>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</si>
  <si>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</si>
  <si>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</si>
  <si>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</si>
  <si>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</si>
  <si>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</si>
  <si>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</si>
  <si>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</si>
  <si>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</si>
  <si>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</si>
  <si>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</si>
  <si>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</si>
  <si>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</si>
  <si>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</si>
  <si>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</si>
  <si>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</si>
  <si>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</si>
  <si>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</si>
  <si>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</si>
  <si>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</si>
  <si>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</si>
  <si>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</si>
  <si>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</si>
  <si>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</si>
  <si>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</si>
  <si>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</si>
  <si>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</si>
  <si>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</si>
  <si>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</si>
  <si>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</si>
  <si>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</si>
  <si>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</si>
  <si>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</si>
  <si>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</si>
  <si>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</si>
  <si>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</si>
  <si>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</si>
  <si>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</si>
  <si>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</si>
  <si>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</si>
  <si>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</si>
  <si>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</si>
  <si>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</si>
  <si>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</si>
  <si>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</si>
  <si>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</si>
  <si>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</si>
  <si>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</si>
  <si>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</si>
  <si>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</si>
  <si>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</si>
  <si>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</si>
  <si>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</si>
  <si>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</si>
  <si>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</si>
  <si>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</si>
  <si>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</si>
  <si>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</si>
  <si>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</si>
  <si>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</si>
  <si>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</si>
  <si>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</si>
  <si>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</si>
  <si>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</si>
  <si>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</si>
  <si>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</si>
  <si>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</si>
  <si>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</si>
  <si>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</si>
  <si>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</si>
  <si>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</si>
  <si>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</si>
  <si>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</si>
  <si>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</si>
  <si>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</si>
  <si>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</si>
  <si>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</si>
  <si>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</si>
  <si>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</si>
  <si>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</si>
  <si>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</si>
  <si>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</si>
  <si>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</si>
  <si>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</si>
  <si>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</si>
  <si>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</si>
  <si>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</si>
  <si>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</si>
  <si>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</si>
  <si>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</si>
  <si>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</si>
  <si>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</si>
  <si>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</si>
  <si>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</si>
  <si>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</si>
  <si>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</si>
  <si>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</si>
  <si>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</si>
  <si>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</si>
  <si>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</si>
  <si>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</si>
  <si>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</si>
  <si>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</si>
  <si>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</si>
  <si>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</si>
  <si>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</si>
  <si>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</si>
  <si>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</si>
  <si>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</si>
  <si>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</si>
  <si>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</si>
  <si>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</si>
  <si>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</si>
  <si>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</si>
  <si>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</si>
  <si>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</si>
  <si>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</si>
  <si>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</si>
  <si>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</si>
  <si>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</si>
  <si>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</si>
  <si>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</si>
  <si>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</si>
  <si>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</si>
  <si>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</si>
  <si>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</si>
  <si>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</si>
  <si>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</si>
  <si>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</si>
  <si>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</si>
  <si>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</si>
  <si>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</si>
  <si>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</si>
  <si>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</si>
  <si>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</si>
  <si>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</si>
  <si>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</si>
  <si>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</si>
  <si>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</si>
  <si>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</si>
  <si>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</si>
  <si>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</si>
  <si>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</si>
  <si>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</si>
  <si>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</si>
  <si>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</si>
  <si>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</si>
  <si>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</si>
  <si>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</si>
  <si>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</si>
  <si>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</si>
  <si>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</si>
  <si>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</si>
  <si>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</si>
  <si>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</si>
  <si>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</si>
  <si>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</si>
  <si>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</si>
  <si>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</si>
  <si>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</si>
  <si>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</si>
  <si>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</si>
  <si>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</si>
  <si>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</si>
  <si>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</si>
  <si>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</si>
  <si>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</si>
  <si>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</si>
  <si>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</si>
  <si>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</si>
  <si>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</si>
  <si>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</si>
  <si>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</si>
  <si>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</si>
  <si>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</si>
  <si>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</si>
  <si>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</si>
  <si>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</si>
  <si>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</si>
  <si>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</si>
  <si>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</si>
  <si>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</si>
  <si>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</si>
  <si>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</si>
  <si>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</si>
  <si>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</si>
  <si>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</si>
  <si>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</si>
  <si>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</si>
  <si>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</si>
  <si>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</si>
  <si>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</si>
  <si>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</si>
  <si>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</si>
  <si>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</si>
  <si>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</si>
  <si>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</si>
  <si>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</si>
  <si>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</si>
  <si>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</si>
  <si>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</si>
  <si>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</si>
  <si>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</si>
  <si>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</si>
  <si>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</si>
  <si>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</si>
  <si>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</si>
  <si>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</si>
  <si>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</si>
  <si>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</si>
  <si>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</si>
  <si>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</si>
  <si>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</si>
  <si>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</si>
  <si>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</si>
  <si>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</si>
  <si>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</si>
  <si>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</si>
  <si>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</si>
  <si>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</si>
  <si>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</si>
  <si>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</si>
  <si>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</si>
  <si>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</si>
  <si>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</si>
  <si>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</si>
  <si>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</si>
  <si>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</si>
  <si>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</si>
  <si>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</si>
  <si>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</si>
  <si>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</si>
  <si>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</si>
  <si>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</si>
  <si>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</si>
  <si>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</si>
  <si>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</si>
  <si>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</si>
  <si>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</si>
  <si>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</si>
  <si>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</si>
  <si>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</si>
  <si>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</si>
  <si>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</si>
  <si>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</si>
  <si>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</si>
  <si>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</si>
  <si>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</si>
  <si>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</si>
  <si>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</si>
  <si>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</si>
  <si>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</si>
  <si>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</si>
  <si>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</si>
  <si>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</si>
  <si>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</si>
  <si>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</si>
  <si>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</si>
  <si>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</si>
  <si>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</si>
  <si>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</si>
  <si>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</si>
  <si>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</si>
  <si>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</si>
  <si>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</si>
  <si>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</si>
  <si>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</si>
  <si>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</si>
  <si>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</si>
  <si>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</si>
  <si>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</si>
  <si>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</si>
  <si>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</si>
  <si>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</si>
  <si>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</si>
  <si>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</si>
  <si>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</si>
  <si>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</si>
  <si>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</si>
  <si>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</si>
  <si>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</si>
  <si>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</si>
  <si>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</si>
  <si>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</si>
  <si>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</si>
  <si>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</si>
  <si>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</si>
  <si>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</si>
  <si>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</si>
  <si>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</si>
  <si>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</si>
  <si>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</si>
  <si>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</si>
  <si>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</si>
  <si>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</si>
  <si>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</si>
  <si>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</si>
  <si>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</si>
  <si>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</si>
  <si>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</si>
  <si>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</si>
  <si>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</si>
  <si>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</si>
  <si>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</si>
  <si>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</si>
  <si>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</si>
  <si>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</si>
  <si>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</si>
  <si>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</si>
  <si>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</si>
  <si>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</si>
  <si>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</si>
  <si>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</si>
  <si>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</si>
  <si>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</si>
  <si>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</si>
  <si>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</si>
  <si>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</si>
  <si>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</si>
  <si>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</si>
  <si>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</si>
  <si>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</si>
  <si>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</si>
  <si>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</si>
  <si>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</si>
  <si>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</si>
  <si>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</si>
  <si>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</si>
  <si>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</si>
  <si>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</si>
  <si>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</si>
  <si>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</si>
  <si>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</si>
  <si>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</si>
  <si>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</si>
  <si>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</si>
  <si>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</si>
  <si>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</si>
  <si>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</si>
  <si>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</si>
  <si>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</si>
  <si>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</si>
  <si>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</si>
  <si>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</si>
  <si>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</si>
  <si>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</si>
  <si>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</si>
  <si>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</si>
  <si>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</si>
  <si>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</si>
  <si>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</si>
  <si>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</si>
  <si>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</si>
  <si>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</si>
  <si>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</si>
  <si>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</si>
  <si>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</si>
  <si>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</si>
  <si>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</si>
  <si>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</si>
  <si>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</si>
  <si>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</si>
  <si>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</si>
  <si>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</si>
  <si>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</si>
  <si>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</si>
  <si>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</si>
  <si>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</si>
  <si>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</si>
  <si>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</si>
  <si>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</si>
  <si>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</si>
  <si>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</si>
  <si>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</si>
  <si>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</si>
  <si>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</si>
  <si>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</si>
  <si>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</si>
  <si>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</si>
  <si>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</si>
  <si>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</si>
  <si>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</si>
  <si>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</si>
  <si>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</si>
  <si>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</si>
  <si>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</si>
  <si>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</si>
  <si>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</si>
  <si>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</si>
  <si>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</si>
  <si>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</si>
  <si>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</si>
  <si>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</si>
  <si>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</si>
  <si>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</si>
  <si>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</si>
  <si>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</si>
  <si>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</si>
  <si>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</si>
  <si>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</si>
  <si>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</si>
  <si>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</si>
  <si>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</si>
  <si>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</si>
  <si>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</si>
  <si>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</si>
  <si>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</si>
  <si>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</si>
  <si>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</si>
  <si>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</si>
  <si>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</si>
  <si>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</si>
  <si>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</si>
  <si>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</si>
  <si>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</si>
  <si>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</si>
  <si>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</si>
  <si>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</si>
  <si>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</si>
  <si>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</si>
  <si>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</si>
  <si>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</si>
  <si>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</si>
  <si>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</si>
  <si>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</si>
  <si>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</si>
  <si>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</si>
  <si>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</si>
  <si>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</si>
  <si>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</si>
  <si>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</si>
  <si>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</si>
  <si>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</si>
  <si>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</si>
  <si>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</si>
  <si>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</si>
  <si>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</si>
  <si>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</si>
  <si>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</si>
  <si>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</si>
  <si>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</si>
  <si>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</si>
  <si>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</si>
  <si>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</si>
  <si>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</si>
  <si>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</si>
  <si>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</si>
  <si>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</si>
  <si>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</si>
  <si>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</si>
  <si>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</si>
  <si>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</si>
  <si>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</si>
  <si>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</si>
  <si>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</si>
  <si>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</si>
  <si>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</si>
  <si>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</si>
  <si>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</si>
  <si>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</si>
  <si>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</si>
  <si>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</si>
  <si>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</si>
  <si>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</si>
  <si>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</si>
  <si>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</si>
  <si>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</si>
  <si>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</si>
  <si>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</si>
  <si>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</si>
  <si>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</si>
  <si>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</si>
  <si>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</si>
  <si>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</si>
  <si>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</si>
  <si>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</si>
  <si>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</si>
  <si>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</si>
  <si>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</si>
  <si>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</si>
  <si>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</si>
  <si>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</si>
  <si>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</si>
  <si>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</si>
  <si>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</si>
  <si>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</si>
  <si>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</si>
  <si>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</si>
  <si>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</si>
  <si>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</si>
  <si>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</si>
  <si>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</si>
  <si>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</si>
  <si>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</si>
  <si>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</si>
  <si>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</si>
  <si>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</si>
  <si>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</si>
  <si>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</si>
  <si>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</si>
  <si>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</si>
  <si>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</si>
  <si>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</si>
  <si>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</si>
  <si>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</si>
  <si>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</si>
  <si>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</si>
  <si>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</si>
  <si>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</si>
  <si>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</si>
  <si>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</si>
  <si>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</si>
  <si>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</si>
  <si>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</si>
  <si>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</si>
  <si>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</si>
  <si>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</si>
  <si>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</si>
  <si>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</si>
  <si>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</si>
  <si>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</si>
  <si>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</si>
  <si>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</si>
  <si>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</si>
  <si>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</si>
  <si>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</si>
  <si>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</si>
  <si>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</si>
  <si>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</si>
  <si>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</si>
  <si>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</si>
  <si>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</si>
  <si>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</si>
  <si>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</si>
  <si>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</si>
  <si>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</si>
  <si>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</si>
  <si>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</si>
  <si>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</si>
  <si>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</si>
  <si>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</si>
  <si>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</si>
  <si>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</si>
  <si>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</si>
  <si>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</si>
  <si>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</si>
  <si>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</si>
  <si>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</si>
  <si>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</si>
  <si>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</si>
  <si>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</si>
  <si>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</si>
  <si>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</si>
  <si>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</si>
  <si>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</si>
  <si>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</si>
  <si>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</si>
  <si>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</si>
  <si>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</si>
  <si>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</si>
  <si>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</si>
  <si>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</si>
  <si>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</si>
  <si>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</si>
  <si>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</si>
  <si>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</si>
  <si>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</si>
  <si>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</si>
  <si>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</si>
  <si>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</si>
  <si>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</si>
  <si>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</si>
  <si>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</si>
  <si>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</si>
  <si>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</si>
  <si>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</si>
  <si>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</si>
  <si>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</si>
  <si>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</si>
  <si>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</si>
  <si>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</si>
  <si>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</si>
  <si>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</si>
  <si>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</si>
  <si>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</si>
  <si>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</si>
  <si>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</si>
  <si>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</si>
  <si>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</si>
  <si>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</si>
  <si>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</si>
  <si>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</si>
  <si>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</si>
  <si>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</si>
  <si>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</si>
  <si>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</si>
  <si>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</si>
  <si>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</si>
  <si>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</si>
  <si>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</si>
  <si>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</si>
  <si>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</si>
  <si>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</si>
  <si>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</si>
  <si>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</si>
  <si>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</si>
  <si>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</si>
  <si>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</si>
  <si>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</si>
  <si>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</si>
  <si>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</si>
  <si>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</si>
  <si>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</si>
  <si>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</si>
  <si>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</si>
  <si>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</si>
  <si>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</si>
  <si>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</si>
  <si>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</si>
  <si>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</si>
  <si>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</si>
  <si>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</si>
  <si>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</si>
  <si>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</si>
  <si>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</si>
  <si>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</si>
  <si>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</si>
  <si>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</si>
  <si>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</si>
  <si>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</si>
  <si>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</si>
  <si>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</si>
  <si>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</si>
  <si>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</si>
  <si>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</si>
  <si>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</si>
  <si>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</si>
  <si>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</si>
  <si>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</si>
  <si>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</si>
  <si>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</si>
  <si>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</si>
  <si>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</si>
  <si>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</si>
  <si>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</si>
  <si>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</si>
  <si>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</si>
  <si>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</si>
  <si>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</si>
  <si>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</si>
  <si>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</si>
  <si>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</si>
  <si>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</si>
  <si>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</si>
  <si>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</si>
  <si>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</si>
  <si>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</si>
  <si>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</si>
  <si>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</si>
  <si>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</si>
  <si>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</si>
  <si>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</si>
  <si>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</si>
  <si>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</si>
  <si>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</si>
  <si>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</si>
  <si>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</si>
  <si>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</si>
  <si>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</si>
  <si>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</si>
  <si>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</si>
  <si>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</si>
  <si>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</si>
  <si>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</si>
  <si>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</si>
  <si>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</si>
  <si>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</si>
  <si>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</si>
  <si>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</si>
  <si>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</si>
  <si>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</si>
  <si>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</si>
  <si>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</si>
  <si>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</si>
  <si>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</si>
  <si>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</si>
  <si>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</si>
  <si>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</si>
  <si>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</si>
  <si>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</si>
  <si>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</si>
  <si>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</si>
  <si>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</si>
  <si>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</si>
  <si>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</si>
  <si>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</si>
  <si>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</si>
  <si>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</si>
  <si>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</si>
  <si>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</si>
  <si>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</si>
  <si>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</si>
  <si>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</si>
  <si>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</si>
  <si>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</si>
  <si>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</si>
  <si>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</si>
  <si>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</si>
  <si>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</si>
  <si>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</si>
  <si>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</si>
  <si>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</si>
  <si>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</si>
  <si>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</si>
  <si>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</si>
  <si>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</si>
  <si>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</si>
  <si>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</si>
  <si>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</si>
  <si>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</si>
  <si>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</si>
  <si>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</si>
  <si>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</si>
  <si>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</si>
  <si>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</si>
  <si>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</si>
  <si>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</si>
  <si>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</si>
  <si>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</si>
  <si>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</si>
  <si>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</si>
  <si>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</si>
  <si>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</si>
  <si>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</si>
  <si>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</si>
  <si>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</si>
  <si>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</si>
  <si>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</si>
  <si>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</si>
  <si>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</si>
  <si>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</si>
  <si>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</si>
  <si>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</si>
  <si>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</si>
  <si>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</si>
  <si>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</si>
  <si>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</si>
  <si>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</si>
  <si>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</si>
  <si>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</si>
  <si>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</si>
  <si>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</si>
  <si>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</si>
  <si>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</si>
  <si>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</si>
  <si>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</si>
  <si>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</si>
  <si>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</si>
  <si>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</si>
  <si>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</si>
  <si>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</si>
  <si>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</si>
  <si>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</si>
  <si>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</si>
  <si>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</si>
  <si>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</si>
  <si>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</si>
  <si>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</si>
  <si>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</si>
  <si>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</si>
  <si>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</si>
  <si>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</si>
  <si>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</si>
  <si>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</si>
  <si>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</si>
  <si>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</si>
  <si>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</si>
  <si>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</si>
  <si>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</si>
  <si>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</si>
  <si>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</si>
  <si>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</si>
  <si>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</si>
  <si>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</si>
  <si>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</si>
  <si>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</si>
  <si>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</si>
  <si>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</si>
  <si>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</si>
  <si>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</si>
  <si>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</si>
  <si>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</si>
  <si>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</si>
  <si>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</si>
  <si>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</si>
  <si>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</si>
  <si>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</si>
  <si>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</si>
  <si>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</si>
  <si>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</si>
  <si>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</si>
  <si>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</si>
  <si>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</si>
  <si>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</si>
  <si>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</si>
  <si>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</si>
  <si>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</si>
  <si>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</si>
  <si>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</si>
  <si>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</si>
  <si>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</si>
  <si>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</si>
  <si>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</si>
  <si>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</si>
  <si>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</si>
  <si>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</si>
  <si>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</si>
  <si>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</si>
  <si>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</si>
  <si>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</si>
  <si>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</si>
  <si>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</si>
  <si>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</si>
  <si>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</si>
  <si>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</si>
  <si>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</si>
  <si>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</si>
  <si>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</si>
  <si>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</si>
  <si>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</si>
  <si>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</si>
  <si>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</si>
  <si>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</si>
  <si>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</si>
  <si>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</si>
  <si>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</si>
  <si>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</si>
  <si>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</si>
  <si>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</si>
  <si>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</si>
  <si>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</si>
  <si>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</si>
  <si>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</si>
  <si>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</si>
  <si>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</si>
  <si>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</si>
  <si>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</si>
  <si>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</si>
  <si>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</si>
  <si>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</si>
  <si>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</si>
  <si>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</si>
  <si>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</si>
  <si>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</si>
  <si>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</si>
  <si>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</si>
  <si>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</si>
  <si>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</si>
  <si>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</si>
  <si>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</si>
  <si>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</si>
  <si>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</si>
  <si>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</si>
  <si>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</si>
  <si>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</si>
  <si>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</si>
  <si>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</si>
  <si>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</si>
  <si>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</si>
  <si>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</si>
  <si>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</si>
  <si>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</si>
  <si>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</si>
  <si>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</si>
  <si>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</si>
  <si>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</si>
  <si>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</si>
  <si>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</si>
  <si>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</si>
  <si>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</si>
  <si>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</si>
  <si>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</si>
  <si>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</si>
  <si>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</si>
  <si>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</si>
  <si>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</si>
  <si>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</si>
  <si>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</si>
  <si>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</si>
  <si>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</si>
  <si>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</si>
  <si>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</si>
  <si>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</si>
  <si>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</si>
  <si>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</si>
  <si>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</si>
  <si>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</si>
  <si>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</si>
  <si>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</si>
  <si>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</si>
  <si>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</si>
  <si>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</si>
  <si>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</si>
  <si>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</si>
  <si>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</si>
  <si>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</si>
  <si>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</si>
  <si>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</si>
  <si>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</si>
  <si>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</si>
  <si>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</si>
  <si>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</si>
  <si>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</si>
  <si>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</si>
  <si>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</si>
  <si>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</si>
  <si>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</si>
  <si>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</si>
  <si>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</si>
  <si>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</si>
  <si>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</si>
  <si>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</si>
  <si>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</si>
  <si>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</si>
  <si>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</si>
  <si>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</si>
  <si>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</si>
  <si>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</si>
  <si>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</si>
  <si>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</si>
  <si>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</si>
  <si>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</si>
  <si>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</si>
  <si>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</si>
  <si>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</si>
  <si>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</si>
  <si>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</si>
  <si>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</si>
  <si>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</si>
  <si>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</si>
  <si>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</si>
  <si>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</si>
  <si>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</si>
  <si>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</si>
  <si>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</si>
  <si>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</si>
  <si>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</si>
  <si>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</si>
  <si>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</si>
  <si>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</si>
  <si>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</si>
  <si>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</si>
  <si>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</si>
  <si>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</si>
  <si>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</si>
  <si>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</si>
  <si>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</si>
  <si>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</si>
  <si>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</si>
  <si>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</si>
  <si>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</si>
  <si>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</si>
  <si>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</si>
  <si>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</si>
  <si>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</si>
  <si>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</si>
  <si>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</si>
  <si>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</si>
  <si>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</si>
  <si>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</si>
  <si>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</si>
  <si>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</si>
  <si>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</si>
  <si>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</si>
  <si>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</si>
  <si>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</si>
  <si>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</si>
  <si>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</si>
  <si>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</si>
  <si>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</si>
  <si>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</si>
  <si>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</si>
  <si>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</si>
  <si>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</si>
  <si>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</si>
  <si>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</si>
  <si>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</si>
  <si>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</si>
  <si>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</si>
  <si>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</si>
  <si>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</si>
  <si>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</si>
  <si>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</si>
  <si>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</si>
  <si>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</si>
  <si>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</si>
  <si>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</si>
  <si>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</si>
  <si>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</si>
  <si>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</si>
  <si>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</si>
  <si>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</si>
  <si>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</si>
  <si>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</si>
  <si>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</si>
  <si>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</si>
  <si>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</si>
  <si>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</si>
  <si>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</si>
  <si>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</si>
  <si>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</si>
  <si>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</si>
  <si>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</si>
  <si>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</si>
  <si>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</si>
  <si>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</si>
  <si>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</si>
  <si>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</si>
  <si>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</si>
  <si>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</si>
  <si>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</si>
  <si>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</si>
  <si>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</si>
  <si>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</si>
  <si>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</si>
  <si>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</si>
  <si>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</si>
  <si>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</si>
  <si>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</si>
  <si>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</si>
  <si>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</si>
  <si>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</si>
  <si>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</si>
  <si>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</si>
  <si>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</si>
  <si>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</si>
  <si>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</si>
  <si>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</si>
  <si>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</si>
  <si>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</si>
  <si>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</si>
  <si>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</si>
  <si>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</si>
  <si>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</si>
  <si>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</si>
  <si>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</si>
  <si>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</si>
  <si>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</si>
  <si>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</si>
  <si>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</si>
  <si>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</si>
  <si>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</si>
  <si>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</si>
  <si>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</si>
  <si>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</si>
  <si>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</si>
  <si>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</si>
  <si>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</si>
  <si>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</si>
  <si>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</si>
  <si>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</si>
  <si>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</si>
  <si>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</si>
  <si>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</si>
  <si>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</si>
  <si>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</si>
  <si>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</si>
  <si>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</si>
  <si>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</si>
  <si>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</si>
  <si>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</si>
  <si>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</si>
  <si>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</si>
  <si>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</si>
  <si>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</si>
  <si>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</si>
  <si>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</si>
  <si>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</si>
  <si>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</si>
  <si>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</si>
  <si>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</si>
  <si>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</si>
  <si>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</si>
  <si>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</si>
  <si>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</si>
  <si>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</si>
  <si>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</si>
  <si>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</si>
  <si>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</si>
  <si>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</si>
  <si>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</si>
  <si>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</si>
  <si>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</si>
  <si>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</si>
  <si>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</si>
  <si>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</si>
  <si>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</si>
  <si>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</si>
  <si>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</si>
  <si>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</si>
  <si>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</si>
  <si>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</si>
  <si>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</si>
  <si>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</si>
  <si>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</si>
  <si>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</si>
  <si>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</si>
  <si>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</si>
  <si>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</si>
  <si>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</si>
  <si>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</si>
  <si>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</si>
  <si>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</si>
  <si>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</si>
  <si>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</si>
  <si>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</si>
  <si>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</si>
  <si>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</si>
  <si>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</si>
  <si>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</si>
  <si>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</si>
  <si>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</si>
  <si>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</si>
  <si>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</si>
  <si>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</si>
  <si>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</si>
  <si>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</si>
  <si>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</si>
  <si>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</si>
  <si>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</si>
  <si>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</si>
  <si>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</si>
  <si>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</si>
  <si>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</si>
  <si>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</si>
  <si>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</si>
  <si>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</si>
  <si>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</si>
  <si>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</si>
  <si>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</si>
  <si>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</si>
  <si>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</si>
  <si>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</si>
  <si>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</si>
  <si>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</si>
  <si>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</si>
  <si>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</si>
  <si>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</si>
  <si>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</si>
  <si>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</si>
  <si>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</si>
  <si>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</si>
  <si>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</si>
  <si>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</si>
  <si>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</si>
  <si>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</si>
  <si>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</si>
  <si>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</si>
  <si>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</si>
  <si>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</si>
  <si>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</si>
  <si>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</si>
  <si>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</si>
  <si>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</si>
  <si>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</si>
  <si>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</si>
  <si>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</si>
  <si>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</si>
  <si>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</si>
  <si>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</si>
  <si>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</si>
  <si>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</si>
  <si>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</si>
  <si>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</si>
  <si>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</si>
  <si>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</si>
  <si>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</si>
  <si>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</si>
  <si>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</si>
  <si>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</si>
  <si>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</si>
  <si>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</si>
  <si>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</si>
  <si>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</si>
  <si>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</si>
  <si>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</si>
  <si>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</si>
  <si>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</si>
  <si>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</si>
  <si>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</si>
  <si>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</si>
  <si>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</si>
  <si>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</si>
  <si>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</si>
  <si>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</si>
  <si>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</si>
  <si>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</si>
  <si>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</si>
  <si>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</si>
  <si>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</si>
  <si>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</si>
  <si>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</si>
  <si>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</si>
  <si>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</si>
  <si>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</si>
  <si>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</si>
  <si>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</si>
  <si>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</si>
  <si>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</si>
  <si>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</si>
  <si>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</si>
  <si>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</si>
  <si>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</si>
  <si>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</si>
  <si>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</si>
  <si>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</si>
  <si>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</si>
  <si>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</si>
  <si>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</si>
  <si>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</si>
  <si>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</si>
  <si>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</si>
  <si>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</si>
  <si>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</si>
  <si>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</si>
  <si>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</si>
  <si>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</si>
  <si>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</si>
  <si>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</si>
  <si>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</si>
  <si>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</si>
  <si>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</si>
  <si>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</si>
  <si>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</si>
  <si>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</si>
  <si>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</si>
  <si>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</si>
  <si>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</si>
  <si>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</si>
  <si>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</si>
  <si>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</si>
  <si>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</si>
  <si>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</si>
  <si>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</si>
  <si>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</si>
  <si>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</si>
  <si>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</si>
  <si>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</si>
  <si>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</si>
  <si>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</si>
  <si>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</si>
  <si>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</si>
  <si>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</si>
  <si>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</si>
  <si>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</si>
  <si>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</si>
  <si>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</si>
  <si>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</si>
  <si>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</si>
  <si>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</si>
  <si>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</si>
  <si>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</si>
  <si>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</si>
  <si>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</si>
  <si>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</si>
  <si>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</si>
  <si>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</si>
  <si>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</si>
  <si>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</si>
  <si>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</si>
  <si>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</si>
  <si>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</si>
  <si>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</si>
  <si>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</si>
  <si>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</si>
  <si>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</si>
  <si>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</si>
  <si>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</si>
  <si>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</si>
  <si>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</si>
  <si>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</si>
  <si>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</si>
  <si>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</si>
  <si>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</si>
  <si>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</si>
  <si>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</si>
  <si>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</si>
  <si>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</si>
  <si>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</si>
  <si>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</si>
  <si>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</si>
  <si>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</si>
  <si>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</si>
  <si>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</si>
  <si>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</si>
  <si>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</si>
  <si>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</si>
  <si>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</si>
  <si>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</si>
  <si>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</si>
  <si>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</si>
  <si>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</si>
  <si>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</si>
  <si>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</si>
  <si>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</si>
  <si>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</si>
  <si>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</si>
  <si>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</si>
  <si>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</si>
  <si>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</si>
  <si>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</si>
  <si>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</si>
  <si>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</si>
  <si>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</si>
  <si>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</si>
  <si>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</si>
  <si>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</si>
  <si>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</si>
  <si>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</si>
  <si>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</si>
  <si>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</si>
  <si>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</si>
  <si>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</si>
  <si>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</si>
  <si>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</si>
  <si>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</si>
  <si>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</si>
  <si>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</si>
  <si>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</si>
  <si>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</si>
  <si>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</si>
  <si>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</si>
  <si>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</si>
  <si>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</si>
  <si>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</si>
  <si>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</si>
  <si>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</si>
  <si>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</si>
  <si>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</si>
  <si>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</si>
  <si>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</si>
  <si>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</si>
  <si>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</si>
  <si>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</si>
  <si>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</si>
  <si>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</si>
  <si>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</si>
  <si>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</si>
  <si>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</si>
  <si>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</si>
  <si>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</si>
  <si>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</si>
  <si>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</si>
  <si>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</si>
  <si>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</si>
  <si>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</si>
  <si>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</si>
  <si>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</si>
  <si>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</si>
  <si>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</si>
  <si>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</si>
  <si>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</si>
  <si>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</si>
  <si>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</si>
  <si>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</si>
  <si>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</si>
  <si>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</si>
  <si>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</si>
  <si>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</si>
  <si>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</si>
  <si>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</si>
  <si>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</si>
  <si>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</si>
  <si>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</si>
  <si>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</si>
  <si>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</si>
  <si>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</si>
  <si>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</si>
  <si>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</si>
  <si>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</si>
  <si>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</si>
  <si>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</si>
  <si>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</si>
  <si>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</si>
  <si>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</si>
  <si>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</si>
  <si>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</si>
  <si>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</si>
  <si>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</si>
  <si>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</si>
  <si>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</si>
  <si>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</si>
  <si>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</si>
  <si>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</si>
  <si>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</si>
  <si>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</si>
  <si>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</si>
  <si>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</si>
  <si>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</si>
  <si>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</si>
  <si>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</si>
  <si>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</si>
  <si>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</si>
  <si>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</si>
  <si>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</si>
  <si>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</si>
  <si>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</si>
  <si>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</si>
  <si>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</si>
  <si>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</si>
  <si>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</si>
  <si>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</si>
  <si>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</si>
  <si>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</si>
  <si>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</si>
  <si>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</si>
  <si>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</si>
  <si>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</si>
  <si>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</si>
  <si>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</si>
  <si>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</si>
  <si>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</si>
  <si>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</si>
  <si>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</si>
  <si>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</si>
  <si>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</si>
  <si>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</si>
  <si>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</si>
  <si>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</si>
  <si>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</si>
  <si>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</si>
  <si>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</si>
  <si>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</si>
  <si>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</si>
  <si>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</si>
  <si>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</si>
  <si>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</si>
  <si>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</si>
  <si>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</si>
  <si>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</si>
  <si>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</si>
  <si>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</si>
  <si>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</si>
  <si>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</si>
  <si>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</si>
  <si>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</si>
  <si>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</si>
  <si>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</si>
  <si>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</si>
  <si>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</si>
  <si>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</si>
  <si>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</si>
  <si>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</si>
  <si>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</si>
  <si>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</si>
  <si>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</si>
  <si>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</si>
  <si>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</si>
  <si>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</si>
  <si>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</si>
  <si>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</si>
  <si>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</si>
  <si>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</si>
  <si>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</si>
  <si>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</si>
  <si>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</si>
  <si>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</si>
  <si>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</si>
  <si>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</si>
  <si>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</si>
  <si>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</si>
  <si>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</si>
  <si>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</si>
  <si>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</si>
  <si>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</si>
  <si>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</si>
  <si>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</si>
  <si>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</si>
  <si>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</si>
  <si>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</si>
  <si>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</si>
  <si>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</si>
  <si>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</si>
  <si>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</si>
  <si>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</si>
  <si>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</si>
  <si>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</si>
  <si>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</si>
  <si>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</si>
  <si>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</si>
  <si>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</si>
  <si>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</si>
  <si>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</si>
  <si>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</si>
  <si>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</si>
  <si>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</si>
  <si>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</si>
  <si>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</si>
  <si>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</si>
  <si>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</si>
  <si>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</si>
  <si>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</si>
  <si>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</si>
  <si>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</si>
  <si>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</si>
  <si>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</si>
  <si>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</si>
  <si>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</si>
  <si>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</si>
  <si>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</si>
  <si>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</si>
  <si>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</si>
  <si>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</si>
  <si>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</si>
  <si>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</si>
  <si>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</si>
  <si>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</si>
  <si>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</si>
  <si>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</si>
  <si>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</si>
  <si>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</si>
  <si>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</si>
  <si>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</si>
  <si>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</si>
  <si>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</si>
  <si>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</si>
  <si>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</si>
  <si>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</si>
  <si>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</si>
  <si>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</si>
  <si>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</si>
  <si>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</si>
  <si>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</si>
  <si>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</si>
  <si>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</si>
  <si>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</si>
  <si>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</si>
  <si>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</si>
  <si>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</si>
  <si>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</si>
  <si>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</si>
  <si>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</si>
  <si>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</si>
  <si>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</si>
  <si>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</si>
  <si>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</si>
  <si>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</si>
  <si>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</si>
  <si>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</si>
  <si>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</si>
  <si>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</si>
  <si>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</si>
  <si>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</si>
  <si>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</si>
  <si>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</si>
  <si>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</si>
  <si>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</si>
  <si>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</si>
  <si>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</si>
  <si>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</si>
  <si>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</si>
  <si>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</si>
  <si>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</si>
  <si>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</si>
  <si>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</si>
  <si>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</si>
  <si>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</si>
  <si>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</si>
  <si>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</si>
  <si>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</si>
  <si>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</si>
  <si>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</si>
  <si>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</si>
  <si>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</si>
  <si>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</si>
  <si>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</si>
  <si>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</si>
  <si>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</si>
  <si>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</si>
  <si>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</si>
  <si>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</si>
  <si>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</si>
  <si>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</si>
  <si>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</si>
  <si>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</si>
  <si>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</si>
  <si>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</si>
  <si>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</si>
  <si>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</si>
  <si>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</si>
  <si>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</si>
  <si>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</si>
  <si>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</si>
  <si>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</si>
  <si>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</si>
  <si>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</si>
  <si>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</si>
  <si>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</si>
  <si>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</si>
  <si>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</si>
  <si>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</si>
  <si>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</si>
  <si>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</si>
  <si>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</si>
  <si>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</si>
  <si>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</si>
  <si>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</si>
  <si>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</si>
  <si>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</si>
  <si>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</si>
  <si>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</si>
  <si>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</si>
  <si>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</si>
  <si>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</si>
  <si>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</si>
  <si>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</si>
  <si>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</si>
  <si>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</si>
  <si>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</si>
  <si>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</si>
  <si>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</si>
  <si>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</si>
  <si>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</si>
  <si>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</si>
  <si>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</si>
  <si>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</si>
  <si>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</si>
  <si>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</si>
  <si>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</si>
  <si>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</si>
  <si>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</si>
  <si>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</si>
  <si>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</si>
  <si>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</si>
  <si>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</si>
  <si>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</si>
  <si>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</si>
  <si>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</si>
  <si>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</si>
  <si>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</si>
  <si>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</si>
  <si>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</si>
  <si>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</si>
  <si>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</si>
  <si>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</si>
  <si>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</si>
  <si>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</si>
  <si>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</si>
  <si>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</si>
  <si>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</si>
  <si>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</si>
  <si>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</si>
  <si>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</si>
  <si>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</si>
  <si>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</si>
  <si>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</si>
  <si>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</si>
  <si>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</si>
  <si>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</si>
  <si>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</si>
  <si>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</si>
  <si>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</si>
  <si>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</si>
  <si>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</si>
  <si>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</si>
  <si>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</si>
  <si>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</si>
  <si>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</si>
  <si>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</si>
  <si>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</si>
  <si>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</si>
  <si>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</si>
  <si>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</si>
  <si>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</si>
  <si>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</si>
  <si>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</si>
  <si>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</si>
  <si>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</si>
  <si>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</si>
  <si>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</si>
  <si>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</si>
  <si>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</si>
  <si>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</si>
  <si>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</si>
  <si>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</si>
  <si>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</si>
  <si>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</si>
  <si>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</si>
  <si>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</si>
  <si>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</si>
  <si>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</si>
  <si>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</si>
  <si>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</si>
  <si>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</si>
  <si>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</si>
  <si>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</si>
  <si>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</si>
  <si>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</si>
  <si>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</si>
  <si>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</si>
  <si>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</si>
  <si>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</si>
  <si>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</si>
  <si>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</si>
  <si>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</si>
  <si>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</si>
  <si>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</si>
  <si>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</si>
  <si>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</si>
  <si>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</si>
  <si>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</si>
  <si>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</si>
  <si>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</si>
  <si>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</si>
  <si>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</si>
  <si>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</si>
  <si>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</si>
  <si>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</si>
  <si>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</si>
  <si>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</si>
  <si>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</si>
  <si>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</si>
  <si>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</si>
  <si>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</si>
  <si>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</si>
  <si>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</si>
  <si>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</si>
  <si>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</si>
  <si>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</si>
  <si>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</si>
  <si>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</si>
  <si>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</si>
  <si>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</si>
  <si>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</si>
  <si>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</si>
  <si>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</si>
  <si>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</si>
  <si>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</si>
  <si>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</si>
  <si>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</si>
  <si>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</si>
  <si>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</si>
  <si>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</si>
  <si>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</si>
  <si>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</si>
  <si>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</si>
  <si>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</si>
  <si>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</si>
  <si>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</si>
  <si>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</si>
  <si>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</si>
  <si>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</si>
  <si>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</si>
  <si>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</si>
  <si>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</si>
  <si>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</si>
  <si>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</si>
  <si>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</si>
  <si>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</si>
  <si>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</si>
  <si>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</si>
  <si>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</si>
  <si>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</si>
  <si>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</si>
  <si>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</si>
  <si>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</si>
  <si>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</si>
  <si>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</si>
  <si>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</si>
  <si>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</si>
  <si>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</si>
  <si>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</si>
  <si>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</si>
  <si>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</si>
  <si>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</si>
  <si>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</si>
  <si>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</si>
  <si>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</si>
  <si>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</si>
  <si>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</si>
  <si>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</si>
  <si>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</si>
  <si>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</si>
  <si>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</si>
  <si>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</si>
  <si>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</si>
  <si>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</si>
  <si>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</si>
  <si>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</si>
  <si>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</si>
  <si>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</si>
  <si>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</si>
  <si>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</si>
  <si>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</si>
  <si>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</si>
  <si>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</si>
  <si>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</si>
  <si>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</si>
  <si>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</si>
  <si>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</si>
  <si>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</si>
  <si>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</si>
  <si>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</si>
  <si>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</si>
  <si>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</si>
  <si>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</si>
  <si>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</si>
  <si>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</si>
  <si>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</si>
  <si>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</si>
  <si>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</si>
  <si>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</si>
  <si>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</si>
  <si>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</si>
  <si>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</si>
  <si>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</si>
  <si>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</si>
  <si>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</si>
  <si>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</si>
  <si>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</si>
  <si>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</si>
  <si>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</si>
  <si>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</si>
  <si>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</si>
  <si>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</si>
  <si>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</si>
  <si>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</si>
  <si>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</si>
  <si>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</si>
  <si>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</si>
  <si>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</si>
  <si>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</si>
  <si>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</si>
  <si>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</si>
  <si>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</si>
  <si>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</si>
  <si>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</si>
  <si>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</si>
  <si>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</si>
  <si>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</si>
  <si>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</si>
  <si>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</si>
  <si>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</si>
  <si>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</si>
  <si>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</si>
  <si>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</si>
  <si>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</si>
  <si>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</si>
  <si>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</si>
  <si>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</si>
  <si>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</si>
  <si>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</si>
  <si>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</si>
  <si>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</si>
  <si>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</si>
  <si>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</si>
  <si>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</si>
  <si>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</si>
  <si>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</si>
  <si>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</si>
  <si>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</si>
  <si>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</si>
  <si>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</si>
  <si>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</si>
  <si>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</si>
  <si>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</si>
  <si>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</si>
  <si>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</si>
  <si>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</si>
  <si>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</si>
  <si>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</si>
  <si>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</si>
  <si>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</si>
  <si>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</si>
  <si>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</si>
  <si>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</si>
  <si>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</si>
  <si>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</si>
  <si>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</si>
  <si>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</si>
  <si>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</si>
  <si>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</si>
  <si>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</si>
  <si>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</si>
  <si>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</si>
  <si>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</si>
  <si>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</si>
  <si>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</si>
  <si>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</si>
  <si>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</si>
  <si>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</si>
  <si>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</si>
  <si>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</si>
  <si>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</si>
  <si>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</si>
  <si>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</si>
  <si>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</si>
  <si>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</si>
  <si>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</si>
  <si>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</si>
  <si>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</si>
  <si>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</si>
  <si>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</si>
  <si>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</si>
  <si>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</si>
  <si>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</si>
  <si>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</si>
  <si>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</si>
  <si>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</si>
  <si>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</si>
  <si>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</si>
  <si>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</si>
  <si>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</si>
  <si>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</si>
  <si>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</si>
  <si>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</si>
  <si>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</si>
  <si>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</si>
  <si>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</si>
  <si>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</si>
  <si>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</si>
  <si>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</si>
  <si>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</si>
  <si>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</si>
  <si>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</si>
  <si>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</si>
  <si>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</si>
  <si>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</si>
  <si>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</si>
  <si>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</si>
  <si>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</si>
  <si>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</si>
  <si>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066-003845</t>
  </si>
  <si>
    <t>mybkcpas@consolidated.net</t>
  </si>
  <si>
    <t>X</t>
  </si>
  <si>
    <t>217-774-9589</t>
  </si>
  <si>
    <t>DOUGLAS</t>
  </si>
  <si>
    <t>301 EAST COLUMBIA</t>
  </si>
  <si>
    <t xml:space="preserve">ARTHUR  </t>
  </si>
  <si>
    <t>schwengelk@cusd305.org</t>
  </si>
  <si>
    <t>KENNY SCHWENGEL</t>
  </si>
  <si>
    <t>217-543-2511</t>
  </si>
  <si>
    <t>217-543-2210</t>
  </si>
  <si>
    <t>ROBIN R. YOCKEY</t>
  </si>
  <si>
    <t>BOBBI MATTINGLY</t>
  </si>
  <si>
    <t>bmattingly@roe11.org</t>
  </si>
  <si>
    <t>217-348-0151</t>
  </si>
  <si>
    <t>217-348-0171</t>
  </si>
  <si>
    <t>Copiers Lease</t>
  </si>
  <si>
    <t>Lease</t>
  </si>
  <si>
    <t>Pupil Transportation Services - Purchased Services</t>
  </si>
  <si>
    <t>Guidance Services - Supplies &amp; Materials</t>
  </si>
  <si>
    <t>Educational Media Services - Purchased Services</t>
  </si>
  <si>
    <t>Food Services - Supplies &amp; Materials</t>
  </si>
  <si>
    <t>40-2550-300</t>
  </si>
  <si>
    <t>10-2560-400</t>
  </si>
  <si>
    <t>Miller Bus Service</t>
  </si>
  <si>
    <t>Pearson</t>
  </si>
  <si>
    <t>Quality Network Solutions</t>
  </si>
  <si>
    <t>Aramark</t>
  </si>
  <si>
    <t>x</t>
  </si>
  <si>
    <t>NextEra &amp; Constellation through IED</t>
  </si>
  <si>
    <t>Egyptian Trust</t>
  </si>
  <si>
    <t>Miller, Tracy, Braun, Funk &amp; Miller</t>
  </si>
  <si>
    <t>Eastern Illinois Area Special Education</t>
  </si>
  <si>
    <t>QNS</t>
  </si>
  <si>
    <t>Page 10, Line 74, "Other Food Services"</t>
  </si>
  <si>
    <t>Page 10, Line 107, "Other Local Revenues"</t>
  </si>
  <si>
    <t>Operations &amp; Mainteneance Fund</t>
  </si>
  <si>
    <t xml:space="preserve">    Balance on students account $4,421</t>
  </si>
  <si>
    <t xml:space="preserve">    Reimbursements $5,370; LCD Settlement $2,359</t>
  </si>
  <si>
    <t xml:space="preserve">    Reimbursements $7,065; E-Rates $2,520</t>
  </si>
  <si>
    <t xml:space="preserve">    Reimbursements $300</t>
  </si>
  <si>
    <t>Page 12, Linw 171, "Other Restricted Revenue from State Sources"</t>
  </si>
  <si>
    <t xml:space="preserve">    Library Grants $1,578</t>
  </si>
  <si>
    <t>Page 18, Line 171, "Debt Services - Other"</t>
  </si>
  <si>
    <t>Debt Services Fund</t>
  </si>
  <si>
    <t xml:space="preserve">    Other Objects - Bond Fees $1,818</t>
  </si>
  <si>
    <t>Page 23, Line 18, "Other"</t>
  </si>
  <si>
    <t>Prior Year Adjustment ($2,093)</t>
  </si>
  <si>
    <t>Refunding Bonds, Series 2007B</t>
  </si>
  <si>
    <t>Refunding Bonds, Series 2010</t>
  </si>
  <si>
    <t>Refunding Bonds, Series 2014</t>
  </si>
  <si>
    <t>General Obligation School Bonds (Alternate Rev Source), Series 2014</t>
  </si>
  <si>
    <t>Rounding</t>
  </si>
  <si>
    <t>U.S. Department of Education</t>
  </si>
  <si>
    <t>Passed through Illinois State Board of Education</t>
  </si>
  <si>
    <t>84.010A</t>
  </si>
  <si>
    <t>2017-4300</t>
  </si>
  <si>
    <t>2018-4300</t>
  </si>
  <si>
    <t>Total Title I - Low Income</t>
  </si>
  <si>
    <t>Passed through Illinois State Board of Educaiton</t>
  </si>
  <si>
    <t>84.367A</t>
  </si>
  <si>
    <t>2017-4932</t>
  </si>
  <si>
    <t>2018-4932</t>
  </si>
  <si>
    <t>Total Title II - Teacher Quality</t>
  </si>
  <si>
    <t>Passed through Eastern Illinois Education for Employment Services</t>
  </si>
  <si>
    <t>Career and Technical Education - Perkins - Title III</t>
  </si>
  <si>
    <t>2018-4745</t>
  </si>
  <si>
    <t>N/A</t>
  </si>
  <si>
    <t>Special Education Cluster</t>
  </si>
  <si>
    <t>Federal-Special Education - IDEA - Room &amp; Board</t>
  </si>
  <si>
    <t>84.027A</t>
  </si>
  <si>
    <t>2017-4625</t>
  </si>
  <si>
    <t>Passed through Eastern Illinois Area of Special Education</t>
  </si>
  <si>
    <t>Federal - Special Education - IDEA - Flow Through</t>
  </si>
  <si>
    <t>2018-4620</t>
  </si>
  <si>
    <t>Total - Federal - Special Education - IDEA - Flow Through</t>
  </si>
  <si>
    <t>Total U.S. Department of Education</t>
  </si>
  <si>
    <t>U.S. Department of Health and Human Services</t>
  </si>
  <si>
    <t>Passed through Illinois Department of Healthcare and Family Services</t>
  </si>
  <si>
    <t>2017-4991</t>
  </si>
  <si>
    <t>2018-4991</t>
  </si>
  <si>
    <t>Medicaid Matching Administrative Outreach</t>
  </si>
  <si>
    <t>Total Medicaid Matching Administrative Outreach</t>
  </si>
  <si>
    <t>U.S. Department of Agriculture</t>
  </si>
  <si>
    <t>Child Nutrition Cluster</t>
  </si>
  <si>
    <t>Passed through Department of Defense</t>
  </si>
  <si>
    <t>(M) Fresh Fruits and Vegetables (Non-Cash)</t>
  </si>
  <si>
    <t>2018-4250</t>
  </si>
  <si>
    <t>(M) Commodity Credit (Non-Cash)</t>
  </si>
  <si>
    <t>2017-4210</t>
  </si>
  <si>
    <t>(M) National School Lunch</t>
  </si>
  <si>
    <t>2018-4210</t>
  </si>
  <si>
    <t>Total National School Lunch Program</t>
  </si>
  <si>
    <t>(M) School Breakfast Program</t>
  </si>
  <si>
    <t>2017-4220</t>
  </si>
  <si>
    <t>2018-4220</t>
  </si>
  <si>
    <t>Total School Breakfast Program</t>
  </si>
  <si>
    <t>Total U.S. Department of Agriculture/Child Nutrition Cluster</t>
  </si>
  <si>
    <t>Total Federal Financial Assistance</t>
  </si>
  <si>
    <r>
      <t xml:space="preserve">The accompanying Schedule of Expenditures of Federal Awards includes the federal grant activity of Arthur Community Unit School District 305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</si>
  <si>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None</t>
  </si>
  <si>
    <t>The condition applies to cash, investments, receipts, payroll and disbursement areas.</t>
  </si>
  <si>
    <t>The current staffing configuration increases the risk that errors and irregularities could occur and not be detected.</t>
  </si>
  <si>
    <t>One employee has access to both physical assets and the related accounting records.  One employee is responsible for all phases of accounting transactions.</t>
  </si>
  <si>
    <t>All interfund loans are required to be made, disclosed, and repaid in accordance with provisions of Sections 10-22.33, 20-4 and 20-5 of the School Code.</t>
  </si>
  <si>
    <t>The overdrafts occurred throughout fiscal year 2018.</t>
  </si>
  <si>
    <t>An overdraft of cash from a commingled account constitutes an unauthorized interfund loan.</t>
  </si>
  <si>
    <t>The District should monitor individual funds' cash balances to ensure that unauthorized interfund loans do not occur.</t>
  </si>
  <si>
    <t>9 &amp; 20 - See accompanying schedules of findings and questioned costs.</t>
  </si>
  <si>
    <r>
      <t xml:space="preserve">The following amounts were expended in the form of non-cash assistance by Arthur Community Unit School District 305 and </t>
    </r>
    <r>
      <rPr>
        <b/>
        <sz val="9"/>
        <rFont val="Calibri"/>
        <family val="2"/>
        <scheme val="minor"/>
      </rPr>
      <t>should be</t>
    </r>
    <r>
      <rPr>
        <sz val="9"/>
        <rFont val="Calibri"/>
        <family val="2"/>
        <scheme val="minor"/>
      </rPr>
      <t xml:space="preserve"> included in the Schedule of Expenditures of Federal Awards:</t>
    </r>
  </si>
  <si>
    <t>Adequate internal controls require segregation of duties exist in order to record, process, summarize and report financial data consistent with the assertions of management.</t>
  </si>
  <si>
    <t>The District bookkeeper performs numerous critical and related accounting and reporting functions.  In addition, there is a lack of independent review over these functions.</t>
  </si>
  <si>
    <t>The District has segregated as many duties as possible given the small accounting staff.  Consideration will be given to the recommended compensating controls.</t>
  </si>
  <si>
    <t>A notice of availability for public inspection and public hearing was not published.</t>
  </si>
  <si>
    <t>This finding applies to the amended budget.</t>
  </si>
  <si>
    <t>The District is not in compliance with 105 ILCS 5/17-1.</t>
  </si>
  <si>
    <t>The lack of publication was an oversight by district personnel.</t>
  </si>
  <si>
    <t>The budget adoption process should be reviewed to ensure that procedures are established to meet publication requirements.</t>
  </si>
  <si>
    <t>The District will comply with provisions of 105 ILCS 5/17-1 in the adoption of budgets subsequent to the issuance of this finding.</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</si>
  <si>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t>
  </si>
  <si>
    <t>A new staffing configuration should be developed and implemented.  In addition, we recommend the District implement compensating controls including independent review of payroll before or after disbursement, review of journal entries, and eliminating the use of the signature stamp by the person writing the district checks.</t>
  </si>
  <si>
    <t>No compliance or internal control over compliance findings were issued.</t>
  </si>
  <si>
    <t>2017-003</t>
  </si>
  <si>
    <t>Lack of Segregation of duties over financial reporting.</t>
  </si>
  <si>
    <t>Repeat finding for financial reporting; however, the condition is not considered applicable to the Child Nutrition Cluster.</t>
  </si>
  <si>
    <t>2017-004</t>
  </si>
  <si>
    <t>Lack of adequate internal control over financial reporting.</t>
  </si>
  <si>
    <t>Current auditor has determined and documented that the District Superintendent has the skills, knowledge and experience to accept responsibility for the financial statements and federal expenditure reports.</t>
  </si>
  <si>
    <t>The Debt Services and Tort Immunity Funds overdrew their share of cash from a commingled checking account, resulting in unauthorized interfund loans.</t>
  </si>
  <si>
    <t xml:space="preserve">While the District had adequate cash reserves in the commingled account to pay expenditures, interfund loans were not approved to cover the expenditures made in excess of the individual fund's share of the commingled checking account. </t>
  </si>
  <si>
    <t>Management will ensure that the auditor's recommendation is implemented.  Monies will be transferred among accounts to eliminate the occurrence of unauthorized loans.  While the Debt Services and Tort Immunity funds overdrew their share of a commingled account, adequate balances were maintained in the respective funds' investment accounts to ensure that the fund balance was not in a deficit position.</t>
  </si>
  <si>
    <t>Page 5, Line 32, "Deferred Revenues and Other Current Liabilities"</t>
  </si>
  <si>
    <t>Tort Fund</t>
  </si>
  <si>
    <t xml:space="preserve">    Negative cash in commingled checking account $70,412</t>
  </si>
  <si>
    <t>23. Opinion is adverse due to regulatory basis presentation and qualified due to the lack of detailed property records showing historic cost.</t>
  </si>
  <si>
    <t>Unmodified</t>
  </si>
  <si>
    <t>Arthur CUSD 305</t>
  </si>
  <si>
    <t>10-2100-400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</si>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</sst>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62" fillId="0" borderId="22" xfId="3" applyNumberFormat="1" applyFont="1" applyBorder="1" applyAlignment="1" applyProtection="1">
      <alignment horizontal="left" vertical="center" wrapText="1"/>
      <protection locked="0"/>
    </xf>
    <xf numFmtId="3" fontId="60" fillId="0" borderId="166"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0" fillId="0" borderId="167" xfId="3" applyNumberFormat="1" applyFont="1" applyBorder="1" applyAlignment="1" applyProtection="1">
      <alignment horizontal="center"/>
      <protection locked="0"/>
    </xf>
    <xf numFmtId="0" fontId="63" fillId="0" borderId="0" xfId="3" applyFont="1" applyAlignment="1" applyProtection="1">
      <alignment textRotation="180" wrapText="1"/>
    </xf>
    <xf numFmtId="3" fontId="62" fillId="0" borderId="168" xfId="3" applyNumberFormat="1" applyFont="1" applyBorder="1" applyAlignment="1" applyProtection="1">
      <alignment horizontal="center"/>
      <protection locked="0"/>
    </xf>
    <xf numFmtId="0" fontId="3" fillId="0" borderId="0" xfId="17" applyFont="1" applyAlignment="1">
      <alignment horizontal="center" vertical="center" wrapText="1"/>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vertical="top" wrapText="1"/>
      <protection locked="0"/>
    </xf>
    <xf numFmtId="0" fontId="55" fillId="0" borderId="0" xfId="3" applyFont="1" applyAlignment="1" applyProtection="1">
      <alignment vertical="top" wrapText="1"/>
      <protection locked="0"/>
    </xf>
    <xf numFmtId="179" fontId="55" fillId="0" borderId="0" xfId="3" applyNumberFormat="1" applyFont="1" applyBorder="1" applyAlignment="1" applyProtection="1">
      <alignment horizontal="left" vertical="top"/>
      <protection locked="0"/>
    </xf>
    <xf numFmtId="0" fontId="55" fillId="0" borderId="0" xfId="3" applyFont="1" applyAlignment="1" applyProtection="1">
      <alignment vertical="top"/>
      <protection locked="0"/>
    </xf>
    <xf numFmtId="0" fontId="55" fillId="0" borderId="0" xfId="3" applyFont="1" applyAlignment="1" applyProtection="1">
      <alignment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readingOrder="1"/>
      <protection locked="0"/>
    </xf>
    <xf numFmtId="0" fontId="11" fillId="0" borderId="129" xfId="0" applyNumberFormat="1" applyFont="1" applyBorder="1" applyAlignment="1" applyProtection="1">
      <alignment horizontal="left" vertical="center" readingOrder="1"/>
      <protection locked="0"/>
    </xf>
    <xf numFmtId="0" fontId="8" fillId="0" borderId="129" xfId="0" applyFont="1" applyBorder="1" applyAlignment="1" applyProtection="1">
      <alignment vertical="center" readingOrder="1"/>
      <protection locked="0"/>
    </xf>
    <xf numFmtId="0" fontId="8" fillId="0" borderId="127"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52" fillId="0" borderId="0" xfId="3" applyFont="1" applyAlignment="1" applyProtection="1">
      <alignment horizontal="center"/>
    </xf>
    <xf numFmtId="0" fontId="52" fillId="0" borderId="78" xfId="3" applyFont="1" applyBorder="1" applyAlignment="1" applyProtection="1">
      <alignment horizontal="center"/>
    </xf>
    <xf numFmtId="3" fontId="53" fillId="0" borderId="77" xfId="3" applyNumberFormat="1" applyFont="1" applyBorder="1" applyAlignment="1" applyProtection="1">
      <alignment horizontal="right" indent="1"/>
      <protection locked="0"/>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1</xdr:col>
          <xdr:colOff>857250</xdr:colOff>
          <xdr:row>4</xdr:row>
          <xdr:rowOff>114300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85725</xdr:rowOff>
        </xdr:from>
        <xdr:to>
          <xdr:col>1</xdr:col>
          <xdr:colOff>1895475</xdr:colOff>
          <xdr:row>4</xdr:row>
          <xdr:rowOff>123825</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0</xdr:row>
          <xdr:rowOff>104775</xdr:rowOff>
        </xdr:from>
        <xdr:to>
          <xdr:col>1</xdr:col>
          <xdr:colOff>2895600</xdr:colOff>
          <xdr:row>4</xdr:row>
          <xdr:rowOff>142875</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3019425</xdr:colOff>
          <xdr:row>0</xdr:row>
          <xdr:rowOff>114300</xdr:rowOff>
        </xdr:from>
        <xdr:to>
          <xdr:col>1</xdr:col>
          <xdr:colOff>3933825</xdr:colOff>
          <xdr:row>4</xdr:row>
          <xdr:rowOff>152400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28575</xdr:rowOff>
        </xdr:from>
        <xdr:to>
          <xdr:col>1</xdr:col>
          <xdr:colOff>857250</xdr:colOff>
          <xdr:row>9</xdr:row>
          <xdr:rowOff>66675</xdr:rowOff>
        </xdr:to>
        <xdr:sp macro="" textlink="">
          <xdr:nvSpPr>
            <xdr:cNvPr id="37893" name="Object 5" hidden="1">
              <a:extLst>
                <a:ext uri="{63B3BB69-23CF-44E3-9099-C40C66FF867C}">
                  <a14:compatExt spid="_x0000_s37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38100</xdr:rowOff>
        </xdr:from>
        <xdr:to>
          <xdr:col>1</xdr:col>
          <xdr:colOff>1885950</xdr:colOff>
          <xdr:row>9</xdr:row>
          <xdr:rowOff>76200</xdr:rowOff>
        </xdr:to>
        <xdr:sp macro="" textlink="">
          <xdr:nvSpPr>
            <xdr:cNvPr id="37894" name="Object 6" hidden="1">
              <a:extLst>
                <a:ext uri="{63B3BB69-23CF-44E3-9099-C40C66FF867C}">
                  <a14:compatExt spid="_x0000_s378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3009900</xdr:colOff>
          <xdr:row>5</xdr:row>
          <xdr:rowOff>57150</xdr:rowOff>
        </xdr:from>
        <xdr:to>
          <xdr:col>1</xdr:col>
          <xdr:colOff>3924300</xdr:colOff>
          <xdr:row>9</xdr:row>
          <xdr:rowOff>95250</xdr:rowOff>
        </xdr:to>
        <xdr:sp macro="" textlink="">
          <xdr:nvSpPr>
            <xdr:cNvPr id="37896" name="Object 8" hidden="1">
              <a:extLst>
                <a:ext uri="{63B3BB69-23CF-44E3-9099-C40C66FF867C}">
                  <a14:compatExt spid="_x0000_s378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5</xdr:row>
          <xdr:rowOff>66675</xdr:rowOff>
        </xdr:from>
        <xdr:to>
          <xdr:col>1</xdr:col>
          <xdr:colOff>2895600</xdr:colOff>
          <xdr:row>9</xdr:row>
          <xdr:rowOff>104775</xdr:rowOff>
        </xdr:to>
        <xdr:sp macro="" textlink="">
          <xdr:nvSpPr>
            <xdr:cNvPr id="37897" name="Object 9" hidden="1">
              <a:extLst>
                <a:ext uri="{63B3BB69-23CF-44E3-9099-C40C66FF867C}">
                  <a14:compatExt spid="_x0000_s378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26</xdr:row>
      <xdr:rowOff>0</xdr:rowOff>
    </xdr:from>
    <xdr:to>
      <xdr:col>2</xdr:col>
      <xdr:colOff>0</xdr:colOff>
      <xdr:row>26</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externalLink1.xml><?xml version="1.0" encoding="utf-8"?>
<externalLink xmlns="http://schemas.openxmlformats.org/spreadsheetml/2006/main" xmlns:mc="http://schemas.openxmlformats.org/markup-compatibility/2006" xmlns:x14="http://schemas.microsoft.com/office/spreadsheetml/2009/9/main" mc:Ignorable="x14">
  <ddeLink xmlns:r="http://schemas.openxmlformats.org/officeDocument/2006/relationships" ddeService="AV" ddeTopic="Data">
    <ddeItems>
      <ddeItem name="acct[10-00101].adjbal{1}" advise="1">
        <values>
          <value>
            <val>1010708</val>
          </value>
        </values>
      </ddeItem>
      <ddeItem name="acct[10-00103].adjbal{1}" advise="1">
        <values>
          <value>
            <val>60</val>
          </value>
        </values>
      </ddeItem>
      <ddeItem name="acct[10-00105].adjbal{1}" advise="1">
        <values>
          <value>
            <val>6080</val>
          </value>
        </values>
      </ddeItem>
      <ddeItem name="acct[10-00120].adjbal{1}" advise="1">
        <values>
          <value>
            <val>933887</val>
          </value>
        </values>
      </ddeItem>
      <ddeItem name="acct[10-00130].adjbal{1}" advise="1">
        <values>
          <value>
            <val>0</val>
          </value>
        </values>
      </ddeItem>
      <ddeItem name="acct[10-00140].adjbal{1}" advise="1">
        <values>
          <value>
            <val>325000</val>
          </value>
        </values>
      </ddeItem>
      <ddeItem name="acct[10-00150].adjbal{1}" advise="1">
        <values>
          <value>
            <val>0</val>
          </value>
        </values>
      </ddeItem>
      <ddeItem name="acct[10-00160].adjbal{1}" advise="1">
        <values>
          <value>
            <val>0</val>
          </value>
        </values>
      </ddeItem>
      <ddeItem name="acct[10-00170].adjbal{1}" advise="1">
        <values>
          <value>
            <val>0</val>
          </value>
        </values>
      </ddeItem>
      <ddeItem name="acct[10-00180].adjbal{1}" advise="1">
        <values>
          <value>
            <val>0</val>
          </value>
        </values>
      </ddeItem>
      <ddeItem name="acct[10-00190].adjbal{1}" advise="1">
        <values>
          <value>
            <val>0</val>
          </value>
        </values>
      </ddeItem>
      <ddeItem name="acct[10-00410].adjbal{1}/VR" advise="1">
        <values>
          <value>
            <val>0</val>
          </value>
        </values>
      </ddeItem>
      <ddeItem name="acct[10-00420].adjbal{1}/VR" advise="1">
        <values>
          <value>
            <val>0</val>
          </value>
        </values>
      </ddeItem>
      <ddeItem name="acct[10-00430].adjbal{1}/VR" advise="1">
        <values>
          <value>
            <val>0</val>
          </value>
        </values>
      </ddeItem>
      <ddeItem name="acct[10-00440].adjbal{1}/VR" advise="1">
        <values>
          <value>
            <val>0</val>
          </value>
        </values>
      </ddeItem>
      <ddeItem name="acct[10-00460].adjbal{1}/VR" advise="1">
        <values>
          <value>
            <val>0</val>
          </value>
        </values>
      </ddeItem>
      <ddeItem name="acct[10-00470].adjbal{1}/VR" advise="1">
        <values>
          <value>
            <val>0</val>
          </value>
        </values>
      </ddeItem>
      <ddeItem name="acct[10-00480].adjbal{1}/VR" advise="1">
        <values>
          <value>
            <val>0</val>
          </value>
        </values>
      </ddeItem>
      <ddeItem name="acct[10-00490].adjbal{1}/VR" advise="1">
        <values>
          <value>
            <val>0</val>
          </value>
        </values>
      </ddeItem>
      <ddeItem name="acct[10-00493].adjbal{1}/VR" advise="1">
        <values>
          <value>
            <val>0</val>
          </value>
        </values>
      </ddeItem>
      <ddeItem name="acct[10-01110].adjbal{1}/VR" advise="1">
        <values>
          <value>
            <val>4959721</val>
          </value>
        </values>
      </ddeItem>
      <ddeItem name="acct[10-01120].adjbal{1}/VR" advise="1">
        <values>
          <value>
            <val>0</val>
          </value>
        </values>
      </ddeItem>
      <ddeItem name="acct[10-01130].adjbal{1}/VR" advise="1">
        <values>
          <value>
            <val>102636</val>
          </value>
        </values>
      </ddeItem>
      <ddeItem name="acct[10-01140].adjbal{1}/VR" advise="1">
        <values>
          <value>
            <val>82109</val>
          </value>
        </values>
      </ddeItem>
      <ddeItem name="acct[10-01170].adjbal{1}/VR" advise="1">
        <values>
          <value>
            <val>0</val>
          </value>
        </values>
      </ddeItem>
      <ddeItem name="acct[10-01190].adjbal{1}/VR" advise="1">
        <values>
          <value>
            <val>0</val>
          </value>
        </values>
      </ddeItem>
      <ddeItem name="acct[10-01210].adjbal{1}/VR" advise="1">
        <values>
          <value>
            <val>196</val>
          </value>
        </values>
      </ddeItem>
      <ddeItem name="acct[10-01220].adjbal{1}/VR" advise="1">
        <values>
          <value>
            <val>0</val>
          </value>
        </values>
      </ddeItem>
      <ddeItem name="acct[10-01230].adjbal{1}/VR" advise="1">
        <values>
          <value>
            <val>310196</val>
          </value>
        </values>
      </ddeItem>
      <ddeItem name="acct[10-01290].adjbal{1}/VR" advise="1">
        <values>
          <value>
            <val>0</val>
          </value>
        </values>
      </ddeItem>
      <ddeItem name="acct[10-01311].adjbal{1}/VR" advise="1">
        <values>
          <value>
            <val>0</val>
          </value>
        </values>
      </ddeItem>
      <ddeItem name="acct[10-01312].adjbal{1}/VR" advise="1">
        <values>
          <value>
            <val>0</val>
          </value>
        </values>
      </ddeItem>
      <ddeItem name="acct[10-01313].adjbal{1}/VR" advise="1">
        <values>
          <value>
            <val>0</val>
          </value>
        </values>
      </ddeItem>
      <ddeItem name="acct[10-01314].adjbal{1}/VR" advise="1">
        <values>
          <value>
            <val>0</val>
          </value>
        </values>
      </ddeItem>
      <ddeItem name="acct[10-01321].adjbal{1}/VR" advise="1">
        <values>
          <value>
            <val>0</val>
          </value>
        </values>
      </ddeItem>
      <ddeItem name="acct[10-01322].adjbal{1}/VR" advise="1">
        <values>
          <value>
            <val>0</val>
          </value>
        </values>
      </ddeItem>
      <ddeItem name="acct[10-01323].adjbal{1}/VR" advise="1">
        <values>
          <value>
            <val>0</val>
          </value>
        </values>
      </ddeItem>
      <ddeItem name="acct[10-01324].adjbal{1}/VR" advise="1">
        <values>
          <value>
            <val>0</val>
          </value>
        </values>
      </ddeItem>
      <ddeItem name="acct[10-01331].adjbal{1}/VR" advise="1">
        <values>
          <value>
            <val>0</val>
          </value>
        </values>
      </ddeItem>
      <ddeItem name="acct[10-01332].adjbal{1}/VR" advise="1">
        <values>
          <value>
            <val>0</val>
          </value>
        </values>
      </ddeItem>
      <ddeItem name="acct[10-01333].adjbal{1}/VR" advise="1">
        <values>
          <value>
            <val>0</val>
          </value>
        </values>
      </ddeItem>
      <ddeItem name="acct[10-01334].adjbal{1}/VR" advise="1">
        <values>
          <value>
            <val>0</val>
          </value>
        </values>
      </ddeItem>
      <ddeItem name="acct[10-01341].adjbal{1}/VR" advise="1">
        <values>
          <value>
            <val>0</val>
          </value>
        </values>
      </ddeItem>
      <ddeItem name="acct[10-01342].adjbal{1}/VR" advise="1">
        <values>
          <value>
            <val>0</val>
          </value>
        </values>
      </ddeItem>
      <ddeItem name="acct[10-01343].adjbal{1}/VR" advise="1">
        <values>
          <value>
            <val>0</val>
          </value>
        </values>
      </ddeItem>
      <ddeItem name="acct[10-01344].adjbal{1}/VR" advise="1">
        <values>
          <value>
            <val>0</val>
          </value>
        </values>
      </ddeItem>
      <ddeItem name="acct[10-01351].adjbal{1}/VR" advise="1">
        <values>
          <value>
            <val>0</val>
          </value>
        </values>
      </ddeItem>
      <ddeItem name="acct[10-01352].adjbal{1}/VR" advise="1">
        <values>
          <value>
            <val>0</val>
          </value>
        </values>
      </ddeItem>
      <ddeItem name="acct[10-01353].adjbal{1}/VR" advise="1">
        <values>
          <value>
            <val>0</val>
          </value>
        </values>
      </ddeItem>
      <ddeItem name="acct[10-01354].adjbal{1}/VR" advise="1">
        <values>
          <value>
            <val>0</val>
          </value>
        </values>
      </ddeItem>
      <ddeItem name="acct[10-01510].adjbal{1}/VR" advise="1">
        <values>
          <value>
            <val>9682</val>
          </value>
        </values>
      </ddeItem>
      <ddeItem name="acct[10-01520].adjbal{1}/VR" advise="1">
        <values>
          <value>
            <val>0</val>
          </value>
        </values>
      </ddeItem>
      <ddeItem name="acct[10-01611].adjbal{1}/VR" advise="1">
        <values>
          <value>
            <val>108891</val>
          </value>
        </values>
      </ddeItem>
      <ddeItem name="acct[10-01612].adjbal{1}/VR" advise="1">
        <values>
          <value>
            <val>8588</val>
          </value>
        </values>
      </ddeItem>
      <ddeItem name="acct[10-01613].adjbal{1}/VR" advise="1">
        <values>
          <value>
            <val>11452</val>
          </value>
        </values>
      </ddeItem>
      <ddeItem name="acct[10-01614].adjbal{1}/VR" advise="1">
        <values>
          <value>
            <val>0</val>
          </value>
        </values>
      </ddeItem>
      <ddeItem name="acct[10-01620].adjbal{1}/VR" advise="1">
        <values>
          <value>
            <val>6163</val>
          </value>
        </values>
      </ddeItem>
      <ddeItem name="acct[10-01690].adjbal{1}/VR" advise="1">
        <values>
          <value>
            <val>4421</val>
          </value>
        </values>
      </ddeItem>
      <ddeItem name="acct[10-01711].adjbal{1}/VR" advise="1">
        <values>
          <value>
            <val>18800</val>
          </value>
        </values>
      </ddeItem>
      <ddeItem name="acct[10-01719].adjbal{1}/VR" advise="1">
        <values>
          <value>
            <val>0</val>
          </value>
        </values>
      </ddeItem>
      <ddeItem name="acct[10-01720].adjbal{1}/VR" advise="1">
        <values>
          <value>
            <val>14382</val>
          </value>
        </values>
      </ddeItem>
      <ddeItem name="acct[10-01730].adjbal{1}/VR" advise="1">
        <values>
          <value>
            <val>0</val>
          </value>
        </values>
      </ddeItem>
      <ddeItem name="acct[10-01790].adjbal{1}/VR" advise="1">
        <values>
          <value>
            <val>0</val>
          </value>
        </values>
      </ddeItem>
      <ddeItem name="acct[10-01811].adjbal{1}/VR" advise="1">
        <values>
          <value>
            <val>34324</val>
          </value>
        </values>
      </ddeItem>
      <ddeItem name="acct[10-01812].adjbal{1}/VR" advise="1">
        <values>
          <value>
            <val>0</val>
          </value>
        </values>
      </ddeItem>
      <ddeItem name="acct[10-01813].adjbal{1}/VR" advise="1">
        <values>
          <value>
            <val>0</val>
          </value>
        </values>
      </ddeItem>
      <ddeItem name="acct[10-01819].adjbal{1}/VR" advise="1">
        <values>
          <value>
            <val>0</val>
          </value>
        </values>
      </ddeItem>
      <ddeItem name="acct[10-01821].adjbal{1}/VR" advise="1">
        <values>
          <value>
            <val>0</val>
          </value>
        </values>
      </ddeItem>
      <ddeItem name="acct[10-01822].adjbal{1}/VR" advise="1">
        <values>
          <value>
            <val>0</val>
          </value>
        </values>
      </ddeItem>
      <ddeItem name="acct[10-01823].adjbal{1}/VR" advise="1">
        <values>
          <value>
            <val>0</val>
          </value>
        </values>
      </ddeItem>
      <ddeItem name="acct[10-01829].adjbal{1}/VR" advise="1">
        <values>
          <value>
            <val>0</val>
          </value>
        </values>
      </ddeItem>
      <ddeItem name="acct[10-01890].adjbal{1}/VR" advise="1">
        <values>
          <value>
            <val>0</val>
          </value>
        </values>
      </ddeItem>
      <ddeItem name="acct[10-01910].adjbal{1}/VR" advise="1">
        <values>
          <value>
            <val>0</val>
          </value>
        </values>
      </ddeItem>
      <ddeItem name="acct[10-01920].adjbal{1}/VR" advise="1">
        <values>
          <value>
            <val>29789</val>
          </value>
        </values>
      </ddeItem>
      <ddeItem name="acct[10-01930].adjbal{1}/VR" advise="1">
        <values>
          <value t="str">
            <val xml:space="preserve"> </val>
          </value>
        </values>
      </ddeItem>
      <ddeItem name="acct[10-01940].adjbal{1}/VR" advise="1">
        <values>
          <value>
            <val>0</val>
          </value>
        </values>
      </ddeItem>
      <ddeItem name="acct[10-01950].adjbal{1}/VR" advise="1">
        <values>
          <value>
            <val>0</val>
          </value>
        </values>
      </ddeItem>
      <ddeItem name="acct[10-01960].adjbal{1}/VR" advise="1">
        <values>
          <value>
            <val>0</val>
          </value>
        </values>
      </ddeItem>
      <ddeItem name="acct[10-01970].adjbal{1}/VR" advise="1">
        <values>
          <value>
            <val>0</val>
          </value>
        </values>
      </ddeItem>
      <ddeItem name="acct[10-01980].adjbal{1}/VR" advise="1">
        <values>
          <value>
            <val>0</val>
          </value>
        </values>
      </ddeItem>
      <ddeItem name="acct[10-01991].adjbal{1}/VR" advise="1">
        <values>
          <value>
            <val>0</val>
          </value>
        </values>
      </ddeItem>
      <ddeItem name="acct[10-01992].adjbal{1}/VR" advise="1">
        <values>
          <value>
            <val>0</val>
          </value>
        </values>
      </ddeItem>
      <ddeItem name="acct[10-01993].adjbal{1}/VR" advise="1">
        <values>
          <value>
            <val>0</val>
          </value>
        </values>
      </ddeItem>
      <ddeItem name="acct[10-01999].adjbal{1}/VR" advise="1">
        <values>
          <value>
            <val>7729</val>
          </value>
        </values>
      </ddeItem>
      <ddeItem name="acct[10-02100].adjbal{1}/VR" advise="1">
        <values>
          <value>
            <val>0</val>
          </value>
        </values>
      </ddeItem>
      <ddeItem name="acct[10-02200].adjbal{1}/VR" advise="1">
        <values>
          <value>
            <val>0</val>
          </value>
        </values>
      </ddeItem>
      <ddeItem name="acct[10-02300].adjbal{1}/VR" advise="1">
        <values>
          <value>
            <val>0</val>
          </value>
        </values>
      </ddeItem>
      <ddeItem name="acct[10-03001].adjbal{1}/VR" advise="1">
        <values>
          <value>
            <val>2038354</val>
          </value>
        </values>
      </ddeItem>
      <ddeItem name="acct[10-03002].adjbal{1}/VR" advise="1">
        <values>
          <value>
            <val>0</val>
          </value>
        </values>
      </ddeItem>
      <ddeItem name="acct[10-03005].adjbal{1}/VR" advise="1">
        <values>
          <value>
            <val>193815</val>
          </value>
        </values>
      </ddeItem>
      <ddeItem name="acct[10-03099].adjbal{1}/VR" advise="1">
        <values>
          <value>
            <val>0</val>
          </value>
        </values>
      </ddeItem>
      <ddeItem name="acct[10-03100].adjbal{1}/VR" advise="1">
        <values>
          <value>
            <val>0</val>
          </value>
        </values>
      </ddeItem>
      <ddeItem name="acct[10-03105].adjbal{1}/VR" advise="1">
        <values>
          <value>
            <val>80704</val>
          </value>
        </values>
      </ddeItem>
      <ddeItem name="acct[10-03110].adjbal{1}/VR" advise="1">
        <values>
          <value>
            <val>101615</val>
          </value>
        </values>
      </ddeItem>
      <ddeItem name="acct[10-03120].adjbal{1}/VR" advise="1">
        <values>
          <value>
            <val>20785</val>
          </value>
        </values>
      </ddeItem>
      <ddeItem name="acct[10-03130].adjbal{1}/VR" advise="1">
        <values>
          <value>
            <val>0</val>
          </value>
        </values>
      </ddeItem>
      <ddeItem name="acct[10-03145].adjbal{1}/VR" advise="1">
        <values>
          <value>
            <val>0</val>
          </value>
        </values>
      </ddeItem>
      <ddeItem name="acct[10-03199].adjbal{1}/VR" advise="1">
        <values>
          <value>
            <val>0</val>
          </value>
        </values>
      </ddeItem>
      <ddeItem name="acct[10-03200].adjbal{1}/VR" advise="1">
        <values>
          <value>
            <val>0</val>
          </value>
        </values>
      </ddeItem>
      <ddeItem name="acct[10-03220].adjbal{1}/VR" advise="1">
        <values>
          <value>
            <val>8220</val>
          </value>
        </values>
      </ddeItem>
      <ddeItem name="acct[10-03225].adjbal{1}/VR" advise="1">
        <values>
          <value>
            <val>0</val>
          </value>
        </values>
      </ddeItem>
      <ddeItem name="acct[10-03235].adjbal{1}/VR" advise="1">
        <values>
          <value>
            <val>4748</val>
          </value>
        </values>
      </ddeItem>
      <ddeItem name="acct[10-03240].adjbal{1}/VR" advise="1">
        <values>
          <value>
            <val>0</val>
          </value>
        </values>
      </ddeItem>
      <ddeItem name="acct[10-03270].adjbal{1}/VR" advise="1">
        <values>
          <value>
            <val>0</val>
          </value>
        </values>
      </ddeItem>
      <ddeItem name="acct[10-03299].adjbal{1}/VR" advise="1">
        <values>
          <value>
            <val>0</val>
          </value>
        </values>
      </ddeItem>
      <ddeItem name="acct[10-03305].adjbal{1}/VR" advise="1">
        <values>
          <value>
            <val>0</val>
          </value>
        </values>
      </ddeItem>
      <ddeItem name="acct[10-03310].adjbal{1}/VR" advise="1">
        <values>
          <value>
            <val>0</val>
          </value>
        </values>
      </ddeItem>
      <ddeItem name="acct[10-03360].adjbal{1}/VR" advise="1">
        <values>
          <value>
            <val>3796</val>
          </value>
        </values>
      </ddeItem>
      <ddeItem name="acct[10-03365].adjbal{1}/VR" advise="1">
        <values>
          <value>
            <val>0</val>
          </value>
        </values>
      </ddeItem>
      <ddeItem name="acct[10-03370].adjbal{1}/VR" advise="1">
        <values>
          <value>
            <val>18292</val>
          </value>
        </values>
      </ddeItem>
      <ddeItem name="acct[10-03410].adjbal{1}/VR" advise="1">
        <values>
          <value>
            <val>0</val>
          </value>
        </values>
      </ddeItem>
      <ddeItem name="acct[10-03499].adjbal{1}/VR" advise="1">
        <values>
          <value>
            <val>0</val>
          </value>
        </values>
      </ddeItem>
      <ddeItem name="acct[10-03500].adjbal{1}/VR" advise="1">
        <values>
          <value>
            <val>0</val>
          </value>
        </values>
      </ddeItem>
      <ddeItem name="acct[10-03510].adjbal{1}/VR" advise="1">
        <values>
          <value>
            <val>0</val>
          </value>
        </values>
      </ddeItem>
      <ddeItem name="acct[10-03599].adjbal{1}/VR" advise="1">
        <values>
          <value>
            <val>0</val>
          </value>
        </values>
      </ddeItem>
      <ddeItem name="acct[10-03610].adjbal{1}/VR" advise="1">
        <values>
          <value>
            <val>0</val>
          </value>
        </values>
      </ddeItem>
      <ddeItem name="acct[10-03660].adjbal{1}/VR" advise="1">
        <values>
          <value>
            <val>0</val>
          </value>
        </values>
      </ddeItem>
      <ddeItem name="acct[10-03695].adjbal{1}/VR" advise="1">
        <values>
          <value>
            <val>0</val>
          </value>
        </values>
      </ddeItem>
      <ddeItem name="acct[10-03705].adjbal{1}/VR" advise="1">
        <values>
          <value>
            <val>389562</val>
          </value>
        </values>
      </ddeItem>
      <ddeItem name="acct[10-03715].adjbal{1}/VR3" advise="1">
        <values>
          <value>
            <val>0</val>
          </value>
        </values>
      </ddeItem>
      <ddeItem name="acct[10-03720].adjbal{1}/VR" advise="1">
        <values>
          <value>
            <val>0</val>
          </value>
        </values>
      </ddeItem>
      <ddeItem name="acct[10-03725].adjbal{1}/VR" advise="1">
        <values>
          <value>
            <val>0</val>
          </value>
        </values>
      </ddeItem>
      <ddeItem name="acct[10-03726].adjbal{1}/VR" advise="1">
        <values>
          <value>
            <val>0</val>
          </value>
        </values>
      </ddeItem>
      <ddeItem name="acct[10-03766].adjbal{1}/VR" advise="1">
        <values>
          <value>
            <val>0</val>
          </value>
        </values>
      </ddeItem>
      <ddeItem name="acct[10-03767].adjbal{1}/VR" advise="1">
        <values>
          <value>
            <val>0</val>
          </value>
        </values>
      </ddeItem>
      <ddeItem name="acct[10-03775].adjbal{1}/VR" advise="1">
        <values>
          <value>
            <val>0</val>
          </value>
        </values>
      </ddeItem>
      <ddeItem name="acct[10-03780].adjbal{1}/VR" advise="1">
        <values>
          <value>
            <val>0</val>
          </value>
        </values>
      </ddeItem>
      <ddeItem name="acct[10-03815].adjbal{1}/VR" advise="1">
        <values>
          <value>
            <val>0</val>
          </value>
        </values>
      </ddeItem>
      <ddeItem name="acct[10-03825].adjbal{1}/VR" advise="1">
        <values>
          <value>
            <val>0</val>
          </value>
        </values>
      </ddeItem>
      <ddeItem name="acct[10-03999].adjbal{1}/VR" advise="1">
        <values>
          <value>
            <val>1578</val>
          </value>
        </values>
      </ddeItem>
      <ddeItem name="acct[10-04001].adjbal{1}/VR" advise="1">
        <values>
          <value>
            <val>0</val>
          </value>
        </values>
      </ddeItem>
      <ddeItem name="acct[10-04009].adjbal{1}/VR" advise="1">
        <values>
          <value>
            <val>0</val>
          </value>
        </values>
      </ddeItem>
      <ddeItem name="acct[10-04045].adjbal{1}/VR" advise="1">
        <values>
          <value>
            <val>0</val>
          </value>
        </values>
      </ddeItem>
      <ddeItem name="acct[10-04050].adjbal{1}/VR" advise="1">
        <values>
          <value>
            <val>0</val>
          </value>
        </values>
      </ddeItem>
      <ddeItem name="acct[10-04060].adjbal{1}/VR" advise="1">
        <values>
          <value>
            <val>0</val>
          </value>
        </values>
      </ddeItem>
      <ddeItem name="acct[10-04090].adjbal{1}/VR" advise="1">
        <values>
          <value>
            <val>0</val>
          </value>
        </values>
      </ddeItem>
      <ddeItem name="acct[10-04100].adjbal{1}/VR" advise="1">
        <values>
          <value>
            <val>0</val>
          </value>
        </values>
      </ddeItem>
      <ddeItem name="acct[10-04105].adjbal{1}/VR" advise="1">
        <values>
          <value>
            <val>0</val>
          </value>
        </values>
      </ddeItem>
      <ddeItem name="acct[10-04107].adjbal{1}/VR" advise="1">
        <values>
          <value>
            <val>0</val>
          </value>
        </values>
      </ddeItem>
      <ddeItem name="acct[10-04199].adjbal{1}/VR" advise="1">
        <values>
          <value>
            <val>0</val>
          </value>
        </values>
      </ddeItem>
      <ddeItem name="acct[10-04200].adjbal{1}/VR" advise="1">
        <values>
          <value>
            <val>0</val>
          </value>
        </values>
      </ddeItem>
      <ddeItem name="acct[10-04210].adjbal{1}/VR" advise="1">
        <values>
          <value>
            <val>231359</val>
          </value>
        </values>
      </ddeItem>
      <ddeItem name="acct[10-04215].adjbal{1}/VR" advise="1">
        <values>
          <value>
            <val>0</val>
          </value>
        </values>
      </ddeItem>
      <ddeItem name="acct[10-04220].adjbal{1}/VR" advise="1">
        <values>
          <value>
            <val>58066</val>
          </value>
        </values>
      </ddeItem>
      <ddeItem name="acct[10-04225].adjbal{1}/VR" advise="1">
        <values>
          <value>
            <val>0</val>
          </value>
        </values>
      </ddeItem>
      <ddeItem name="acct[10-04226].adjbal{1}/VR" advise="1">
        <values>
          <value>
            <val>0</val>
          </value>
        </values>
      </ddeItem>
      <ddeItem name="acct[10-04240].adjbal{1}/VR" advise="1">
        <values>
          <value>
            <val>0</val>
          </value>
        </values>
      </ddeItem>
      <ddeItem name="acct[10-04299].adjbal{1}/VR" advise="1">
        <values>
          <value>
            <val>0</val>
          </value>
        </values>
      </ddeItem>
      <ddeItem name="acct[10-04300].adjbal{1}/VR" advise="1">
        <values>
          <value>
            <val>406906</val>
          </value>
        </values>
      </ddeItem>
      <ddeItem name="acct[10-04305].adjbal{1}/VR" advise="1">
        <values>
          <value>
            <val>0</val>
          </value>
        </values>
      </ddeItem>
      <ddeItem name="acct[10-04332].adjbal{1}/VR" advise="1">
        <values>
          <value>
            <val>0</val>
          </value>
        </values>
      </ddeItem>
      <ddeItem name="acct[10-04334].adjbal{1}/VR" advise="1">
        <values>
          <value>
            <val>0</val>
          </value>
        </values>
      </ddeItem>
      <ddeItem name="acct[10-04335].adjbal{1}/VR" advise="1">
        <values>
          <value>
            <val>0</val>
          </value>
        </values>
      </ddeItem>
      <ddeItem name="acct[10-04337].adjbal{1}/VR" advise="1">
        <values>
          <value>
            <val>0</val>
          </value>
        </values>
      </ddeItem>
      <ddeItem name="acct[10-04340].adjbal{1}/VR" advise="1">
        <values>
          <value>
            <val>0</val>
          </value>
        </values>
      </ddeItem>
      <ddeItem name="acct[10-04399].adjbal{1}/VR" advise="1">
        <values>
          <value>
            <val>0</val>
          </value>
        </values>
      </ddeItem>
      <ddeItem name="acct[10-04400].adjbal{1}/VR" advise="1">
        <values>
          <value>
            <val>0</val>
          </value>
        </values>
      </ddeItem>
      <ddeItem name="acct[10-04421].adjbal{1}/VR" advise="1">
        <values>
          <value>
            <val>0</val>
          </value>
        </values>
      </ddeItem>
      <ddeItem name="acct[10-04499].adjbal{1}/VR" advise="1">
        <values>
          <value>
            <val>0</val>
          </value>
        </values>
      </ddeItem>
      <ddeItem name="acct[10-04600].adjbal{1}/VR" advise="1">
        <values>
          <value>
            <val>0</val>
          </value>
        </values>
      </ddeItem>
      <ddeItem name="acct[10-04605].adjbal{1}/VR" advise="1">
        <values>
          <value>
            <val>0</val>
          </value>
        </values>
      </ddeItem>
      <ddeItem name="acct[10-04620].adjbal{1}/VR" advise="1">
        <values>
          <value>
            <val>7329</val>
          </value>
        </values>
      </ddeItem>
      <ddeItem name="acct[10-04625].adjbal{1}/VR" advise="1">
        <values>
          <value>
            <val>4171</val>
          </value>
        </values>
      </ddeItem>
      <ddeItem name="acct[10-04630].adjbal{1}/VR" advise="1">
        <values>
          <value>
            <val>0</val>
          </value>
        </values>
      </ddeItem>
      <ddeItem name="acct[10-04699].adjbal{1}/VR" advise="1">
        <values>
          <value>
            <val>0</val>
          </value>
        </values>
      </ddeItem>
      <ddeItem name="acct[10-04770].adjbal{1}/VR" advise="1">
        <values>
          <value>
            <val>3139</val>
          </value>
        </values>
      </ddeItem>
      <ddeItem name="acct[10-04799].adjbal{1}/VR" advise="1">
        <values>
          <value>
            <val>0</val>
          </value>
        </values>
      </ddeItem>
      <ddeItem name="acct[10-04810].adjbal{1}/VR" advise="1">
        <values>
          <value>
            <val>0</val>
          </value>
        </values>
      </ddeItem>
      <ddeItem name="acct[10-04850].adjbal{1}/VR" advise="1">
        <values>
          <value>
            <val>0</val>
          </value>
        </values>
      </ddeItem>
      <ddeItem name="acct[10-04851].adjbal{1}/VR" advise="1">
        <values>
          <value>
            <val>0</val>
          </value>
        </values>
      </ddeItem>
      <ddeItem name="acct[10-04852].adjbal{1}/VR" advise="1">
        <values>
          <value>
            <val>0</val>
          </value>
        </values>
      </ddeItem>
      <ddeItem name="acct[10-04853].adjbal{1}/VR" advise="1">
        <values>
          <value>
            <val>0</val>
          </value>
        </values>
      </ddeItem>
      <ddeItem name="acct[10-04854].adjbal{1}/VR" advise="1">
        <values>
          <value>
            <val>0</val>
          </value>
        </values>
      </ddeItem>
      <ddeItem name="acct[10-04855].adjbal{1}/VR" advise="1">
        <values>
          <value>
            <val>0</val>
          </value>
        </values>
      </ddeItem>
      <ddeItem name="acct[10-04856].adjbal{1}/VR" advise="1">
        <values>
          <value>
            <val>0</val>
          </value>
        </values>
      </ddeItem>
      <ddeItem name="acct[10-04857].adjbal{1}/VR" advise="1">
        <values>
          <value>
            <val>0</val>
          </value>
        </values>
      </ddeItem>
      <ddeItem name="acct[10-04860].adjbal{1}/VR" advise="1">
        <values>
          <value>
            <val>0</val>
          </value>
        </values>
      </ddeItem>
      <ddeItem name="acct[10-04861].adjbal{1}/VR" advise="1">
        <values>
          <value>
            <val>0</val>
          </value>
        </values>
      </ddeItem>
      <ddeItem name="acct[10-04862].adjbal{1}/VR" advise="1">
        <values>
          <value>
            <val>0</val>
          </value>
        </values>
      </ddeItem>
      <ddeItem name="acct[10-04863].adjbal{1}/VR" advise="1">
        <values>
          <value>
            <val>0</val>
          </value>
        </values>
      </ddeItem>
      <ddeItem name="acct[10-04864].adjbal{1}/VR" advise="1">
        <values>
          <value>
            <val>0</val>
          </value>
        </values>
      </ddeItem>
      <ddeItem name="acct[10-04865].adjbal{1}/VR" advise="1">
        <values>
          <value>
            <val>0</val>
          </value>
        </values>
      </ddeItem>
      <ddeItem name="acct[10-04866].adjbal{1}/VR" advise="1">
        <values>
          <value>
            <val>0</val>
          </value>
        </values>
      </ddeItem>
      <ddeItem name="acct[10-04867].adjbal{1}/VR" advise="1">
        <values>
          <value>
            <val>0</val>
          </value>
        </values>
      </ddeItem>
      <ddeItem name="acct[10-04868].adjbal{1}/VR" advise="1">
        <values>
          <value>
            <val>0</val>
          </value>
        </values>
      </ddeItem>
      <ddeItem name="acct[10-04869].adjbal{1}/VR" advise="1">
        <values>
          <value>
            <val>0</val>
          </value>
        </values>
      </ddeItem>
      <ddeItem name="acct[10-04870].adjbal{1}/VR" advise="1">
        <values>
          <value>
            <val>0</val>
          </value>
        </values>
      </ddeItem>
      <ddeItem name="acct[10-04871].adjbal{1}/VR" advise="1">
        <values>
          <value>
            <val>0</val>
          </value>
        </values>
      </ddeItem>
      <ddeItem name="acct[10-04872].adjbal{1}/VR" advise="1">
        <values>
          <value>
            <val>0</val>
          </value>
        </values>
      </ddeItem>
      <ddeItem name="acct[10-04873].adjbal{1}/VR" advise="1">
        <values>
          <value>
            <val>0</val>
          </value>
        </values>
      </ddeItem>
      <ddeItem name="acct[10-04874].adjbal{1}/VR" advise="1">
        <values>
          <value>
            <val>0</val>
          </value>
        </values>
      </ddeItem>
      <ddeItem name="acct[10-04875].adjbal{1}/VR" advise="1">
        <values>
          <value>
            <val>0</val>
          </value>
        </values>
      </ddeItem>
      <ddeItem name="acct[10-04876].adjbal{1}/VR" advise="1">
        <values>
          <value>
            <val>0</val>
          </value>
        </values>
      </ddeItem>
      <ddeItem name="acct[10-04877].adjbal{1}/VR" advise="1">
        <values>
          <value>
            <val>0</val>
          </value>
        </values>
      </ddeItem>
      <ddeItem name="acct[10-04878].adjbal{1}/VR" advise="1">
        <values>
          <value>
            <val>0</val>
          </value>
        </values>
      </ddeItem>
      <ddeItem name="acct[10-04879].adjbal{1}/VR" advise="1">
        <values>
          <value>
            <val>0</val>
          </value>
        </values>
      </ddeItem>
      <ddeItem name="acct[10-04880].adjbal{1}/VR" advise="1">
        <values>
          <value>
            <val>0</val>
          </value>
        </values>
      </ddeItem>
      <ddeItem name="acct[10-04901].adjbal{1}/VR" advise="1">
        <values>
          <value t="str">
            <val xml:space="preserve"> </val>
          </value>
        </values>
      </ddeItem>
      <ddeItem name="acct[10-04902].adjbal{1}/VR" advise="1">
        <values>
          <value t="str">
            <val xml:space="preserve"> </val>
          </value>
        </values>
      </ddeItem>
      <ddeItem name="acct[10-04904].adjbal{1}/VR" advise="1">
        <values>
          <value>
            <val>0</val>
          </value>
        </values>
      </ddeItem>
      <ddeItem name="acct[10-04905].adjbal{1}/VR" advise="1">
        <values>
          <value>
            <val>0</val>
          </value>
        </values>
      </ddeItem>
      <ddeItem name="acct[10-04909].adjbal{1}/VR" advise="1">
        <values>
          <value>
            <val>0</val>
          </value>
        </values>
      </ddeItem>
      <ddeItem name="acct[10-04910].adjbal{1}/VR" advise="1">
        <values>
          <value>
            <val>0</val>
          </value>
        </values>
      </ddeItem>
      <ddeItem name="acct[10-04920].adjbal{1}/VR" advise="1">
        <values>
          <value>
            <val>0</val>
          </value>
        </values>
      </ddeItem>
      <ddeItem name="acct[10-04930].adjbal{1}/VR" advise="1">
        <values>
          <value>
            <val>0</val>
          </value>
        </values>
      </ddeItem>
      <ddeItem name="acct[10-04932].adjbal{1}/VR" advise="1">
        <values>
          <value>
            <val>48011</val>
          </value>
        </values>
      </ddeItem>
      <ddeItem name="acct[10-04960].adjbal{1}/VR" advise="1">
        <values>
          <value>
            <val>0</val>
          </value>
        </values>
      </ddeItem>
      <ddeItem name="acct[10-04991].adjbal{1}/VR" advise="1">
        <values>
          <value>
            <val>5641</val>
          </value>
        </values>
      </ddeItem>
      <ddeItem name="acct[10-04992].adjbal{1}/VR" advise="1">
        <values>
          <value>
            <val>47210</val>
          </value>
        </values>
      </ddeItem>
      <ddeItem name="acct[10-04999].adjbal{1}/VR" advise="1">
        <values>
          <value>
            <val>0</val>
          </value>
        </values>
      </ddeItem>
      <ddeItem name="acct[10-07110].adjbal{1}/VR" advise="1">
        <values>
          <value>
            <val>0</val>
          </value>
        </values>
      </ddeItem>
      <ddeItem name="acct[10-07110ED].adjbal{1}/VR" advise="1">
        <values>
          <value>
            <val>0</val>
          </value>
        </values>
      </ddeItem>
      <ddeItem name="acct[10-07120].adjbal{1}/VR" advise="1">
        <values>
          <value>
            <val>0</val>
          </value>
        </values>
      </ddeItem>
      <ddeItem name="acct[10-07130].adjbal{1}/VR" advise="1">
        <values>
          <value>
            <val>0</val>
          </value>
        </values>
      </ddeItem>
      <ddeItem name="acct[10-07140].adjbal{1}/VR" advise="1">
        <values>
          <value>
            <val>0</val>
          </value>
        </values>
      </ddeItem>
      <ddeItem name="acct[10-07210].adjbal{1}/VR" advise="1">
        <values>
          <value>
            <val>0</val>
          </value>
        </values>
      </ddeItem>
      <ddeItem name="acct[10-07220].adjbal{1}/VR" advise="1">
        <values>
          <value>
            <val>0</val>
          </value>
        </values>
      </ddeItem>
      <ddeItem name="acct[10-07230].adjbal{1}/VR" advise="1">
        <values>
          <value>
            <val>0</val>
          </value>
        </values>
      </ddeItem>
      <ddeItem name="acct[10-07300].adjbal{1}/VR" advise="1">
        <values>
          <value>
            <val>0</val>
          </value>
        </values>
      </ddeItem>
      <ddeItem name="acct[10-07900].adjbal{1}/VR" advise="1">
        <values>
          <value>
            <val>0</val>
          </value>
        </values>
      </ddeItem>
      <ddeItem name="acct[10-07990].adjbal{1}/VR" advise="1">
        <values>
          <value>
            <val>0</val>
          </value>
        </values>
      </ddeItem>
      <ddeItem name="acct[10-08130].adjbal{1}" advise="1">
        <values>
          <value>
            <val>0</val>
          </value>
        </values>
      </ddeItem>
      <ddeItem name="acct[10-08140].adjbal{1}" advise="1">
        <values>
          <value>
            <val>0</val>
          </value>
        </values>
      </ddeItem>
      <ddeItem name="acct[10-08410].adjbal{1}" advise="1">
        <values>
          <value>
            <val>19868</val>
          </value>
        </values>
      </ddeItem>
      <ddeItem name="acct[10-08420].adjbal{1}" advise="1">
        <values>
          <value>
            <val>0</val>
          </value>
        </values>
      </ddeItem>
      <ddeItem name="acct[10-08430].adjbal{1}" advise="1">
        <values>
          <value>
            <val>0</val>
          </value>
        </values>
      </ddeItem>
      <ddeItem name="acct[10-08440].adjbal{1}" advise="1">
        <values>
          <value>
            <val>0</val>
          </value>
        </values>
      </ddeItem>
      <ddeItem name="acct[10-08510].adjbal{1}" advise="1">
        <values>
          <value>
            <val>2133</val>
          </value>
        </values>
      </ddeItem>
      <ddeItem name="acct[10-08520].adjbal{1}" advise="1">
        <values>
          <value>
            <val>0</val>
          </value>
        </values>
      </ddeItem>
      <ddeItem name="acct[10-08530].adjbal{1}" advise="1">
        <values>
          <value>
            <val>0</val>
          </value>
        </values>
      </ddeItem>
      <ddeItem name="acct[10-08540].adjbal{1}" advise="1">
        <values>
          <value>
            <val>0</val>
          </value>
        </values>
      </ddeItem>
      <ddeItem name="acct[10-08610].adjbal{1}" advise="1">
        <values>
          <value>
            <val>0</val>
          </value>
        </values>
      </ddeItem>
      <ddeItem name="acct[10-08620].adjbal{1}" advise="1">
        <values>
          <value>
            <val>0</val>
          </value>
        </values>
      </ddeItem>
      <ddeItem name="acct[10-08630].adjbal{1}" advise="1">
        <values>
          <value>
            <val>0</val>
          </value>
        </values>
      </ddeItem>
      <ddeItem name="acct[10-08640].adjbal{1}" advise="1">
        <values>
          <value>
            <val>0</val>
          </value>
        </values>
      </ddeItem>
      <ddeItem name="acct[10-08710].adjbal{1}" advise="1">
        <values>
          <value>
            <val>0</val>
          </value>
        </values>
      </ddeItem>
      <ddeItem name="acct[10-08720].adjbal{1}" advise="1">
        <values>
          <value>
            <val>0</val>
          </value>
        </values>
      </ddeItem>
      <ddeItem name="acct[10-08730].adjbal{1}" advise="1">
        <values>
          <value>
            <val>0</val>
          </value>
        </values>
      </ddeItem>
      <ddeItem name="acct[10-08740].adjbal{1}" advise="1">
        <values>
          <value>
            <val>0</val>
          </value>
        </values>
      </ddeItem>
      <ddeItem name="acct[10-08810].adjbal{1}" advise="1">
        <values>
          <value>
            <val>0</val>
          </value>
        </values>
      </ddeItem>
      <ddeItem name="acct[10-08820].adjbal{1}" advise="1">
        <values>
          <value>
            <val>0</val>
          </value>
        </values>
      </ddeItem>
      <ddeItem name="acct[10-08830].adjbal{1}" advise="1">
        <values>
          <value>
            <val>0</val>
          </value>
        </values>
      </ddeItem>
      <ddeItem name="acct[10-08840].adjbal{1}" advise="1">
        <values>
          <value>
            <val>0</val>
          </value>
        </values>
      </ddeItem>
      <ddeItem name="acct[10-08910].adjbal{1}" advise="1">
        <values>
          <value>
            <val>0</val>
          </value>
        </values>
      </ddeItem>
      <ddeItem name="acct[10-08990].adjbal{1}" advise="1">
        <values>
          <value>
            <val>0</val>
          </value>
        </values>
      </ddeItem>
      <ddeItem name="acct[10-11001].adjbal{1}" advise="1">
        <values>
          <value>
            <val>3733619</val>
          </value>
        </values>
      </ddeItem>
      <ddeItem name="acct[10-11002].adjbal{1}" advise="1">
        <values>
          <value>
            <val>907197</val>
          </value>
        </values>
      </ddeItem>
      <ddeItem name="acct[10-11003].adjbal{1}" advise="1">
        <values>
          <value>
            <val>1790</val>
          </value>
        </values>
      </ddeItem>
      <ddeItem name="acct[10-11004].adjbal{1}" advise="1">
        <values>
          <value>
            <val>111160</val>
          </value>
        </values>
      </ddeItem>
      <ddeItem name="acct[10-11005].adjbal{1}" advise="1">
        <values>
          <value>
            <val>7074</val>
          </value>
        </values>
      </ddeItem>
      <ddeItem name="acct[10-11006].adjbal{1}" advise="1">
        <values>
          <value>
            <val>12060</val>
          </value>
        </values>
      </ddeItem>
      <ddeItem name="acct[10-11007].adjbal{1}" advise="1">
        <values>
          <value>
            <val>0</val>
          </value>
        </values>
      </ddeItem>
      <ddeItem name="acct[10-11008].adjbal{1}" advise="1">
        <values>
          <value>
            <val>0</val>
          </value>
        </values>
      </ddeItem>
      <ddeItem name="acct[10-11153].adjbal{1}" advise="1">
        <values>
          <value t="str">
            <val xml:space="preserve"> </val>
          </value>
        </values>
      </ddeItem>
      <ddeItem name="acct[10-11251].adjbal{1}" advise="1">
        <values>
          <value>
            <val>171918</val>
          </value>
        </values>
      </ddeItem>
      <ddeItem name="acct[10-11252].adjbal{1}" advise="1">
        <values>
          <value>
            <val>41695</val>
          </value>
        </values>
      </ddeItem>
      <ddeItem name="acct[10-11253].adjbal{1}" advise="1">
        <values>
          <value>
            <val>0</val>
          </value>
        </values>
      </ddeItem>
      <ddeItem name="acct[10-11254].adjbal{1}" advise="1">
        <values>
          <value>
            <val>0</val>
          </value>
        </values>
      </ddeItem>
      <ddeItem name="acct[10-11255].adjbal{1}" advise="1">
        <values>
          <value>
            <val>0</val>
          </value>
        </values>
      </ddeItem>
      <ddeItem name="acct[10-11256].adjbal{1}" advise="1">
        <values>
          <value>
            <val>0</val>
          </value>
        </values>
      </ddeItem>
      <ddeItem name="acct[10-11257].adjbal{1}" advise="1">
        <values>
          <value>
            <val>0</val>
          </value>
        </values>
      </ddeItem>
      <ddeItem name="acct[10-11258].adjbal{1}" advise="1">
        <values>
          <value>
            <val>0</val>
          </value>
        </values>
      </ddeItem>
      <ddeItem name="acct[10-12001].adjbal{1}" advise="1">
        <values>
          <value>
            <val>656936</val>
          </value>
        </values>
      </ddeItem>
      <ddeItem name="acct[10-12002].adjbal{1}" advise="1">
        <values>
          <value>
            <val>135371</val>
          </value>
        </values>
      </ddeItem>
      <ddeItem name="acct[10-12003].adjbal{1}" advise="1">
        <values>
          <value>
            <val>13129</val>
          </value>
        </values>
      </ddeItem>
      <ddeItem name="acct[10-12004].adjbal{1}" advise="1">
        <values>
          <value>
            <val>1053</val>
          </value>
        </values>
      </ddeItem>
      <ddeItem name="acct[10-12005].adjbal{1}" advise="1">
        <values>
          <value>
            <val>0</val>
          </value>
        </values>
      </ddeItem>
      <ddeItem name="acct[10-12006].adjbal{1}" advise="1">
        <values>
          <value>
            <val>0</val>
          </value>
        </values>
      </ddeItem>
      <ddeItem name="acct[10-12007].adjbal{1}" advise="1">
        <values>
          <value>
            <val>0</val>
          </value>
        </values>
      </ddeItem>
      <ddeItem name="acct[10-12008].adjbal{1}" advise="1">
        <values>
          <value>
            <val>0</val>
          </value>
        </values>
      </ddeItem>
      <ddeItem name="acct[10-12251].adjbal{1}" advise="1">
        <values>
          <value>
            <val>0</val>
          </value>
        </values>
      </ddeItem>
      <ddeItem name="acct[10-12252].adjbal{1}" advise="1">
        <values>
          <value>
            <val>0</val>
          </value>
        </values>
      </ddeItem>
      <ddeItem name="acct[10-12253].adjbal{1}" advise="1">
        <values>
          <value>
            <val>0</val>
          </value>
        </values>
      </ddeItem>
      <ddeItem name="acct[10-12254].adjbal{1}" advise="1">
        <values>
          <value>
            <val>0</val>
          </value>
        </values>
      </ddeItem>
      <ddeItem name="acct[10-12255].adjbal{1}" advise="1">
        <values>
          <value>
            <val>0</val>
          </value>
        </values>
      </ddeItem>
      <ddeItem name="acct[10-12256].adjbal{1}" advise="1">
        <values>
          <value>
            <val>0</val>
          </value>
        </values>
      </ddeItem>
      <ddeItem name="acct[10-12257].adjbal{1}" advise="1">
        <values>
          <value>
            <val>0</val>
          </value>
        </values>
      </ddeItem>
      <ddeItem name="acct[10-12258].adjbal{1}" advise="1">
        <values>
          <value>
            <val>0</val>
          </value>
        </values>
      </ddeItem>
      <ddeItem name="acct[10-12501].adjbal{1}" advise="1">
        <values>
          <value>
            <val>231585</val>
          </value>
        </values>
      </ddeItem>
      <ddeItem name="acct[10-12502].adjbal{1}" advise="1">
        <values>
          <value>
            <val>81303</val>
          </value>
        </values>
      </ddeItem>
      <ddeItem name="acct[10-12503].adjbal{1}" advise="1">
        <values>
          <value>
            <val>7596</val>
          </value>
        </values>
      </ddeItem>
      <ddeItem name="acct[10-12504].adjbal{1}" advise="1">
        <values>
          <value>
            <val>80938</val>
          </value>
        </values>
      </ddeItem>
      <ddeItem name="acct[10-12505].adjbal{1}" advise="1">
        <values>
          <value>
            <val>5622</val>
          </value>
        </values>
      </ddeItem>
      <ddeItem name="acct[10-12506].adjbal{1}" advise="1">
        <values>
          <value>
            <val>0</val>
          </value>
        </values>
      </ddeItem>
      <ddeItem name="acct[10-12507].adjbal{1}" advise="1">
        <values>
          <value>
            <val>0</val>
          </value>
        </values>
      </ddeItem>
      <ddeItem name="acct[10-12508].adjbal{1}" advise="1">
        <values>
          <value>
            <val>0</val>
          </value>
        </values>
      </ddeItem>
      <ddeItem name="acct[10-12751].adjbal{1}" advise="1">
        <values>
          <value>
            <val>0</val>
          </value>
        </values>
      </ddeItem>
      <ddeItem name="acct[10-12752].adjbal{1}" advise="1">
        <values>
          <value>
            <val>0</val>
          </value>
        </values>
      </ddeItem>
      <ddeItem name="acct[10-12753].adjbal{1}" advise="1">
        <values>
          <value>
            <val>0</val>
          </value>
        </values>
      </ddeItem>
      <ddeItem name="acct[10-12754].adjbal{1}" advise="1">
        <values>
          <value>
            <val>0</val>
          </value>
        </values>
      </ddeItem>
      <ddeItem name="acct[10-12755].adjbal{1}" advise="1">
        <values>
          <value>
            <val>0</val>
          </value>
        </values>
      </ddeItem>
      <ddeItem name="acct[10-12756].adjbal{1}" advise="1">
        <values>
          <value>
            <val>0</val>
          </value>
        </values>
      </ddeItem>
      <ddeItem name="acct[10-12757].adjbal{1}" advise="1">
        <values>
          <value>
            <val>0</val>
          </value>
        </values>
      </ddeItem>
      <ddeItem name="acct[10-12758].adjbal{1}" advise="1">
        <values>
          <value>
            <val>0</val>
          </value>
        </values>
      </ddeItem>
      <ddeItem name="acct[10-13001].adjbal{1}" advise="1">
        <values>
          <value>
            <val>0</val>
          </value>
        </values>
      </ddeItem>
      <ddeItem name="acct[10-13002].adjbal{1}" advise="1">
        <values>
          <value>
            <val>0</val>
          </value>
        </values>
      </ddeItem>
      <ddeItem name="acct[10-13003].adjbal{1}" advise="1">
        <values>
          <value>
            <val>0</val>
          </value>
        </values>
      </ddeItem>
      <ddeItem name="acct[10-13004].adjbal{1}" advise="1">
        <values>
          <value>
            <val>0</val>
          </value>
        </values>
      </ddeItem>
      <ddeItem name="acct[10-13005].adjbal{1}" advise="1">
        <values>
          <value>
            <val>0</val>
          </value>
        </values>
      </ddeItem>
      <ddeItem name="acct[10-13006].adjbal{1}" advise="1">
        <values>
          <value>
            <val>0</val>
          </value>
        </values>
      </ddeItem>
      <ddeItem name="acct[10-13007].adjbal{1}" advise="1">
        <values>
          <value>
            <val>0</val>
          </value>
        </values>
      </ddeItem>
      <ddeItem name="acct[10-13008].adjbal{1}" advise="1">
        <values>
          <value>
            <val>0</val>
          </value>
        </values>
      </ddeItem>
      <ddeItem name="acct[10-14001].adjbal{1}" advise="1">
        <values>
          <value>
            <val>184207</val>
          </value>
        </values>
      </ddeItem>
      <ddeItem name="acct[10-14002].adjbal{1}" advise="1">
        <values>
          <value>
            <val>46749</val>
          </value>
        </values>
      </ddeItem>
      <ddeItem name="acct[10-14003].adjbal{1}" advise="1">
        <values>
          <value>
            <val>0</val>
          </value>
        </values>
      </ddeItem>
      <ddeItem name="acct[10-14004].adjbal{1}" advise="1">
        <values>
          <value>
            <val>14447</val>
          </value>
        </values>
      </ddeItem>
      <ddeItem name="acct[10-14005].adjbal{1}" advise="1">
        <values>
          <value>
            <val>18158</val>
          </value>
        </values>
      </ddeItem>
      <ddeItem name="acct[10-14006].adjbal{1}" advise="1">
        <values>
          <value>
            <val>6466</val>
          </value>
        </values>
      </ddeItem>
      <ddeItem name="acct[10-14007].adjbal{1}" advise="1">
        <values>
          <value>
            <val>0</val>
          </value>
        </values>
      </ddeItem>
      <ddeItem name="acct[10-14008].adjbal{1}" advise="1">
        <values>
          <value>
            <val>0</val>
          </value>
        </values>
      </ddeItem>
      <ddeItem name="acct[10-15001].adjbal{1}" advise="1">
        <values>
          <value>
            <val>116059</val>
          </value>
        </values>
      </ddeItem>
      <ddeItem name="acct[10-15002].adjbal{1}" advise="1">
        <values>
          <value>
            <val>13321</val>
          </value>
        </values>
      </ddeItem>
      <ddeItem name="acct[10-15003].adjbal{1}" advise="1">
        <values>
          <value>
            <val>16224</val>
          </value>
        </values>
      </ddeItem>
      <ddeItem name="acct[10-15004].adjbal{1}" advise="1">
        <values>
          <value>
            <val>17326</val>
          </value>
        </values>
      </ddeItem>
      <ddeItem name="acct[10-15005].adjbal{1}" advise="1">
        <values>
          <value>
            <val>558</val>
          </value>
        </values>
      </ddeItem>
      <ddeItem name="acct[10-15006].adjbal{1}" advise="1">
        <values>
          <value>
            <val>14174</val>
          </value>
        </values>
      </ddeItem>
      <ddeItem name="acct[10-15007].adjbal{1}" advise="1">
        <values>
          <value>
            <val>0</val>
          </value>
        </values>
      </ddeItem>
      <ddeItem name="acct[10-15008].adjbal{1}" advise="1">
        <values>
          <value>
            <val>0</val>
          </value>
        </values>
      </ddeItem>
      <ddeItem name="acct[10-16001].adjbal{1}" advise="1">
        <values>
          <value>
            <val>0</val>
          </value>
        </values>
      </ddeItem>
      <ddeItem name="acct[10-16002].adjbal{1}" advise="1">
        <values>
          <value>
            <val>0</val>
          </value>
        </values>
      </ddeItem>
      <ddeItem name="acct[10-16003].adjbal{1}" advise="1">
        <values>
          <value>
            <val>0</val>
          </value>
        </values>
      </ddeItem>
      <ddeItem name="acct[10-16004].adjbal{1}" advise="1">
        <values>
          <value>
            <val>0</val>
          </value>
        </values>
      </ddeItem>
      <ddeItem name="acct[10-16005].adjbal{1}" advise="1">
        <values>
          <value>
            <val>0</val>
          </value>
        </values>
      </ddeItem>
      <ddeItem name="acct[10-16006].adjbal{1}" advise="1">
        <values>
          <value>
            <val>0</val>
          </value>
        </values>
      </ddeItem>
      <ddeItem name="acct[10-16007].adjbal{1}" advise="1">
        <values>
          <value>
            <val>0</val>
          </value>
        </values>
      </ddeItem>
      <ddeItem name="acct[10-16008].adjbal{1}" advise="1">
        <values>
          <value>
            <val>0</val>
          </value>
        </values>
      </ddeItem>
      <ddeItem name="acct[10-16501].adjbal{1}" advise="1">
        <values>
          <value>
            <val>0</val>
          </value>
        </values>
      </ddeItem>
      <ddeItem name="acct[10-16502].adjbal{1}" advise="1">
        <values>
          <value>
            <val>0</val>
          </value>
        </values>
      </ddeItem>
      <ddeItem name="acct[10-16503].adjbal{1}" advise="1">
        <values>
          <value>
            <val>0</val>
          </value>
        </values>
      </ddeItem>
      <ddeItem name="acct[10-16504].adjbal{1}" advise="1">
        <values>
          <value>
            <val>0</val>
          </value>
        </values>
      </ddeItem>
      <ddeItem name="acct[10-16505].adjbal{1}" advise="1">
        <values>
          <value>
            <val>0</val>
          </value>
        </values>
      </ddeItem>
      <ddeItem name="acct[10-16506].adjbal{1}" advise="1">
        <values>
          <value>
            <val>0</val>
          </value>
        </values>
      </ddeItem>
      <ddeItem name="acct[10-16507].adjbal{1}" advise="1">
        <values>
          <value>
            <val>0</val>
          </value>
        </values>
      </ddeItem>
      <ddeItem name="acct[10-16508].adjbal{1}" advise="1">
        <values>
          <value>
            <val>0</val>
          </value>
        </values>
      </ddeItem>
      <ddeItem name="acct[10-17001].adjbal{1}" advise="1">
        <values>
          <value>
            <val>8548</val>
          </value>
        </values>
      </ddeItem>
      <ddeItem name="acct[10-17002].adjbal{1}" advise="1">
        <values>
          <value>
            <val>1646</val>
          </value>
        </values>
      </ddeItem>
      <ddeItem name="acct[10-17003].adjbal{1}" advise="1">
        <values>
          <value>
            <val>0</val>
          </value>
        </values>
      </ddeItem>
      <ddeItem name="acct[10-17004].adjbal{1}" advise="1">
        <values>
          <value>
            <val>0</val>
          </value>
        </values>
      </ddeItem>
      <ddeItem name="acct[10-17005].adjbal{1}" advise="1">
        <values>
          <value>
            <val>0</val>
          </value>
        </values>
      </ddeItem>
      <ddeItem name="acct[10-17006].adjbal{1}" advise="1">
        <values>
          <value>
            <val>0</val>
          </value>
        </values>
      </ddeItem>
      <ddeItem name="acct[10-17007].adjbal{1}" advise="1">
        <values>
          <value>
            <val>0</val>
          </value>
        </values>
      </ddeItem>
      <ddeItem name="acct[10-17008].adjbal{1}" advise="1">
        <values>
          <value>
            <val>0</val>
          </value>
        </values>
      </ddeItem>
      <ddeItem name="acct[10-18001].adjbal{1}" advise="1">
        <values>
          <value>
            <val>0</val>
          </value>
        </values>
      </ddeItem>
      <ddeItem name="acct[10-18002].adjbal{1}" advise="1">
        <values>
          <value>
            <val>0</val>
          </value>
        </values>
      </ddeItem>
      <ddeItem name="acct[10-18003].adjbal{1}" advise="1">
        <values>
          <value>
            <val>0</val>
          </value>
        </values>
      </ddeItem>
      <ddeItem name="acct[10-18004].adjbal{1}" advise="1">
        <values>
          <value>
            <val>0</val>
          </value>
        </values>
      </ddeItem>
      <ddeItem name="acct[10-18005].adjbal{1}" advise="1">
        <values>
          <value>
            <val>0</val>
          </value>
        </values>
      </ddeItem>
      <ddeItem name="acct[10-18006].adjbal{1}" advise="1">
        <values>
          <value>
            <val>0</val>
          </value>
        </values>
      </ddeItem>
      <ddeItem name="acct[10-18007].adjbal{1}" advise="1">
        <values>
          <value>
            <val>0</val>
          </value>
        </values>
      </ddeItem>
      <ddeItem name="acct[10-18008].adjbal{1}" advise="1">
        <values>
          <value>
            <val>0</val>
          </value>
        </values>
      </ddeItem>
      <ddeItem name="acct[10-19001].adjbal{1}" advise="1">
        <values>
          <value>
            <val>0</val>
          </value>
        </values>
      </ddeItem>
      <ddeItem name="acct[10-19002].adjbal{1}" advise="1">
        <values>
          <value>
            <val>0</val>
          </value>
        </values>
      </ddeItem>
      <ddeItem name="acct[10-19003].adjbal{1}" advise="1">
        <values>
          <value>
            <val>0</val>
          </value>
        </values>
      </ddeItem>
      <ddeItem name="acct[10-19004].adjbal{1}" advise="1">
        <values>
          <value>
            <val>0</val>
          </value>
        </values>
      </ddeItem>
      <ddeItem name="acct[10-19005].adjbal{1}" advise="1">
        <values>
          <value>
            <val>0</val>
          </value>
        </values>
      </ddeItem>
      <ddeItem name="acct[10-19006].adjbal{1}" advise="1">
        <values>
          <value>
            <val>0</val>
          </value>
        </values>
      </ddeItem>
      <ddeItem name="acct[10-19007].adjbal{1}" advise="1">
        <values>
          <value>
            <val>0</val>
          </value>
        </values>
      </ddeItem>
      <ddeItem name="acct[10-19008].adjbal{1}" advise="1">
        <values>
          <value>
            <val>0</val>
          </value>
        </values>
      </ddeItem>
      <ddeItem name="acct[10-19106].adjbal{1}" advise="1">
        <values>
          <value>
            <val>0</val>
          </value>
        </values>
      </ddeItem>
      <ddeItem name="acct[10-19116].adjbal{1}" advise="1">
        <values>
          <value>
            <val>0</val>
          </value>
        </values>
      </ddeItem>
      <ddeItem name="acct[10-19126].adjbal{1}" advise="1">
        <values>
          <value>
            <val>0</val>
          </value>
        </values>
      </ddeItem>
      <ddeItem name="acct[10-19136].adjbal{1}" advise="1">
        <values>
          <value>
            <val>0</val>
          </value>
        </values>
      </ddeItem>
      <ddeItem name="acct[10-19146].adjbal{1}" advise="1">
        <values>
          <value>
            <val>0</val>
          </value>
        </values>
      </ddeItem>
      <ddeItem name="acct[10-19156].adjbal{1}" advise="1">
        <values>
          <value>
            <val>0</val>
          </value>
        </values>
      </ddeItem>
      <ddeItem name="acct[10-19166].adjbal{1}" advise="1">
        <values>
          <value>
            <val>0</val>
          </value>
        </values>
      </ddeItem>
      <ddeItem name="acct[10-19176].adjbal{1}" advise="1">
        <values>
          <value>
            <val>0</val>
          </value>
        </values>
      </ddeItem>
      <ddeItem name="acct[10-19186].adjbal{1}" advise="1">
        <values>
          <value>
            <val>0</val>
          </value>
        </values>
      </ddeItem>
      <ddeItem name="acct[10-19196].adjbal{1}" advise="1">
        <values>
          <value t="str">
            <val xml:space="preserve"> </val>
          </value>
        </values>
      </ddeItem>
      <ddeItem name="acct[10-19206].adjbal{1}" advise="1">
        <values>
          <value>
            <val>0</val>
          </value>
        </values>
      </ddeItem>
      <ddeItem name="acct[10-19216].adjbal{1}" advise="1">
        <values>
          <value>
            <val>0</val>
          </value>
        </values>
      </ddeItem>
      <ddeItem name="acct[10-19226].adjbal{1}" advise="1">
        <values>
          <value>
            <val>0</val>
          </value>
        </values>
      </ddeItem>
      <ddeItem name="acct[10-21101].adjbal{1}" advise="1">
        <values>
          <value>
            <val>0</val>
          </value>
        </values>
      </ddeItem>
      <ddeItem name="acct[10-21102].adjbal{1}" advise="1">
        <values>
          <value>
            <val>0</val>
          </value>
        </values>
      </ddeItem>
      <ddeItem name="acct[10-21103].adjbal{1}" advise="1">
        <values>
          <value>
            <val>0</val>
          </value>
        </values>
      </ddeItem>
      <ddeItem name="acct[10-21104].adjbal{1}" advise="1">
        <values>
          <value>
            <val>0</val>
          </value>
        </values>
      </ddeItem>
      <ddeItem name="acct[10-21105].adjbal{1}" advise="1">
        <values>
          <value>
            <val>0</val>
          </value>
        </values>
      </ddeItem>
      <ddeItem name="acct[10-21106].adjbal{1}" advise="1">
        <values>
          <value>
            <val>0</val>
          </value>
        </values>
      </ddeItem>
      <ddeItem name="acct[10-21107].adjbal{1}" advise="1">
        <values>
          <value>
            <val>0</val>
          </value>
        </values>
      </ddeItem>
      <ddeItem name="acct[10-21108].adjbal{1}" advise="1">
        <values>
          <value>
            <val>0</val>
          </value>
        </values>
      </ddeItem>
      <ddeItem name="acct[10-21201].adjbal{1}" advise="1">
        <values>
          <value>
            <val>115785</val>
          </value>
        </values>
      </ddeItem>
      <ddeItem name="acct[10-21202].adjbal{1}" advise="1">
        <values>
          <value>
            <val>22153</val>
          </value>
        </values>
      </ddeItem>
      <ddeItem name="acct[10-21203].adjbal{1}" advise="1">
        <values>
          <value>
            <val>0</val>
          </value>
        </values>
      </ddeItem>
      <ddeItem name="acct[10-21204].adjbal{1}" advise="1">
        <values>
          <value>
            <val>6449</val>
          </value>
        </values>
      </ddeItem>
      <ddeItem name="acct[10-21205].adjbal{1}" advise="1">
        <values>
          <value>
            <val>0</val>
          </value>
        </values>
      </ddeItem>
      <ddeItem name="acct[10-21206].adjbal{1}" advise="1">
        <values>
          <value>
            <val>0</val>
          </value>
        </values>
      </ddeItem>
      <ddeItem name="acct[10-21207].adjbal{1}" advise="1">
        <values>
          <value>
            <val>0</val>
          </value>
        </values>
      </ddeItem>
      <ddeItem name="acct[10-21208].adjbal{1}" advise="1">
        <values>
          <value>
            <val>0</val>
          </value>
        </values>
      </ddeItem>
      <ddeItem name="acct[10-21301].adjbal{1}" advise="1">
        <values>
          <value>
            <val>58051</val>
          </value>
        </values>
      </ddeItem>
      <ddeItem name="acct[10-21302].adjbal{1}" advise="1">
        <values>
          <value>
            <val>12600</val>
          </value>
        </values>
      </ddeItem>
      <ddeItem name="acct[10-21303].adjbal{1}" advise="1">
        <values>
          <value>
            <val>0</val>
          </value>
        </values>
      </ddeItem>
      <ddeItem name="acct[10-21304].adjbal{1}" advise="1">
        <values>
          <value>
            <val>680</val>
          </value>
        </values>
      </ddeItem>
      <ddeItem name="acct[10-21305].adjbal{1}" advise="1">
        <values>
          <value>
            <val>0</val>
          </value>
        </values>
      </ddeItem>
      <ddeItem name="acct[10-21306].adjbal{1}" advise="1">
        <values>
          <value>
            <val>0</val>
          </value>
        </values>
      </ddeItem>
      <ddeItem name="acct[10-21307].adjbal{1}" advise="1">
        <values>
          <value>
            <val>0</val>
          </value>
        </values>
      </ddeItem>
      <ddeItem name="acct[10-21308].adjbal{1}" advise="1">
        <values>
          <value>
            <val>0</val>
          </value>
        </values>
      </ddeItem>
      <ddeItem name="acct[10-21401].adjbal{1}" advise="1">
        <values>
          <value>
            <val>0</val>
          </value>
        </values>
      </ddeItem>
      <ddeItem name="acct[10-21402].adjbal{1}" advise="1">
        <values>
          <value>
            <val>0</val>
          </value>
        </values>
      </ddeItem>
      <ddeItem name="acct[10-21403].adjbal{1}" advise="1">
        <values>
          <value>
            <val>0</val>
          </value>
        </values>
      </ddeItem>
      <ddeItem name="acct[10-21404].adjbal{1}" advise="1">
        <values>
          <value>
            <val>0</val>
          </value>
        </values>
      </ddeItem>
      <ddeItem name="acct[10-21405].adjbal{1}" advise="1">
        <values>
          <value>
            <val>0</val>
          </value>
        </values>
      </ddeItem>
      <ddeItem name="acct[10-21406].adjbal{1}" advise="1">
        <values>
          <value>
            <val>0</val>
          </value>
        </values>
      </ddeItem>
      <ddeItem name="acct[10-21407].adjbal{1}" advise="1">
        <values>
          <value>
            <val>0</val>
          </value>
        </values>
      </ddeItem>
      <ddeItem name="acct[10-21408].adjbal{1}" advise="1">
        <values>
          <value>
            <val>0</val>
          </value>
        </values>
      </ddeItem>
      <ddeItem name="acct[10-21501].adjbal{1}" advise="1">
        <values>
          <value>
            <val>69868</val>
          </value>
        </values>
      </ddeItem>
      <ddeItem name="acct[10-21502].adjbal{1}" advise="1">
        <values>
          <value>
            <val>18136</val>
          </value>
        </values>
      </ddeItem>
      <ddeItem name="acct[10-21503].adjbal{1}" advise="1">
        <values>
          <value>
            <val>0</val>
          </value>
        </values>
      </ddeItem>
      <ddeItem name="acct[10-21504].adjbal{1}" advise="1">
        <values>
          <value>
            <val>0</val>
          </value>
        </values>
      </ddeItem>
      <ddeItem name="acct[10-21505].adjbal{1}" advise="1">
        <values>
          <value>
            <val>0</val>
          </value>
        </values>
      </ddeItem>
      <ddeItem name="acct[10-21506].adjbal{1}" advise="1">
        <values>
          <value>
            <val>0</val>
          </value>
        </values>
      </ddeItem>
      <ddeItem name="acct[10-21507].adjbal{1}" advise="1">
        <values>
          <value>
            <val>0</val>
          </value>
        </values>
      </ddeItem>
      <ddeItem name="acct[10-21508].adjbal{1}" advise="1">
        <values>
          <value>
            <val>0</val>
          </value>
        </values>
      </ddeItem>
      <ddeItem name="acct[10-21901].adjbal{1}" advise="1">
        <values>
          <value>
            <val>0</val>
          </value>
        </values>
      </ddeItem>
      <ddeItem name="acct[10-21902].adjbal{1}" advise="1">
        <values>
          <value>
            <val>0</val>
          </value>
        </values>
      </ddeItem>
      <ddeItem name="acct[10-21903].adjbal{1}" advise="1">
        <values>
          <value>
            <val>0</val>
          </value>
        </values>
      </ddeItem>
      <ddeItem name="acct[10-21904].adjbal{1}" advise="1">
        <values>
          <value>
            <val>0</val>
          </value>
        </values>
      </ddeItem>
      <ddeItem name="acct[10-21905].adjbal{1}" advise="1">
        <values>
          <value>
            <val>0</val>
          </value>
        </values>
      </ddeItem>
      <ddeItem name="acct[10-21906].adjbal{1}" advise="1">
        <values>
          <value>
            <val>0</val>
          </value>
        </values>
      </ddeItem>
      <ddeItem name="acct[10-21907].adjbal{1}" advise="1">
        <values>
          <value>
            <val>0</val>
          </value>
        </values>
      </ddeItem>
      <ddeItem name="acct[10-21908].adjbal{1}" advise="1">
        <values>
          <value>
            <val>0</val>
          </value>
        </values>
      </ddeItem>
      <ddeItem name="acct[10-22101].adjbal{1}" advise="1">
        <values>
          <value>
            <val>2550</val>
          </value>
        </values>
      </ddeItem>
      <ddeItem name="acct[10-22102].adjbal{1}" advise="1">
        <values>
          <value>
            <val>77</val>
          </value>
        </values>
      </ddeItem>
      <ddeItem name="acct[10-22103].adjbal{1}" advise="1">
        <values>
          <value>
            <val>27644</val>
          </value>
        </values>
      </ddeItem>
      <ddeItem name="acct[10-22104].adjbal{1}" advise="1">
        <values>
          <value>
            <val>0</val>
          </value>
        </values>
      </ddeItem>
      <ddeItem name="acct[10-22105].adjbal{1}" advise="1">
        <values>
          <value>
            <val>64728</val>
          </value>
        </values>
      </ddeItem>
      <ddeItem name="acct[10-22106].adjbal{1}" advise="1">
        <values>
          <value>
            <val>0</val>
          </value>
        </values>
      </ddeItem>
      <ddeItem name="acct[10-22107].adjbal{1}" advise="1">
        <values>
          <value>
            <val>0</val>
          </value>
        </values>
      </ddeItem>
      <ddeItem name="acct[10-22108].adjbal{1}" advise="1">
        <values>
          <value>
            <val>0</val>
          </value>
        </values>
      </ddeItem>
      <ddeItem name="acct[10-22201].adjbal{1}" advise="1">
        <values>
          <value>
            <val>149292</val>
          </value>
        </values>
      </ddeItem>
      <ddeItem name="acct[10-22202].adjbal{1}" advise="1">
        <values>
          <value>
            <val>25815</val>
          </value>
        </values>
      </ddeItem>
      <ddeItem name="acct[10-22203].adjbal{1}" advise="1">
        <values>
          <value>
            <val>36459</val>
          </value>
        </values>
      </ddeItem>
      <ddeItem name="acct[10-22204].adjbal{1}" advise="1">
        <values>
          <value>
            <val>10602</val>
          </value>
        </values>
      </ddeItem>
      <ddeItem name="acct[10-22205].adjbal{1}" advise="1">
        <values>
          <value>
            <val>0</val>
          </value>
        </values>
      </ddeItem>
      <ddeItem name="acct[10-22206].adjbal{1}" advise="1">
        <values>
          <value>
            <val>0</val>
          </value>
        </values>
      </ddeItem>
      <ddeItem name="acct[10-22207].adjbal{1}" advise="1">
        <values>
          <value>
            <val>0</val>
          </value>
        </values>
      </ddeItem>
      <ddeItem name="acct[10-22208].adjbal{1}" advise="1">
        <values>
          <value>
            <val>0</val>
          </value>
        </values>
      </ddeItem>
      <ddeItem name="acct[10-22301].adjbal{1}" advise="1">
        <values>
          <value>
            <val>0</val>
          </value>
        </values>
      </ddeItem>
      <ddeItem name="acct[10-22302].adjbal{1}" advise="1">
        <values>
          <value>
            <val>0</val>
          </value>
        </values>
      </ddeItem>
      <ddeItem name="acct[10-22303].adjbal{1}" advise="1">
        <values>
          <value>
            <val>0</val>
          </value>
        </values>
      </ddeItem>
      <ddeItem name="acct[10-22304].adjbal{1}" advise="1">
        <values>
          <value>
            <val>0</val>
          </value>
        </values>
      </ddeItem>
      <ddeItem name="acct[10-22305].adjbal{1}" advise="1">
        <values>
          <value>
            <val>0</val>
          </value>
        </values>
      </ddeItem>
      <ddeItem name="acct[10-22306].adjbal{1}" advise="1">
        <values>
          <value>
            <val>0</val>
          </value>
        </values>
      </ddeItem>
      <ddeItem name="acct[10-22307].adjbal{1}" advise="1">
        <values>
          <value>
            <val>0</val>
          </value>
        </values>
      </ddeItem>
      <ddeItem name="acct[10-22308].adjbal{1}" advise="1">
        <values>
          <value>
            <val>0</val>
          </value>
        </values>
      </ddeItem>
      <ddeItem name="acct[10-23101].adjbal{1}" advise="1">
        <values>
          <value>
            <val>2399</val>
          </value>
        </values>
      </ddeItem>
      <ddeItem name="acct[10-23102].adjbal{1}" advise="1">
        <values>
          <value>
            <val>14</val>
          </value>
        </values>
      </ddeItem>
      <ddeItem name="acct[10-23103].adjbal{1}" advise="1">
        <values>
          <value>
            <val>83081</val>
          </value>
        </values>
      </ddeItem>
      <ddeItem name="acct[10-23104].adjbal{1}" advise="1">
        <values>
          <value>
            <val>8980</val>
          </value>
        </values>
      </ddeItem>
      <ddeItem name="acct[10-23105].adjbal{1}" advise="1">
        <values>
          <value>
            <val>0</val>
          </value>
        </values>
      </ddeItem>
      <ddeItem name="acct[10-23106].adjbal{1}" advise="1">
        <values>
          <value>
            <val>12470</val>
          </value>
        </values>
      </ddeItem>
      <ddeItem name="acct[10-23107].adjbal{1}" advise="1">
        <values>
          <value>
            <val>0</val>
          </value>
        </values>
      </ddeItem>
      <ddeItem name="acct[10-23108].adjbal{1}" advise="1">
        <values>
          <value>
            <val>0</val>
          </value>
        </values>
      </ddeItem>
      <ddeItem name="acct[10-23201].adjbal{1}" advise="1">
        <values>
          <value>
            <val>109825</val>
          </value>
        </values>
      </ddeItem>
      <ddeItem name="acct[10-23202].adjbal{1}" advise="1">
        <values>
          <value>
            <val>18664</val>
          </value>
        </values>
      </ddeItem>
      <ddeItem name="acct[10-23203].adjbal{1}" advise="1">
        <values>
          <value>
            <val>1477</val>
          </value>
        </values>
      </ddeItem>
      <ddeItem name="acct[10-23204].adjbal{1}" advise="1">
        <values>
          <value>
            <val>1607</val>
          </value>
        </values>
      </ddeItem>
      <ddeItem name="acct[10-23205].adjbal{1}" advise="1">
        <values>
          <value>
            <val>0</val>
          </value>
        </values>
      </ddeItem>
      <ddeItem name="acct[10-23206].adjbal{1}" advise="1">
        <values>
          <value>
            <val>2205</val>
          </value>
        </values>
      </ddeItem>
      <ddeItem name="acct[10-23207].adjbal{1}" advise="1">
        <values>
          <value>
            <val>0</val>
          </value>
        </values>
      </ddeItem>
      <ddeItem name="acct[10-23208].adjbal{1}" advise="1">
        <values>
          <value>
            <val>0</val>
          </value>
        </values>
      </ddeItem>
      <ddeItem name="acct[10-23301].adjbal{1}" advise="1">
        <values>
          <value>
            <val>0</val>
          </value>
        </values>
      </ddeItem>
      <ddeItem name="acct[10-23302].adjbal{1}" advise="1">
        <values>
          <value>
            <val>0</val>
          </value>
        </values>
      </ddeItem>
      <ddeItem name="acct[10-23303].adjbal{1}" advise="1">
        <values>
          <value>
            <val>0</val>
          </value>
        </values>
      </ddeItem>
      <ddeItem name="acct[10-23304].adjbal{1}" advise="1">
        <values>
          <value>
            <val>0</val>
          </value>
        </values>
      </ddeItem>
      <ddeItem name="acct[10-23305].adjbal{1}" advise="1">
        <values>
          <value>
            <val>0</val>
          </value>
        </values>
      </ddeItem>
      <ddeItem name="acct[10-23306].adjbal{1}" advise="1">
        <values>
          <value>
            <val>0</val>
          </value>
        </values>
      </ddeItem>
      <ddeItem name="acct[10-23307].adjbal{1}" advise="1">
        <values>
          <value>
            <val>0</val>
          </value>
        </values>
      </ddeItem>
      <ddeItem name="acct[10-23308].adjbal{1}" advise="1">
        <values>
          <value>
            <val>0</val>
          </value>
        </values>
      </ddeItem>
      <ddeItem name="acct[10-23601].adjbal{1}" advise="1">
        <values>
          <value>
            <val>0</val>
          </value>
        </values>
      </ddeItem>
      <ddeItem name="acct[10-23602].adjbal{1}" advise="1">
        <values>
          <value>
            <val>0</val>
          </value>
        </values>
      </ddeItem>
      <ddeItem name="acct[10-23603].adjbal{1}" advise="1">
        <values>
          <value>
            <val>0</val>
          </value>
        </values>
      </ddeItem>
      <ddeItem name="acct[10-23604].adjbal{1}" advise="1">
        <values>
          <value>
            <val>0</val>
          </value>
        </values>
      </ddeItem>
      <ddeItem name="acct[10-23605].adjbal{1}" advise="1">
        <values>
          <value>
            <val>0</val>
          </value>
        </values>
      </ddeItem>
      <ddeItem name="acct[10-23606].adjbal{1}" advise="1">
        <values>
          <value>
            <val>0</val>
          </value>
        </values>
      </ddeItem>
      <ddeItem name="acct[10-23607].adjbal{1}" advise="1">
        <values>
          <value>
            <val>0</val>
          </value>
        </values>
      </ddeItem>
      <ddeItem name="acct[10-23608].adjbal{1}" advise="1">
        <values>
          <value>
            <val>0</val>
          </value>
        </values>
      </ddeItem>
      <ddeItem name="acct[10-23701].adjbal{1}" advise="1">
        <values>
          <value>
            <val>0</val>
          </value>
        </values>
      </ddeItem>
      <ddeItem name="acct[10-23702].adjbal{1}" advise="1">
        <values>
          <value>
            <val>0</val>
          </value>
        </values>
      </ddeItem>
      <ddeItem name="acct[10-23703].adjbal{1}" advise="1">
        <values>
          <value>
            <val>0</val>
          </value>
        </values>
      </ddeItem>
      <ddeItem name="acct[10-23704].adjbal{1}" advise="1">
        <values>
          <value>
            <val>0</val>
          </value>
        </values>
      </ddeItem>
      <ddeItem name="acct[10-23705].adjbal{1}" advise="1">
        <values>
          <value>
            <val>0</val>
          </value>
        </values>
      </ddeItem>
      <ddeItem name="acct[10-23706].adjbal{1}" advise="1">
        <values>
          <value>
            <val>0</val>
          </value>
        </values>
      </ddeItem>
      <ddeItem name="acct[10-23707].adjbal{1}" advise="1">
        <values>
          <value>
            <val>0</val>
          </value>
        </values>
      </ddeItem>
      <ddeItem name="acct[10-23708].adjbal{1}" advise="1">
        <values>
          <value>
            <val>0</val>
          </value>
        </values>
      </ddeItem>
      <ddeItem name="acct[10-24101].adjbal{1}" advise="1">
        <values>
          <value>
            <val>559904</val>
          </value>
        </values>
      </ddeItem>
      <ddeItem name="acct[10-24102].adjbal{1}" advise="1">
        <values>
          <value>
            <val>111399</val>
          </value>
        </values>
      </ddeItem>
      <ddeItem name="acct[10-24103].adjbal{1}" advise="1">
        <values>
          <value>
            <val>12300</val>
          </value>
        </values>
      </ddeItem>
      <ddeItem name="acct[10-24104].adjbal{1}" advise="1">
        <values>
          <value>
            <val>3300</val>
          </value>
        </values>
      </ddeItem>
      <ddeItem name="acct[10-24105].adjbal{1}" advise="1">
        <values>
          <value>
            <val>0</val>
          </value>
        </values>
      </ddeItem>
      <ddeItem name="acct[10-24106].adjbal{1}" advise="1">
        <values>
          <value>
            <val>0</val>
          </value>
        </values>
      </ddeItem>
      <ddeItem name="acct[10-24107].adjbal{1}" advise="1">
        <values>
          <value>
            <val>0</val>
          </value>
        </values>
      </ddeItem>
      <ddeItem name="acct[10-24108].adjbal{1}" advise="1">
        <values>
          <value>
            <val>0</val>
          </value>
        </values>
      </ddeItem>
      <ddeItem name="acct[10-24901].adjbal{1}" advise="1">
        <values>
          <value>
            <val>0</val>
          </value>
        </values>
      </ddeItem>
      <ddeItem name="acct[10-24902].adjbal{1}" advise="1">
        <values>
          <value>
            <val>0</val>
          </value>
        </values>
      </ddeItem>
      <ddeItem name="acct[10-24903].adjbal{1}" advise="1">
        <values>
          <value>
            <val>0</val>
          </value>
        </values>
      </ddeItem>
      <ddeItem name="acct[10-24904].adjbal{1}" advise="1">
        <values>
          <value>
            <val>0</val>
          </value>
        </values>
      </ddeItem>
      <ddeItem name="acct[10-24905].adjbal{1}" advise="1">
        <values>
          <value>
            <val>0</val>
          </value>
        </values>
      </ddeItem>
      <ddeItem name="acct[10-24906].adjbal{1}" advise="1">
        <values>
          <value>
            <val>0</val>
          </value>
        </values>
      </ddeItem>
      <ddeItem name="acct[10-24907].adjbal{1}" advise="1">
        <values>
          <value>
            <val>0</val>
          </value>
        </values>
      </ddeItem>
      <ddeItem name="acct[10-24908].adjbal{1}" advise="1">
        <values>
          <value>
            <val>0</val>
          </value>
        </values>
      </ddeItem>
      <ddeItem name="acct[10-25101].adjbal{1}" advise="1">
        <values>
          <value>
            <val>55244</val>
          </value>
        </values>
      </ddeItem>
      <ddeItem name="acct[10-25102].adjbal{1}" advise="1">
        <values>
          <value>
            <val>14573</val>
          </value>
        </values>
      </ddeItem>
      <ddeItem name="acct[10-25103].adjbal{1}" advise="1">
        <values>
          <value>
            <val>0</val>
          </value>
        </values>
      </ddeItem>
      <ddeItem name="acct[10-25104].adjbal{1}" advise="1">
        <values>
          <value>
            <val>0</val>
          </value>
        </values>
      </ddeItem>
      <ddeItem name="acct[10-25105].adjbal{1}" advise="1">
        <values>
          <value>
            <val>0</val>
          </value>
        </values>
      </ddeItem>
      <ddeItem name="acct[10-25106].adjbal{1}" advise="1">
        <values>
          <value>
            <val>0</val>
          </value>
        </values>
      </ddeItem>
      <ddeItem name="acct[10-25107].adjbal{1}" advise="1">
        <values>
          <value>
            <val>0</val>
          </value>
        </values>
      </ddeItem>
      <ddeItem name="acct[10-25108].adjbal{1}" advise="1">
        <values>
          <value>
            <val>0</val>
          </value>
        </values>
      </ddeItem>
      <ddeItem name="acct[10-25201].adjbal{1}" advise="1">
        <values>
          <value>
            <val>103357</val>
          </value>
        </values>
      </ddeItem>
      <ddeItem name="acct[10-25202].adjbal{1}" advise="1">
        <values>
          <value>
            <val>14714</val>
          </value>
        </values>
      </ddeItem>
      <ddeItem name="acct[10-25203].adjbal{1}" advise="1">
        <values>
          <value>
            <val>5420</val>
          </value>
        </values>
      </ddeItem>
      <ddeItem name="acct[10-25204].adjbal{1}" advise="1">
        <values>
          <value>
            <val>5739</val>
          </value>
        </values>
      </ddeItem>
      <ddeItem name="acct[10-25205].adjbal{1}" advise="1">
        <values>
          <value>
            <val>0</val>
          </value>
        </values>
      </ddeItem>
      <ddeItem name="acct[10-25206].adjbal{1}" advise="1">
        <values>
          <value>
            <val>0</val>
          </value>
        </values>
      </ddeItem>
      <ddeItem name="acct[10-25207].adjbal{1}" advise="1">
        <values>
          <value>
            <val>0</val>
          </value>
        </values>
      </ddeItem>
      <ddeItem name="acct[10-25208].adjbal{1}" advise="1">
        <values>
          <value>
            <val>0</val>
          </value>
        </values>
      </ddeItem>
      <ddeItem name="acct[10-25401].adjbal{1}" advise="1">
        <values>
          <value>
            <val>0</val>
          </value>
        </values>
      </ddeItem>
      <ddeItem name="acct[10-25402].adjbal{1}" advise="1">
        <values>
          <value>
            <val>0</val>
          </value>
        </values>
      </ddeItem>
      <ddeItem name="acct[10-25403].adjbal{1}" advise="1">
        <values>
          <value>
            <val>0</val>
          </value>
        </values>
      </ddeItem>
      <ddeItem name="acct[10-25404].adjbal{1}" advise="1">
        <values>
          <value>
            <val>0</val>
          </value>
        </values>
      </ddeItem>
      <ddeItem name="acct[10-25405].adjbal{1}" advise="1">
        <values>
          <value>
            <val>0</val>
          </value>
        </values>
      </ddeItem>
      <ddeItem name="acct[10-25406].adjbal{1}" advise="1">
        <values>
          <value>
            <val>0</val>
          </value>
        </values>
      </ddeItem>
      <ddeItem name="acct[10-25407].adjbal{1}" advise="1">
        <values>
          <value>
            <val>0</val>
          </value>
        </values>
      </ddeItem>
      <ddeItem name="acct[10-25408].adjbal{1}" advise="1">
        <values>
          <value>
            <val>0</val>
          </value>
        </values>
      </ddeItem>
      <ddeItem name="acct[10-25501].adjbal{1}" advise="1">
        <values>
          <value>
            <val>0</val>
          </value>
        </values>
      </ddeItem>
      <ddeItem name="acct[10-25502].adjbal{1}" advise="1">
        <values>
          <value>
            <val>0</val>
          </value>
        </values>
      </ddeItem>
      <ddeItem name="acct[10-25503].adjbal{1}" advise="1">
        <values>
          <value>
            <val>0</val>
          </value>
        </values>
      </ddeItem>
      <ddeItem name="acct[10-25504].adjbal{1}" advise="1">
        <values>
          <value>
            <val>0</val>
          </value>
        </values>
      </ddeItem>
      <ddeItem name="acct[10-25505].adjbal{1}" advise="1">
        <values>
          <value>
            <val>0</val>
          </value>
        </values>
      </ddeItem>
      <ddeItem name="acct[10-25506].adjbal{1}" advise="1">
        <values>
          <value>
            <val>0</val>
          </value>
        </values>
      </ddeItem>
      <ddeItem name="acct[10-25507].adjbal{1}" advise="1">
        <values>
          <value>
            <val>0</val>
          </value>
        </values>
      </ddeItem>
      <ddeItem name="acct[10-25508].adjbal{1}" advise="1">
        <values>
          <value>
            <val>0</val>
          </value>
        </values>
      </ddeItem>
      <ddeItem name="acct[10-25601].adjbal{1}" advise="1">
        <values>
          <value>
            <val>163673</val>
          </value>
        </values>
      </ddeItem>
      <ddeItem name="acct[10-25602].adjbal{1}" advise="1">
        <values>
          <value>
            <val>29161</val>
          </value>
        </values>
      </ddeItem>
      <ddeItem name="acct[10-25603].adjbal{1}" advise="1">
        <values>
          <value>
            <val>12417</val>
          </value>
        </values>
      </ddeItem>
      <ddeItem name="acct[10-25604].adjbal{1}" advise="1">
        <values>
          <value>
            <val>319462</val>
          </value>
        </values>
      </ddeItem>
      <ddeItem name="acct[10-25605].adjbal{1}" advise="1">
        <values>
          <value>
            <val>1960</val>
          </value>
        </values>
      </ddeItem>
      <ddeItem name="acct[10-25606].adjbal{1}" advise="1">
        <values>
          <value>
            <val>3260</val>
          </value>
        </values>
      </ddeItem>
      <ddeItem name="acct[10-25607].adjbal{1}" advise="1">
        <values>
          <value>
            <val>0</val>
          </value>
        </values>
      </ddeItem>
      <ddeItem name="acct[10-25608].adjbal{1}" advise="1">
        <values>
          <value>
            <val>0</val>
          </value>
        </values>
      </ddeItem>
      <ddeItem name="acct[10-25701].adjbal{1}" advise="1">
        <values>
          <value>
            <val>0</val>
          </value>
        </values>
      </ddeItem>
      <ddeItem name="acct[10-25702].adjbal{1}" advise="1">
        <values>
          <value>
            <val>0</val>
          </value>
        </values>
      </ddeItem>
      <ddeItem name="acct[10-25703].adjbal{1}" advise="1">
        <values>
          <value>
            <val>0</val>
          </value>
        </values>
      </ddeItem>
      <ddeItem name="acct[10-25704].adjbal{1}" advise="1">
        <values>
          <value>
            <val>0</val>
          </value>
        </values>
      </ddeItem>
      <ddeItem name="acct[10-25705].adjbal{1}" advise="1">
        <values>
          <value>
            <val>0</val>
          </value>
        </values>
      </ddeItem>
      <ddeItem name="acct[10-25706].adjbal{1}" advise="1">
        <values>
          <value>
            <val>0</val>
          </value>
        </values>
      </ddeItem>
      <ddeItem name="acct[10-25707].adjbal{1}" advise="1">
        <values>
          <value>
            <val>0</val>
          </value>
        </values>
      </ddeItem>
      <ddeItem name="acct[10-25708].adjbal{1}" advise="1">
        <values>
          <value>
            <val>0</val>
          </value>
        </values>
      </ddeItem>
      <ddeItem name="acct[10-26101].adjbal{1}" advise="1">
        <values>
          <value>
            <val>0</val>
          </value>
        </values>
      </ddeItem>
      <ddeItem name="acct[10-26102].adjbal{1}" advise="1">
        <values>
          <value>
            <val>0</val>
          </value>
        </values>
      </ddeItem>
      <ddeItem name="acct[10-26103].adjbal{1}" advise="1">
        <values>
          <value>
            <val>0</val>
          </value>
        </values>
      </ddeItem>
      <ddeItem name="acct[10-26104].adjbal{1}" advise="1">
        <values>
          <value>
            <val>0</val>
          </value>
        </values>
      </ddeItem>
      <ddeItem name="acct[10-26105].adjbal{1}" advise="1">
        <values>
          <value>
            <val>0</val>
          </value>
        </values>
      </ddeItem>
      <ddeItem name="acct[10-26106].adjbal{1}" advise="1">
        <values>
          <value>
            <val>0</val>
          </value>
        </values>
      </ddeItem>
      <ddeItem name="acct[10-26107].adjbal{1}" advise="1">
        <values>
          <value>
            <val>0</val>
          </value>
        </values>
      </ddeItem>
      <ddeItem name="acct[10-26108].adjbal{1}" advise="1">
        <values>
          <value>
            <val>0</val>
          </value>
        </values>
      </ddeItem>
      <ddeItem name="acct[10-26201].adjbal{1}" advise="1">
        <values>
          <value>
            <val>0</val>
          </value>
        </values>
      </ddeItem>
      <ddeItem name="acct[10-26202].adjbal{1}" advise="1">
        <values>
          <value>
            <val>0</val>
          </value>
        </values>
      </ddeItem>
      <ddeItem name="acct[10-26203].adjbal{1}" advise="1">
        <values>
          <value>
            <val>0</val>
          </value>
        </values>
      </ddeItem>
      <ddeItem name="acct[10-26204].adjbal{1}" advise="1">
        <values>
          <value>
            <val>0</val>
          </value>
        </values>
      </ddeItem>
      <ddeItem name="acct[10-26205].adjbal{1}" advise="1">
        <values>
          <value>
            <val>0</val>
          </value>
        </values>
      </ddeItem>
      <ddeItem name="acct[10-26206].adjbal{1}" advise="1">
        <values>
          <value>
            <val>0</val>
          </value>
        </values>
      </ddeItem>
      <ddeItem name="acct[10-26207].adjbal{1}" advise="1">
        <values>
          <value>
            <val>0</val>
          </value>
        </values>
      </ddeItem>
      <ddeItem name="acct[10-26208].adjbal{1}" advise="1">
        <values>
          <value>
            <val>0</val>
          </value>
        </values>
      </ddeItem>
      <ddeItem name="acct[10-26301].adjbal{1}" advise="1">
        <values>
          <value>
            <val>0</val>
          </value>
        </values>
      </ddeItem>
      <ddeItem name="acct[10-26302].adjbal{1}" advise="1">
        <values>
          <value>
            <val>0</val>
          </value>
        </values>
      </ddeItem>
      <ddeItem name="acct[10-26303].adjbal{1}" advise="1">
        <values>
          <value>
            <val>0</val>
          </value>
        </values>
      </ddeItem>
      <ddeItem name="acct[10-26304].adjbal{1}" advise="1">
        <values>
          <value>
            <val>0</val>
          </value>
        </values>
      </ddeItem>
      <ddeItem name="acct[10-26305].adjbal{1}" advise="1">
        <values>
          <value>
            <val>0</val>
          </value>
        </values>
      </ddeItem>
      <ddeItem name="acct[10-26306].adjbal{1}" advise="1">
        <values>
          <value>
            <val>0</val>
          </value>
        </values>
      </ddeItem>
      <ddeItem name="acct[10-26307].adjbal{1}" advise="1">
        <values>
          <value>
            <val>0</val>
          </value>
        </values>
      </ddeItem>
      <ddeItem name="acct[10-26308].adjbal{1}" advise="1">
        <values>
          <value>
            <val>0</val>
          </value>
        </values>
      </ddeItem>
      <ddeItem name="acct[10-26401].adjbal{1}" advise="1">
        <values>
          <value>
            <val>0</val>
          </value>
        </values>
      </ddeItem>
      <ddeItem name="acct[10-26402].adjbal{1}" advise="1">
        <values>
          <value>
            <val>0</val>
          </value>
        </values>
      </ddeItem>
      <ddeItem name="acct[10-26403].adjbal{1}" advise="1">
        <values>
          <value>
            <val>0</val>
          </value>
        </values>
      </ddeItem>
      <ddeItem name="acct[10-26404].adjbal{1}" advise="1">
        <values>
          <value>
            <val>0</val>
          </value>
        </values>
      </ddeItem>
      <ddeItem name="acct[10-26405].adjbal{1}" advise="1">
        <values>
          <value>
            <val>0</val>
          </value>
        </values>
      </ddeItem>
      <ddeItem name="acct[10-26406].adjbal{1}" advise="1">
        <values>
          <value>
            <val>0</val>
          </value>
        </values>
      </ddeItem>
      <ddeItem name="acct[10-26407].adjbal{1}" advise="1">
        <values>
          <value>
            <val>0</val>
          </value>
        </values>
      </ddeItem>
      <ddeItem name="acct[10-26408].adjbal{1}" advise="1">
        <values>
          <value>
            <val>0</val>
          </value>
        </values>
      </ddeItem>
      <ddeItem name="acct[10-26601].adjbal{1}" advise="1">
        <values>
          <value>
            <val>0</val>
          </value>
        </values>
      </ddeItem>
      <ddeItem name="acct[10-26602].adjbal{1}" advise="1">
        <values>
          <value>
            <val>0</val>
          </value>
        </values>
      </ddeItem>
      <ddeItem name="acct[10-26603].adjbal{1}" advise="1">
        <values>
          <value>
            <val>0</val>
          </value>
        </values>
      </ddeItem>
      <ddeItem name="acct[10-26604].adjbal{1}" advise="1">
        <values>
          <value>
            <val>0</val>
          </value>
        </values>
      </ddeItem>
      <ddeItem name="acct[10-26605].adjbal{1}" advise="1">
        <values>
          <value>
            <val>0</val>
          </value>
        </values>
      </ddeItem>
      <ddeItem name="acct[10-26606].adjbal{1}" advise="1">
        <values>
          <value>
            <val>0</val>
          </value>
        </values>
      </ddeItem>
      <ddeItem name="acct[10-26607].adjbal{1}" advise="1">
        <values>
          <value>
            <val>0</val>
          </value>
        </values>
      </ddeItem>
      <ddeItem name="acct[10-26608].adjbal{1}" advise="1">
        <values>
          <value>
            <val>0</val>
          </value>
        </values>
      </ddeItem>
      <ddeItem name="acct[10-29001].adjbal{1}" advise="1">
        <values>
          <value>
            <val>0</val>
          </value>
        </values>
      </ddeItem>
      <ddeItem name="acct[10-29002].adjbal{1}" advise="1">
        <values>
          <value>
            <val>0</val>
          </value>
        </values>
      </ddeItem>
      <ddeItem name="acct[10-29003].adjbal{1}" advise="1">
        <values>
          <value>
            <val>0</val>
          </value>
        </values>
      </ddeItem>
      <ddeItem name="acct[10-29004].adjbal{1}" advise="1">
        <values>
          <value>
            <val>0</val>
          </value>
        </values>
      </ddeItem>
      <ddeItem name="acct[10-29005].adjbal{1}" advise="1">
        <values>
          <value>
            <val>0</val>
          </value>
        </values>
      </ddeItem>
      <ddeItem name="acct[10-29006].adjbal{1}" advise="1">
        <values>
          <value>
            <val>0</val>
          </value>
        </values>
      </ddeItem>
      <ddeItem name="acct[10-29007].adjbal{1}" advise="1">
        <values>
          <value>
            <val>0</val>
          </value>
        </values>
      </ddeItem>
      <ddeItem name="acct[10-29008].adjbal{1}" advise="1">
        <values>
          <value>
            <val>0</val>
          </value>
        </values>
      </ddeItem>
      <ddeItem name="acct[10-30001].adjbal{1}" advise="1">
        <values>
          <value>
            <val>7329</val>
          </value>
        </values>
      </ddeItem>
      <ddeItem name="acct[10-30002].adjbal{1}" advise="1">
        <values>
          <value>
            <val>0</val>
          </value>
        </values>
      </ddeItem>
      <ddeItem name="acct[10-30003].adjbal{1}" advise="1">
        <values>
          <value>
            <val>0</val>
          </value>
        </values>
      </ddeItem>
      <ddeItem name="acct[10-30004].adjbal{1}" advise="1">
        <values>
          <value>
            <val>0</val>
          </value>
        </values>
      </ddeItem>
      <ddeItem name="acct[10-30005].adjbal{1}" advise="1">
        <values>
          <value>
            <val>0</val>
          </value>
        </values>
      </ddeItem>
      <ddeItem name="acct[10-30006].adjbal{1}" advise="1">
        <values>
          <value>
            <val>0</val>
          </value>
        </values>
      </ddeItem>
      <ddeItem name="acct[10-30007].adjbal{1}" advise="1">
        <values>
          <value>
            <val>0</val>
          </value>
        </values>
      </ddeItem>
      <ddeItem name="acct[10-30008].adjbal{1}" advise="1">
        <values>
          <value>
            <val>0</val>
          </value>
        </values>
      </ddeItem>
      <ddeItem name="acct[10-41103].adjbal{1}" advise="1">
        <values>
          <value>
            <val>0</val>
          </value>
        </values>
      </ddeItem>
      <ddeItem name="acct[10-41106].adjbal{1}" advise="1">
        <values>
          <value>
            <val>0</val>
          </value>
        </values>
      </ddeItem>
      <ddeItem name="acct[10-41203].adjbal{1}" advise="1">
        <values>
          <value>
            <val>0</val>
          </value>
        </values>
      </ddeItem>
      <ddeItem name="acct[10-41206].adjbal{1}" advise="1">
        <values>
          <value>
            <val>0</val>
          </value>
        </values>
      </ddeItem>
      <ddeItem name="acct[10-41303].adjbal{1}" advise="1">
        <values>
          <value>
            <val>0</val>
          </value>
        </values>
      </ddeItem>
      <ddeItem name="acct[10-41306].adjbal{1}" advise="1">
        <values>
          <value>
            <val>0</val>
          </value>
        </values>
      </ddeItem>
      <ddeItem name="acct[10-41403].adjbal{1}" advise="1">
        <values>
          <value>
            <val>0</val>
          </value>
        </values>
      </ddeItem>
      <ddeItem name="acct[10-41406].adjbal{1}" advise="1">
        <values>
          <value>
            <val>0</val>
          </value>
        </values>
      </ddeItem>
      <ddeItem name="acct[10-41703].adjbal{1}" advise="1">
        <values>
          <value>
            <val>0</val>
          </value>
        </values>
      </ddeItem>
      <ddeItem name="acct[10-41706].adjbal{1}" advise="1">
        <values>
          <value>
            <val>0</val>
          </value>
        </values>
      </ddeItem>
      <ddeItem name="acct[10-41903].adjbal{1}" advise="1">
        <values>
          <value>
            <val>0</val>
          </value>
        </values>
      </ddeItem>
      <ddeItem name="acct[10-41906].adjbal{1}" advise="1">
        <values>
          <value>
            <val>0</val>
          </value>
        </values>
      </ddeItem>
      <ddeItem name="acct[10-42106].adjbal{1}" advise="1">
        <values>
          <value>
            <val>0</val>
          </value>
        </values>
      </ddeItem>
      <ddeItem name="acct[10-42206].adjbal{1}" advise="1">
        <values>
          <value>
            <val>253259</val>
          </value>
        </values>
      </ddeItem>
      <ddeItem name="acct[10-42306].adjbal{1}" advise="1">
        <values>
          <value>
            <val>0</val>
          </value>
        </values>
      </ddeItem>
      <ddeItem name="acct[10-42406].adjbal{1}" advise="1">
        <values>
          <value>
            <val>0</val>
          </value>
        </values>
      </ddeItem>
      <ddeItem name="acct[10-42706].adjbal{1}" advise="1">
        <values>
          <value>
            <val>0</val>
          </value>
        </values>
      </ddeItem>
      <ddeItem name="acct[10-42806].adjbal{1}" advise="1">
        <values>
          <value>
            <val>0</val>
          </value>
        </values>
      </ddeItem>
      <ddeItem name="acct[10-42906].adjbal{1}" advise="1">
        <values>
          <value>
            <val>0</val>
          </value>
        </values>
      </ddeItem>
      <ddeItem name="acct[10-43106].adjbal{1}" advise="1">
        <values>
          <value>
            <val>0</val>
          </value>
        </values>
      </ddeItem>
      <ddeItem name="acct[10-43206].adjbal{1}" advise="1">
        <values>
          <value>
            <val>0</val>
          </value>
        </values>
      </ddeItem>
      <ddeItem name="acct[10-43306].adjbal{1}" advise="1">
        <values>
          <value>
            <val>0</val>
          </value>
        </values>
      </ddeItem>
      <ddeItem name="acct[10-43406].adjbal{1}" advise="1">
        <values>
          <value>
            <val>0</val>
          </value>
        </values>
      </ddeItem>
      <ddeItem name="acct[10-43706].adjbal{1}" advise="1">
        <values>
          <value>
            <val>0</val>
          </value>
        </values>
      </ddeItem>
      <ddeItem name="acct[10-43806].adjbal{1}" advise="1">
        <values>
          <value>
            <val>0</val>
          </value>
        </values>
      </ddeItem>
      <ddeItem name="acct[10-43903].adjbal{1}" advise="1">
        <values>
          <value>
            <val>0</val>
          </value>
        </values>
      </ddeItem>
      <ddeItem name="acct[10-43906].adjbal{1}" advise="1">
        <values>
          <value>
            <val>0</val>
          </value>
        </values>
      </ddeItem>
      <ddeItem name="acct[10-44003].adjbal{1}" advise="1">
        <values>
          <value>
            <val>0</val>
          </value>
        </values>
      </ddeItem>
      <ddeItem name="acct[10-44006].adjbal{1}" advise="1">
        <values>
          <value>
            <val>0</val>
          </value>
        </values>
      </ddeItem>
      <ddeItem name="acct[10-51106].adjbal{1}" advise="1">
        <values>
          <value>
            <val>0</val>
          </value>
        </values>
      </ddeItem>
      <ddeItem name="acct[10-51206].adjbal{1}" advise="1">
        <values>
          <value>
            <val>0</val>
          </value>
        </values>
      </ddeItem>
      <ddeItem name="acct[10-51306].adjbal{1}" advise="1">
        <values>
          <value>
            <val>0</val>
          </value>
        </values>
      </ddeItem>
      <ddeItem name="acct[10-51406].adjbal{1}" advise="1">
        <values>
          <value>
            <val>0</val>
          </value>
        </values>
      </ddeItem>
      <ddeItem name="acct[10-51506].adjbal{1}" advise="1">
        <values>
          <value>
            <val>0</val>
          </value>
        </values>
      </ddeItem>
      <ddeItem name="acct[10-52006].adjbal{1}" advise="1">
        <values>
          <value>
            <val>0</val>
          </value>
        </values>
      </ddeItem>
      <ddeItem name="acct[20-00101].adjbal{1}" advise="1">
        <values>
          <value>
            <val>392177</val>
          </value>
        </values>
      </ddeItem>
      <ddeItem name="acct[20-00120].adjbal{1}" advise="1">
        <values>
          <value>
            <val>170374</val>
          </value>
        </values>
      </ddeItem>
      <ddeItem name="acct[20-00130].adjbal{1}" advise="1">
        <values>
          <value>
            <val>0</val>
          </value>
        </values>
      </ddeItem>
      <ddeItem name="acct[20-00140].adjbal{1}" advise="1">
        <values>
          <value>
            <val>0</val>
          </value>
        </values>
      </ddeItem>
      <ddeItem name="acct[20-00150].adjbal{1}" advise="1">
        <values>
          <value>
            <val>0</val>
          </value>
        </values>
      </ddeItem>
      <ddeItem name="acct[20-00160].adjbal{1}" advise="1">
        <values>
          <value>
            <val>0</val>
          </value>
        </values>
      </ddeItem>
      <ddeItem name="acct[20-00170].adjbal{1}" advise="1">
        <values>
          <value>
            <val>0</val>
          </value>
        </values>
      </ddeItem>
      <ddeItem name="acct[20-00180].adjbal{1}" advise="1">
        <values>
          <value>
            <val>0</val>
          </value>
        </values>
      </ddeItem>
      <ddeItem name="acct[20-00190].adjbal{1}" advise="1">
        <values>
          <value>
            <val>0</val>
          </value>
        </values>
      </ddeItem>
      <ddeItem name="acct[20-00410].adjbal{1}/VR" advise="1">
        <values>
          <value>
            <val>0</val>
          </value>
        </values>
      </ddeItem>
      <ddeItem name="acct[20-00420].adjbal{1}/VR" advise="1">
        <values>
          <value>
            <val>0</val>
          </value>
        </values>
      </ddeItem>
      <ddeItem name="acct[20-00430].adjbal{1}/VR" advise="1">
        <values>
          <value>
            <val>0</val>
          </value>
        </values>
      </ddeItem>
      <ddeItem name="acct[20-00440].adjbal{1}/VR" advise="1">
        <values>
          <value>
            <val>0</val>
          </value>
        </values>
      </ddeItem>
      <ddeItem name="acct[20-00460].adjbal{1}/VR" advise="1">
        <values>
          <value>
            <val>0</val>
          </value>
        </values>
      </ddeItem>
      <ddeItem name="acct[20-00470].adjbal{1}/VR" advise="1">
        <values>
          <value>
            <val>0</val>
          </value>
        </values>
      </ddeItem>
      <ddeItem name="acct[20-00480].adjbal{1}/VR" advise="1">
        <values>
          <value>
            <val>0</val>
          </value>
        </values>
      </ddeItem>
      <ddeItem name="acct[20-00490].adjbal{1}/VR" advise="1">
        <values>
          <value>
            <val>0</val>
          </value>
        </values>
      </ddeItem>
      <ddeItem name="acct[20-00493].adjbal{1}/VR" advise="1">
        <values>
          <value>
            <val>0</val>
          </value>
        </values>
      </ddeItem>
      <ddeItem name="acct[20-01110].adjbal{1}/VR" advise="1">
        <values>
          <value>
            <val>1026360</val>
          </value>
        </values>
      </ddeItem>
      <ddeItem name="acct[20-01120].adjbal{1}/VR" advise="1">
        <values>
          <value>
            <val>0</val>
          </value>
        </values>
      </ddeItem>
      <ddeItem name="acct[20-01130].adjbal{1}/VR" advise="1">
        <values>
          <value>
            <val>0</val>
          </value>
        </values>
      </ddeItem>
      <ddeItem name="acct[20-01140].adjbal{1}/VR" advise="1">
        <values>
          <value>
            <val>0</val>
          </value>
        </values>
      </ddeItem>
      <ddeItem name="acct[20-01160].adjbal{1}/VR" advise="1">
        <values>
          <value>
            <val>0</val>
          </value>
        </values>
      </ddeItem>
      <ddeItem name="acct[20-01190].adjbal{1}/VR" advise="1">
        <values>
          <value>
            <val>0</val>
          </value>
        </values>
      </ddeItem>
      <ddeItem name="acct[20-01210].adjbal{1}/VR" advise="1">
        <values>
          <value>
            <val>0</val>
          </value>
        </values>
      </ddeItem>
      <ddeItem name="acct[20-01220].adjbal{1}/VR" advise="1">
        <values>
          <value>
            <val>0</val>
          </value>
        </values>
      </ddeItem>
      <ddeItem name="acct[20-01230].adjbal{1}/VR" advise="1">
        <values>
          <value>
            <val>0</val>
          </value>
        </values>
      </ddeItem>
      <ddeItem name="acct[20-01290].adjbal{1}/VR" advise="1">
        <values>
          <value>
            <val>0</val>
          </value>
        </values>
      </ddeItem>
      <ddeItem name="acct[20-01510].adjbal{1}/VR" advise="1">
        <values>
          <value>
            <val>526</val>
          </value>
        </values>
      </ddeItem>
      <ddeItem name="acct[20-01520].adjbal{1}/VR" advise="1">
        <values>
          <value>
            <val>0</val>
          </value>
        </values>
      </ddeItem>
      <ddeItem name="acct[20-01711].adjbal{1}/VR" advise="1">
        <values>
          <value>
            <val>0</val>
          </value>
        </values>
      </ddeItem>
      <ddeItem name="acct[20-01719].adjbal{1}/VR" advise="1">
        <values>
          <value>
            <val>0</val>
          </value>
        </values>
      </ddeItem>
      <ddeItem name="acct[20-01720].adjbal{1}/VR" advise="1">
        <values>
          <value>
            <val>0</val>
          </value>
        </values>
      </ddeItem>
      <ddeItem name="acct[20-01730].adjbal{1}/VR" advise="1">
        <values>
          <value>
            <val>0</val>
          </value>
        </values>
      </ddeItem>
      <ddeItem name="acct[20-01790].adjbal{1}/VR" advise="1">
        <values>
          <value>
            <val>0</val>
          </value>
        </values>
      </ddeItem>
      <ddeItem name="acct[20-01910].adjbal{1}/VR" advise="1">
        <values>
          <value>
            <val>0</val>
          </value>
        </values>
      </ddeItem>
      <ddeItem name="acct[20-01920].adjbal{1}/VR" advise="1">
        <values>
          <value>
            <val>0</val>
          </value>
        </values>
      </ddeItem>
      <ddeItem name="acct[20-01930].adjbal{1}/VR" advise="1">
        <values>
          <value>
            <val>0</val>
          </value>
        </values>
      </ddeItem>
      <ddeItem name="acct[20-01940].adjbal{1}/VR" advise="1">
        <values>
          <value>
            <val>0</val>
          </value>
        </values>
      </ddeItem>
      <ddeItem name="acct[20-01950].adjbal{1}/VR" advise="1">
        <values>
          <value>
            <val>3478</val>
          </value>
        </values>
      </ddeItem>
      <ddeItem name="acct[20-01960].adjbal{1}/VR" advise="1">
        <values>
          <value>
            <val>0</val>
          </value>
        </values>
      </ddeItem>
      <ddeItem name="acct[20-01980].adjbal{1}/VR" advise="1">
        <values>
          <value>
            <val>0</val>
          </value>
        </values>
      </ddeItem>
      <ddeItem name="acct[20-01991].adjbal{1}/VR" advise="1">
        <values>
          <value>
            <val>0</val>
          </value>
        </values>
      </ddeItem>
      <ddeItem name="acct[20-01993].adjbal{1}/VR" advise="1">
        <values>
          <value>
            <val>0</val>
          </value>
        </values>
      </ddeItem>
      <ddeItem name="acct[20-01999].adjbal{1}/VR" advise="1">
        <values>
          <value>
            <val>9585</val>
          </value>
        </values>
      </ddeItem>
      <ddeItem name="acct[20-02100].adjbal{1}/VR" advise="1">
        <values>
          <value>
            <val>0</val>
          </value>
        </values>
      </ddeItem>
      <ddeItem name="acct[20-02200].adjbal{1}/VR" advise="1">
        <values>
          <value>
            <val>0</val>
          </value>
        </values>
      </ddeItem>
      <ddeItem name="acct[20-02300].adjbal{1}/VR" advise="1">
        <values>
          <value>
            <val>0</val>
          </value>
        </values>
      </ddeItem>
      <ddeItem name="acct[20-03001].adjbal{1}/VR" advise="1">
        <values>
          <value>
            <val>0</val>
          </value>
        </values>
      </ddeItem>
      <ddeItem name="acct[20-03002].adjbal{1}/VR" advise="1">
        <values>
          <value>
            <val>0</val>
          </value>
        </values>
      </ddeItem>
      <ddeItem name="acct[20-03005].adjbal{1}/VR" advise="1">
        <values>
          <value>
            <val>0</val>
          </value>
        </values>
      </ddeItem>
      <ddeItem name="acct[20-03099].adjbal{1}/VR" advise="1">
        <values>
          <value>
            <val>0</val>
          </value>
        </values>
      </ddeItem>
      <ddeItem name="acct[20-03110].adjbal{1}/VR" advise="1">
        <values>
          <value>
            <val>0</val>
          </value>
        </values>
      </ddeItem>
      <ddeItem name="acct[20-03199].adjbal{1}/VR" advise="1">
        <values>
          <value>
            <val>0</val>
          </value>
        </values>
      </ddeItem>
      <ddeItem name="acct[20-03200].adjbal{1}/VR" advise="1">
        <values>
          <value>
            <val>0</val>
          </value>
        </values>
      </ddeItem>
      <ddeItem name="acct[20-03220].adjbal{1}/VR" advise="1">
        <values>
          <value>
            <val>0</val>
          </value>
        </values>
      </ddeItem>
      <ddeItem name="acct[20-03225].adjbal{1}/VR" advise="1">
        <values>
          <value>
            <val>0</val>
          </value>
        </values>
      </ddeItem>
      <ddeItem name="acct[20-03235].adjbal{1}/VR" advise="1">
        <values>
          <value>
            <val>0</val>
          </value>
        </values>
      </ddeItem>
      <ddeItem name="acct[20-03240].adjbal{1}/VR" advise="1">
        <values>
          <value>
            <val>0</val>
          </value>
        </values>
      </ddeItem>
      <ddeItem name="acct[20-03270].adjbal{1}/VR" advise="1">
        <values>
          <value>
            <val>0</val>
          </value>
        </values>
      </ddeItem>
      <ddeItem name="acct[20-03299].adjbal{1}/VR" advise="1">
        <values>
          <value>
            <val>0</val>
          </value>
        </values>
      </ddeItem>
      <ddeItem name="acct[20-03365].adjbal{1}/VR" advise="1">
        <values>
          <value>
            <val>0</val>
          </value>
        </values>
      </ddeItem>
      <ddeItem name="acct[20-03370].adjbal{1}/VR" advise="1">
        <values>
          <value>
            <val>0</val>
          </value>
        </values>
      </ddeItem>
      <ddeItem name="acct[20-03410].adjbal{1}/VR" advise="1">
        <values>
          <value>
            <val>0</val>
          </value>
        </values>
      </ddeItem>
      <ddeItem name="acct[20-03499].adjbal{1}/VR" advise="1">
        <values>
          <value>
            <val>0</val>
          </value>
        </values>
      </ddeItem>
      <ddeItem name="acct[20-03500].adjbal{1}/VR" advise="1">
        <values>
          <value>
            <val>0</val>
          </value>
        </values>
      </ddeItem>
      <ddeItem name="acct[20-03510].adjbal{1}/VR" advise="1">
        <values>
          <value>
            <val>0</val>
          </value>
        </values>
      </ddeItem>
      <ddeItem name="acct[20-03599].adjbal{1}/VR" advise="1">
        <values>
          <value>
            <val>0</val>
          </value>
        </values>
      </ddeItem>
      <ddeItem name="acct[20-03660].adjbal{1}/VR" advise="1">
        <values>
          <value>
            <val>0</val>
          </value>
        </values>
      </ddeItem>
      <ddeItem name="acct[20-03705].adjbal{1}/VR" advise="1">
        <values>
          <value>
            <val>0</val>
          </value>
        </values>
      </ddeItem>
      <ddeItem name="acct[20-03766].adjbal{1}/VR" advise="1">
        <values>
          <value>
            <val>0</val>
          </value>
        </values>
      </ddeItem>
      <ddeItem name="acct[20-03767].adjbal{1}/VR" advise="1">
        <values>
          <value>
            <val>0</val>
          </value>
        </values>
      </ddeItem>
      <ddeItem name="acct[20-03775].adjbal{1}/VR" advise="1">
        <values>
          <value>
            <val>0</val>
          </value>
        </values>
      </ddeItem>
      <ddeItem name="acct[20-03780].adjbal{1}/VR" advise="1">
        <values>
          <value>
            <val>0</val>
          </value>
        </values>
      </ddeItem>
      <ddeItem name="acct[20-03920].adjbal{1}/VR" advise="1">
        <values>
          <value>
            <val>0</val>
          </value>
        </values>
      </ddeItem>
      <ddeItem name="acct[20-03925].adjbal{1}/VR" advise="1">
        <values>
          <value>
            <val>0</val>
          </value>
        </values>
      </ddeItem>
      <ddeItem name="acct[20-03999].adjbal{1}/VR" advise="1">
        <values>
          <value>
            <val>0</val>
          </value>
        </values>
      </ddeItem>
      <ddeItem name="acct[20-04001].adjbal{1}/VR" advise="1">
        <values>
          <value>
            <val>0</val>
          </value>
        </values>
      </ddeItem>
      <ddeItem name="acct[20-04009].adjbal{1}/VR" advise="1">
        <values>
          <value>
            <val>0</val>
          </value>
        </values>
      </ddeItem>
      <ddeItem name="acct[20-04050].adjbal{1}/VR" advise="1">
        <values>
          <value>
            <val>0</val>
          </value>
        </values>
      </ddeItem>
      <ddeItem name="acct[20-04060].adjbal{1}/VR" advise="1">
        <values>
          <value>
            <val>0</val>
          </value>
        </values>
      </ddeItem>
      <ddeItem name="acct[20-04090].adjbal{1}/VR" advise="1">
        <values>
          <value>
            <val>0</val>
          </value>
        </values>
      </ddeItem>
      <ddeItem name="acct[20-04100].adjbal{1}/VR" advise="1">
        <values>
          <value>
            <val>0</val>
          </value>
        </values>
      </ddeItem>
      <ddeItem name="acct[20-04105].adjbal{1}/VR" advise="1">
        <values>
          <value>
            <val>0</val>
          </value>
        </values>
      </ddeItem>
      <ddeItem name="acct[20-04107].adjbal{1}/VR" advise="1">
        <values>
          <value>
            <val>0</val>
          </value>
        </values>
      </ddeItem>
      <ddeItem name="acct[20-04199].adjbal{1}/VR" advise="1">
        <values>
          <value>
            <val>0</val>
          </value>
        </values>
      </ddeItem>
      <ddeItem name="acct[20-04300].adjbal{1}/VR" advise="1">
        <values>
          <value>
            <val>0</val>
          </value>
        </values>
      </ddeItem>
      <ddeItem name="acct[20-04305].adjbal{1}/VR" advise="1">
        <values>
          <value>
            <val>0</val>
          </value>
        </values>
      </ddeItem>
      <ddeItem name="acct[20-04332].adjbal{1}/VR" advise="1">
        <values>
          <value>
            <val>0</val>
          </value>
        </values>
      </ddeItem>
      <ddeItem name="acct[20-04334].adjbal{1}/VR" advise="1">
        <values>
          <value>
            <val>0</val>
          </value>
        </values>
      </ddeItem>
      <ddeItem name="acct[20-04335].adjbal{1}/VR" advise="1">
        <values>
          <value>
            <val>0</val>
          </value>
        </values>
      </ddeItem>
      <ddeItem name="acct[20-04337].adjbal{1}/VR" advise="1">
        <values>
          <value>
            <val>0</val>
          </value>
        </values>
      </ddeItem>
      <ddeItem name="acct[20-04340].adjbal{1}/VR" advise="1">
        <values>
          <value>
            <val>0</val>
          </value>
        </values>
      </ddeItem>
      <ddeItem name="acct[20-04399].adjbal{1}/VR" advise="1">
        <values>
          <value>
            <val>0</val>
          </value>
        </values>
      </ddeItem>
      <ddeItem name="acct[20-04400].adjbal{1}/VR" advise="1">
        <values>
          <value>
            <val>0</val>
          </value>
        </values>
      </ddeItem>
      <ddeItem name="acct[20-04421].adjbal{1}/VR" advise="1">
        <values>
          <value>
            <val>0</val>
          </value>
        </values>
      </ddeItem>
      <ddeItem name="acct[20-04499].adjbal{1}/VR" advise="1">
        <values>
          <value>
            <val>0</val>
          </value>
        </values>
      </ddeItem>
      <ddeItem name="acct[20-04600].adjbal{1}/VR" advise="1">
        <values>
          <value>
            <val>0</val>
          </value>
        </values>
      </ddeItem>
      <ddeItem name="acct[20-04605].adjbal{1}/VR" advise="1">
        <values>
          <value>
            <val>0</val>
          </value>
        </values>
      </ddeItem>
      <ddeItem name="acct[20-04620].adjbal{1}/VR" advise="1">
        <values>
          <value>
            <val>0</val>
          </value>
        </values>
      </ddeItem>
      <ddeItem name="acct[20-04625].adjbal{1}/VR" advise="1">
        <values>
          <value>
            <val>0</val>
          </value>
        </values>
      </ddeItem>
      <ddeItem name="acct[20-04630].adjbal{1}/VR" advise="1">
        <values>
          <value>
            <val>0</val>
          </value>
        </values>
      </ddeItem>
      <ddeItem name="acct[20-04699].adjbal{1}/VR" advise="1">
        <values>
          <value>
            <val>0</val>
          </value>
        </values>
      </ddeItem>
      <ddeItem name="acct[20-04770].adjbal{1}/VR" advise="1">
        <values>
          <value>
            <val>0</val>
          </value>
        </values>
      </ddeItem>
      <ddeItem name="acct[20-04799].adjbal{1}/VR" advise="1">
        <values>
          <value>
            <val>0</val>
          </value>
        </values>
      </ddeItem>
      <ddeItem name="acct[20-04810].adjbal{1}/VR" advise="1">
        <values>
          <value>
            <val>0</val>
          </value>
        </values>
      </ddeItem>
      <ddeItem name="acct[20-04850].adjbal{1}/VR" advise="1">
        <values>
          <value>
            <val>0</val>
          </value>
        </values>
      </ddeItem>
      <ddeItem name="acct[20-04851].adjbal{1}/VR" advise="1">
        <values>
          <value>
            <val>0</val>
          </value>
        </values>
      </ddeItem>
      <ddeItem name="acct[20-04852].adjbal{1}/VR" advise="1">
        <values>
          <value>
            <val>0</val>
          </value>
        </values>
      </ddeItem>
      <ddeItem name="acct[20-04853].adjbal{1}/VR" advise="1">
        <values>
          <value>
            <val>0</val>
          </value>
        </values>
      </ddeItem>
      <ddeItem name="acct[20-04854].adjbal{1}/VR" advise="1">
        <values>
          <value>
            <val>0</val>
          </value>
        </values>
      </ddeItem>
      <ddeItem name="acct[20-04855].adjbal{1}/VR" advise="1">
        <values>
          <value>
            <val>0</val>
          </value>
        </values>
      </ddeItem>
      <ddeItem name="acct[20-04856].adjbal{1}/VR" advise="1">
        <values>
          <value>
            <val>0</val>
          </value>
        </values>
      </ddeItem>
      <ddeItem name="acct[20-04857].adjbal{1}/VR" advise="1">
        <values>
          <value>
            <val>0</val>
          </value>
        </values>
      </ddeItem>
      <ddeItem name="acct[20-04860].adjbal{1}/VR" advise="1">
        <values>
          <value>
            <val>0</val>
          </value>
        </values>
      </ddeItem>
      <ddeItem name="acct[20-04861].adjbal{1}/VR" advise="1">
        <values>
          <value>
            <val>0</val>
          </value>
        </values>
      </ddeItem>
      <ddeItem name="acct[20-04862].adjbal{1}/VR" advise="1">
        <values>
          <value>
            <val>0</val>
          </value>
        </values>
      </ddeItem>
      <ddeItem name="acct[20-04863].adjbal{1}/VR" advise="1">
        <values>
          <value>
            <val>0</val>
          </value>
        </values>
      </ddeItem>
      <ddeItem name="acct[20-04864].adjbal{1}/VR" advise="1">
        <values>
          <value>
            <val>0</val>
          </value>
        </values>
      </ddeItem>
      <ddeItem name="acct[20-04865].adjbal{1}/VR" advise="1">
        <values>
          <value>
            <val>0</val>
          </value>
        </values>
      </ddeItem>
      <ddeItem name="acct[20-04866].adjbal{1}/VR" advise="1">
        <values>
          <value>
            <val>0</val>
          </value>
        </values>
      </ddeItem>
      <ddeItem name="acct[20-04867].adjbal{1}/VR" advise="1">
        <values>
          <value>
            <val>0</val>
          </value>
        </values>
      </ddeItem>
      <ddeItem name="acct[20-04868].adjbal{1}/VR" advise="1">
        <values>
          <value>
            <val>0</val>
          </value>
        </values>
      </ddeItem>
      <ddeItem name="acct[20-04869].adjbal{1}/VR" advise="1">
        <values>
          <value>
            <val>0</val>
          </value>
        </values>
      </ddeItem>
      <ddeItem name="acct[20-04870].adjbal{1}/VR" advise="1">
        <values>
          <value>
            <val>0</val>
          </value>
        </values>
      </ddeItem>
      <ddeItem name="acct[20-04871].adjbal{1}/VR" advise="1">
        <values>
          <value>
            <val>0</val>
          </value>
        </values>
      </ddeItem>
      <ddeItem name="acct[20-04872].adjbal{1}/VR" advise="1">
        <values>
          <value>
            <val>0</val>
          </value>
        </values>
      </ddeItem>
      <ddeItem name="acct[20-04873].adjbal{1}/VR" advise="1">
        <values>
          <value>
            <val>0</val>
          </value>
        </values>
      </ddeItem>
      <ddeItem name="acct[20-04874].adjbal{1}/VR" advise="1">
        <values>
          <value>
            <val>0</val>
          </value>
        </values>
      </ddeItem>
      <ddeItem name="acct[20-04875].adjbal{1}/VR" advise="1">
        <values>
          <value>
            <val>0</val>
          </value>
        </values>
      </ddeItem>
      <ddeItem name="acct[20-04876].adjbal{1}/VR" advise="1">
        <values>
          <value>
            <val>0</val>
          </value>
        </values>
      </ddeItem>
      <ddeItem name="acct[20-04877].adjbal{1}/VR" advise="1">
        <values>
          <value>
            <val>0</val>
          </value>
        </values>
      </ddeItem>
      <ddeItem name="acct[20-04878].adjbal{1}/VR" advise="1">
        <values>
          <value>
            <val>0</val>
          </value>
        </values>
      </ddeItem>
      <ddeItem name="acct[20-04879].adjbal{1}/VR" advise="1">
        <values>
          <value>
            <val>0</val>
          </value>
        </values>
      </ddeItem>
      <ddeItem name="acct[20-04880].adjbal{1}/VR" advise="1">
        <values>
          <value>
            <val>0</val>
          </value>
        </values>
      </ddeItem>
      <ddeItem name="acct[20-04902].adjbal{1}/VR" advise="1">
        <values>
          <value t="str">
            <val xml:space="preserve"> </val>
          </value>
        </values>
      </ddeItem>
      <ddeItem name="acct[20-04904].adjbal{1}/VR" advise="1">
        <values>
          <value>
            <val>0</val>
          </value>
        </values>
      </ddeItem>
      <ddeItem name="acct[20-04920].adjbal{1}/VR" advise="1">
        <values>
          <value>
            <val>0</val>
          </value>
        </values>
      </ddeItem>
      <ddeItem name="acct[20-04930].adjbal{1}/VR" advise="1">
        <values>
          <value>
            <val>0</val>
          </value>
        </values>
      </ddeItem>
      <ddeItem name="acct[20-04932].adjbal{1}/VR" advise="1">
        <values>
          <value>
            <val>0</val>
          </value>
        </values>
      </ddeItem>
      <ddeItem name="acct[20-04960].adjbal{1}/VR" advise="1">
        <values>
          <value>
            <val>0</val>
          </value>
        </values>
      </ddeItem>
      <ddeItem name="acct[20-04991].adjbal{1}/VR" advise="1">
        <values>
          <value>
            <val>0</val>
          </value>
        </values>
      </ddeItem>
      <ddeItem name="acct[20-04992].adjbal{1}/VR" advise="1">
        <values>
          <value>
            <val>0</val>
          </value>
        </values>
      </ddeItem>
      <ddeItem name="acct[20-04999].adjbal{1}/VR" advise="1">
        <values>
          <value>
            <val>0</val>
          </value>
        </values>
      </ddeItem>
      <ddeItem name="acct[20-07110].adjbal{1}/VR" advise="1">
        <values>
          <value>
            <val>0</val>
          </value>
        </values>
      </ddeItem>
      <ddeItem name="acct[20-07120].adjbal{1}/VR" advise="1">
        <values>
          <value>
            <val>0</val>
          </value>
        </values>
      </ddeItem>
      <ddeItem name="acct[20-07130].adjbal{1}/VR" advise="1">
        <values>
          <value>
            <val>0</val>
          </value>
        </values>
      </ddeItem>
      <ddeItem name="acct[20-07140].adjbal{1}/VR" advise="1">
        <values>
          <value>
            <val>0</val>
          </value>
        </values>
      </ddeItem>
      <ddeItem name="acct[20-07150].adjbal{1}/VR" advise="1">
        <values>
          <value>
            <val>0</val>
          </value>
        </values>
      </ddeItem>
      <ddeItem name="acct[20-07160].adjbal{1}/VR" advise="1">
        <values>
          <value>
            <val>0</val>
          </value>
        </values>
      </ddeItem>
      <ddeItem name="acct[20-07210].adjbal{1}/VR" advise="1">
        <values>
          <value>
            <val>0</val>
          </value>
        </values>
      </ddeItem>
      <ddeItem name="acct[20-07220].adjbal{1}/VR" advise="1">
        <values>
          <value>
            <val>0</val>
          </value>
        </values>
      </ddeItem>
      <ddeItem name="acct[20-07230].adjbal{1}/VR" advise="1">
        <values>
          <value>
            <val>0</val>
          </value>
        </values>
      </ddeItem>
      <ddeItem name="acct[20-07300].adjbal{1}/VR" advise="1">
        <values>
          <value>
            <val>0</val>
          </value>
        </values>
      </ddeItem>
      <ddeItem name="acct[20-07900].adjbal{1}/VR" advise="1">
        <values>
          <value>
            <val>0</val>
          </value>
        </values>
      </ddeItem>
      <ddeItem name="acct[20-07990].adjbal{1}/VR" advise="1">
        <values>
          <value>
            <val>0</val>
          </value>
        </values>
      </ddeItem>
      <ddeItem name="acct[20-08130].adjbal{1}" advise="1">
        <values>
          <value>
            <val>0</val>
          </value>
        </values>
      </ddeItem>
      <ddeItem name="acct[20-08140].adjbal{1}" advise="1">
        <values>
          <value>
            <val>0</val>
          </value>
        </values>
      </ddeItem>
      <ddeItem name="acct[20-08410].adjbal{1}" advise="1">
        <values>
          <value>
            <val>0</val>
          </value>
        </values>
      </ddeItem>
      <ddeItem name="acct[20-08420].adjbal{1}" advise="1">
        <values>
          <value>
            <val>0</val>
          </value>
        </values>
      </ddeItem>
      <ddeItem name="acct[20-08430].adjbal{1}" advise="1">
        <values>
          <value>
            <val>0</val>
          </value>
        </values>
      </ddeItem>
      <ddeItem name="acct[20-08440].adjbal{1}" advise="1">
        <values>
          <value>
            <val>0</val>
          </value>
        </values>
      </ddeItem>
      <ddeItem name="acct[20-08510].adjbal{1}" advise="1">
        <values>
          <value>
            <val>0</val>
          </value>
        </values>
      </ddeItem>
      <ddeItem name="acct[20-08520].adjbal{1}" advise="1">
        <values>
          <value>
            <val>0</val>
          </value>
        </values>
      </ddeItem>
      <ddeItem name="acct[20-08530].adjbal{1}" advise="1">
        <values>
          <value>
            <val>0</val>
          </value>
        </values>
      </ddeItem>
      <ddeItem name="acct[20-08540].adjbal{1}" advise="1">
        <values>
          <value>
            <val>0</val>
          </value>
        </values>
      </ddeItem>
      <ddeItem name="acct[20-08610].adjbal{1}" advise="1">
        <values>
          <value>
            <val>0</val>
          </value>
        </values>
      </ddeItem>
      <ddeItem name="acct[20-08620].adjbal{1}" advise="1">
        <values>
          <value>
            <val>0</val>
          </value>
        </values>
      </ddeItem>
      <ddeItem name="acct[20-08630].adjbal{1}" advise="1">
        <values>
          <value>
            <val>0</val>
          </value>
        </values>
      </ddeItem>
      <ddeItem name="acct[20-08640].adjbal{1}" advise="1">
        <values>
          <value>
            <val>0</val>
          </value>
        </values>
      </ddeItem>
      <ddeItem name="acct[20-08710].adjbal{1}" advise="1">
        <values>
          <value>
            <val>0</val>
          </value>
        </values>
      </ddeItem>
      <ddeItem name="acct[20-08720].adjbal{1}" advise="1">
        <values>
          <value>
            <val>0</val>
          </value>
        </values>
      </ddeItem>
      <ddeItem name="acct[20-08730].adjbal{1}" advise="1">
        <values>
          <value>
            <val>0</val>
          </value>
        </values>
      </ddeItem>
      <ddeItem name="acct[20-08740].adjbal{1}" advise="1">
        <values>
          <value>
            <val>0</val>
          </value>
        </values>
      </ddeItem>
      <ddeItem name="acct[20-08810].adjbal{1}" advise="1">
        <values>
          <value>
            <val>0</val>
          </value>
        </values>
      </ddeItem>
      <ddeItem name="acct[20-08820].adjbal{1}" advise="1">
        <values>
          <value>
            <val>0</val>
          </value>
        </values>
      </ddeItem>
      <ddeItem name="acct[20-08830].adjbal{1}" advise="1">
        <values>
          <value>
            <val>0</val>
          </value>
        </values>
      </ddeItem>
      <ddeItem name="acct[20-08840].adjbal{1}" advise="1">
        <values>
          <value>
            <val>0</val>
          </value>
        </values>
      </ddeItem>
      <ddeItem name="acct[20-08910].adjbal{1}" advise="1">
        <values>
          <value>
            <val>0</val>
          </value>
        </values>
      </ddeItem>
      <ddeItem name="acct[20-08990].adjbal{1}" advise="1">
        <values>
          <value>
            <val>0</val>
          </value>
        </values>
      </ddeItem>
      <ddeItem name="acct[20-21901].adjbal{1}" advise="1">
        <values>
          <value>
            <val>0</val>
          </value>
        </values>
      </ddeItem>
      <ddeItem name="acct[20-21902].adjbal{1}" advise="1">
        <values>
          <value>
            <val>0</val>
          </value>
        </values>
      </ddeItem>
      <ddeItem name="acct[20-21903].adjbal{1}" advise="1">
        <values>
          <value>
            <val>0</val>
          </value>
        </values>
      </ddeItem>
      <ddeItem name="acct[20-21904].adjbal{1}" advise="1">
        <values>
          <value>
            <val>0</val>
          </value>
        </values>
      </ddeItem>
      <ddeItem name="acct[20-21905].adjbal{1}" advise="1">
        <values>
          <value>
            <val>0</val>
          </value>
        </values>
      </ddeItem>
      <ddeItem name="acct[20-21906].adjbal{1}" advise="1">
        <values>
          <value>
            <val>0</val>
          </value>
        </values>
      </ddeItem>
      <ddeItem name="acct[20-21907].adjbal{1}" advise="1">
        <values>
          <value>
            <val>0</val>
          </value>
        </values>
      </ddeItem>
      <ddeItem name="acct[20-21908].adjbal{1}" advise="1">
        <values>
          <value>
            <val>0</val>
          </value>
        </values>
      </ddeItem>
      <ddeItem name="acct[20-25101].adjbal{1}" advise="1">
        <values>
          <value>
            <val>0</val>
          </value>
        </values>
      </ddeItem>
      <ddeItem name="acct[20-25102].adjbal{1}" advise="1">
        <values>
          <value>
            <val>0</val>
          </value>
        </values>
      </ddeItem>
      <ddeItem name="acct[20-25103].adjbal{1}" advise="1">
        <values>
          <value>
            <val>0</val>
          </value>
        </values>
      </ddeItem>
      <ddeItem name="acct[20-25104].adjbal{1}" advise="1">
        <values>
          <value>
            <val>0</val>
          </value>
        </values>
      </ddeItem>
      <ddeItem name="acct[20-25105].adjbal{1}" advise="1">
        <values>
          <value>
            <val>0</val>
          </value>
        </values>
      </ddeItem>
      <ddeItem name="acct[20-25106].adjbal{1}" advise="1">
        <values>
          <value>
            <val>0</val>
          </value>
        </values>
      </ddeItem>
      <ddeItem name="acct[20-25107].adjbal{1}" advise="1">
        <values>
          <value>
            <val>0</val>
          </value>
        </values>
      </ddeItem>
      <ddeItem name="acct[20-25108].adjbal{1}" advise="1">
        <values>
          <value>
            <val>0</val>
          </value>
        </values>
      </ddeItem>
      <ddeItem name="acct[20-25301].adjbal{1}" advise="1">
        <values>
          <value>
            <val>0</val>
          </value>
        </values>
      </ddeItem>
      <ddeItem name="acct[20-25302].adjbal{1}" advise="1">
        <values>
          <value>
            <val>0</val>
          </value>
        </values>
      </ddeItem>
      <ddeItem name="acct[20-25303].adjbal{1}" advise="1">
        <values>
          <value>
            <val>0</val>
          </value>
        </values>
      </ddeItem>
      <ddeItem name="acct[20-25304].adjbal{1}" advise="1">
        <values>
          <value>
            <val>0</val>
          </value>
        </values>
      </ddeItem>
      <ddeItem name="acct[20-25305].adjbal{1}" advise="1">
        <values>
          <value>
            <val>0</val>
          </value>
        </values>
      </ddeItem>
      <ddeItem name="acct[20-25306].adjbal{1}" advise="1">
        <values>
          <value>
            <val>0</val>
          </value>
        </values>
      </ddeItem>
      <ddeItem name="acct[20-25307].adjbal{1}" advise="1">
        <values>
          <value>
            <val>0</val>
          </value>
        </values>
      </ddeItem>
      <ddeItem name="acct[20-25308].adjbal{1}" advise="1">
        <values>
          <value>
            <val>0</val>
          </value>
        </values>
      </ddeItem>
      <ddeItem name="acct[20-25401].adjbal{1}" advise="1">
        <values>
          <value>
            <val>439631</val>
          </value>
        </values>
      </ddeItem>
      <ddeItem name="acct[20-25402].adjbal{1}" advise="1">
        <values>
          <value>
            <val>66983</val>
          </value>
        </values>
      </ddeItem>
      <ddeItem name="acct[20-25403].adjbal{1}" advise="1">
        <values>
          <value>
            <val>199041</val>
          </value>
        </values>
      </ddeItem>
      <ddeItem name="acct[20-25404].adjbal{1}" advise="1">
        <values>
          <value>
            <val>246779</val>
          </value>
        </values>
      </ddeItem>
      <ddeItem name="acct[20-25405].adjbal{1}" advise="1">
        <values>
          <value>
            <val>14218</val>
          </value>
        </values>
      </ddeItem>
      <ddeItem name="acct[20-25406].adjbal{1}" advise="1">
        <values>
          <value>
            <val>652</val>
          </value>
        </values>
      </ddeItem>
      <ddeItem name="acct[20-25407].adjbal{1}" advise="1">
        <values>
          <value>
            <val>0</val>
          </value>
        </values>
      </ddeItem>
      <ddeItem name="acct[20-25408].adjbal{1}" advise="1">
        <values>
          <value>
            <val>0</val>
          </value>
        </values>
      </ddeItem>
      <ddeItem name="acct[20-25501].adjbal{1}" advise="1">
        <values>
          <value>
            <val>0</val>
          </value>
        </values>
      </ddeItem>
      <ddeItem name="acct[20-25502].adjbal{1}" advise="1">
        <values>
          <value>
            <val>0</val>
          </value>
        </values>
      </ddeItem>
      <ddeItem name="acct[20-25503].adjbal{1}" advise="1">
        <values>
          <value>
            <val>0</val>
          </value>
        </values>
      </ddeItem>
      <ddeItem name="acct[20-25504].adjbal{1}" advise="1">
        <values>
          <value>
            <val>0</val>
          </value>
        </values>
      </ddeItem>
      <ddeItem name="acct[20-25505].adjbal{1}" advise="1">
        <values>
          <value>
            <val>0</val>
          </value>
        </values>
      </ddeItem>
      <ddeItem name="acct[20-25506].adjbal{1}" advise="1">
        <values>
          <value>
            <val>0</val>
          </value>
        </values>
      </ddeItem>
      <ddeItem name="acct[20-25507].adjbal{1}" advise="1">
        <values>
          <value>
            <val>0</val>
          </value>
        </values>
      </ddeItem>
      <ddeItem name="acct[20-25508].adjbal{1}" advise="1">
        <values>
          <value>
            <val>0</val>
          </value>
        </values>
      </ddeItem>
      <ddeItem name="acct[20-25605].adjbal{1}" advise="1">
        <values>
          <value>
            <val>5775</val>
          </value>
        </values>
      </ddeItem>
      <ddeItem name="acct[20-25607].adjbal{1}" advise="1">
        <values>
          <value>
            <val>0</val>
          </value>
        </values>
      </ddeItem>
      <ddeItem name="acct[20-29001].adjbal{1}" advise="1">
        <values>
          <value>
            <val>0</val>
          </value>
        </values>
      </ddeItem>
      <ddeItem name="acct[20-29002].adjbal{1}" advise="1">
        <values>
          <value>
            <val>0</val>
          </value>
        </values>
      </ddeItem>
      <ddeItem name="acct[20-29003].adjbal{1}" advise="1">
        <values>
          <value>
            <val>0</val>
          </value>
        </values>
      </ddeItem>
      <ddeItem name="acct[20-29004].adjbal{1}" advise="1">
        <values>
          <value>
            <val>0</val>
          </value>
        </values>
      </ddeItem>
      <ddeItem name="acct[20-29005].adjbal{1}" advise="1">
        <values>
          <value>
            <val>0</val>
          </value>
        </values>
      </ddeItem>
      <ddeItem name="acct[20-29006].adjbal{1}" advise="1">
        <values>
          <value>
            <val>0</val>
          </value>
        </values>
      </ddeItem>
      <ddeItem name="acct[20-29007].adjbal{1}" advise="1">
        <values>
          <value>
            <val>0</val>
          </value>
        </values>
      </ddeItem>
      <ddeItem name="acct[20-29008].adjbal{1}" advise="1">
        <values>
          <value>
            <val>0</val>
          </value>
        </values>
      </ddeItem>
      <ddeItem name="acct[20-30001].adjbal{1}" advise="1">
        <values>
          <value>
            <val>0</val>
          </value>
        </values>
      </ddeItem>
      <ddeItem name="acct[20-30002].adjbal{1}" advise="1">
        <values>
          <value>
            <val>0</val>
          </value>
        </values>
      </ddeItem>
      <ddeItem name="acct[20-30003].adjbal{1}" advise="1">
        <values>
          <value>
            <val>0</val>
          </value>
        </values>
      </ddeItem>
      <ddeItem name="acct[20-30004].adjbal{1}" advise="1">
        <values>
          <value>
            <val>0</val>
          </value>
        </values>
      </ddeItem>
      <ddeItem name="acct[20-30005].adjbal{1}" advise="1">
        <values>
          <value>
            <val>0</val>
          </value>
        </values>
      </ddeItem>
      <ddeItem name="acct[20-30006].adjbal{1}" advise="1">
        <values>
          <value>
            <val>0</val>
          </value>
        </values>
      </ddeItem>
      <ddeItem name="acct[20-30007].adjbal{1}" advise="1">
        <values>
          <value>
            <val>0</val>
          </value>
        </values>
      </ddeItem>
      <ddeItem name="acct[20-30008].adjbal{1}" advise="1">
        <values>
          <value>
            <val>0</val>
          </value>
        </values>
      </ddeItem>
      <ddeItem name="acct[20-41103].adjbal{1}" advise="1">
        <values>
          <value t="str">
            <val xml:space="preserve"> </val>
          </value>
        </values>
      </ddeItem>
      <ddeItem name="acct[20-41106].adjbal{1}" advise="1">
        <values>
          <value t="str">
            <val xml:space="preserve"> </val>
          </value>
        </values>
      </ddeItem>
      <ddeItem name="acct[20-41203].adjbal{1}" advise="1">
        <values>
          <value>
            <val>0</val>
          </value>
        </values>
      </ddeItem>
      <ddeItem name="acct[20-41206].adjbal{1}" advise="1">
        <values>
          <value>
            <val>0</val>
          </value>
        </values>
      </ddeItem>
      <ddeItem name="acct[20-41403].adjbal{1}" advise="1">
        <values>
          <value>
            <val>0</val>
          </value>
        </values>
      </ddeItem>
      <ddeItem name="acct[20-41406].adjbal{1}" advise="1">
        <values>
          <value>
            <val>0</val>
          </value>
        </values>
      </ddeItem>
      <ddeItem name="acct[20-41903].adjbal{1}" advise="1">
        <values>
          <value>
            <val>0</val>
          </value>
        </values>
      </ddeItem>
      <ddeItem name="acct[20-41906].adjbal{1}" advise="1">
        <values>
          <value>
            <val>0</val>
          </value>
        </values>
      </ddeItem>
      <ddeItem name="acct[20-44003].adjbal{1}" advise="1">
        <values>
          <value t="str">
            <val xml:space="preserve"> </val>
          </value>
        </values>
      </ddeItem>
      <ddeItem name="acct[20-44006].adjbal{1}" advise="1">
        <values>
          <value>
            <val>0</val>
          </value>
        </values>
      </ddeItem>
      <ddeItem name="acct[20-51106].adjbal{1}" advise="1">
        <values>
          <value>
            <val>0</val>
          </value>
        </values>
      </ddeItem>
      <ddeItem name="acct[20-51206].adjbal{1}" advise="1">
        <values>
          <value>
            <val>0</val>
          </value>
        </values>
      </ddeItem>
      <ddeItem name="acct[20-51306].adjbal{1}" advise="1">
        <values>
          <value>
            <val>0</val>
          </value>
        </values>
      </ddeItem>
      <ddeItem name="acct[20-51406].adjbal{1}" advise="1">
        <values>
          <value>
            <val>0</val>
          </value>
        </values>
      </ddeItem>
      <ddeItem name="acct[20-51506].adjbal{1}" advise="1">
        <values>
          <value>
            <val>0</val>
          </value>
        </values>
      </ddeItem>
      <ddeItem name="acct[20-52006].adjbal{1}" advise="1">
        <values>
          <value>
            <val>0</val>
          </value>
        </values>
      </ddeItem>
      <ddeItem name="acct[30-00101].adjbal{1}" advise="1">
        <values>
          <value>
            <val>83452</val>
          </value>
        </values>
      </ddeItem>
      <ddeItem name="acct[30-00120].adjbal{1}" advise="1">
        <values>
          <value>
            <val>0</val>
          </value>
        </values>
      </ddeItem>
      <ddeItem name="acct[30-00130].adjbal{1}" advise="1">
        <values>
          <value>
            <val>0</val>
          </value>
        </values>
      </ddeItem>
      <ddeItem name="acct[30-00140].adjbal{1}" advise="1">
        <values>
          <value>
            <val>0</val>
          </value>
        </values>
      </ddeItem>
      <ddeItem name="acct[30-00150].adjbal{1}" advise="1">
        <values>
          <value>
            <val>0</val>
          </value>
        </values>
      </ddeItem>
      <ddeItem name="acct[30-00160].adjbal{1}" advise="1">
        <values>
          <value>
            <val>0</val>
          </value>
        </values>
      </ddeItem>
      <ddeItem name="acct[30-00170].adjbal{1}" advise="1">
        <values>
          <value>
            <val>0</val>
          </value>
        </values>
      </ddeItem>
      <ddeItem name="acct[30-00180].adjbal{1}" advise="1">
        <values>
          <value>
            <val>0</val>
          </value>
        </values>
      </ddeItem>
      <ddeItem name="acct[30-00190].adjbal{1}" advise="1">
        <values>
          <value>
            <val>0</val>
          </value>
        </values>
      </ddeItem>
      <ddeItem name="acct[30-00410].adjbal{1}/VR" advise="1">
        <values>
          <value>
            <val>0</val>
          </value>
        </values>
      </ddeItem>
      <ddeItem name="acct[30-00420].adjbal{1}/VR" advise="1">
        <values>
          <value>
            <val>0</val>
          </value>
        </values>
      </ddeItem>
      <ddeItem name="acct[30-00430].adjbal{1}/VR" advise="1">
        <values>
          <value>
            <val>0</val>
          </value>
        </values>
      </ddeItem>
      <ddeItem name="acct[30-00440].adjbal{1}/VR" advise="1">
        <values>
          <value>
            <val>0</val>
          </value>
        </values>
      </ddeItem>
      <ddeItem name="acct[30-00460].adjbal{1}/VR" advise="1">
        <values>
          <value>
            <val>0</val>
          </value>
        </values>
      </ddeItem>
      <ddeItem name="acct[30-00470].adjbal{1}/VR" advise="1">
        <values>
          <value>
            <val>0</val>
          </value>
        </values>
      </ddeItem>
      <ddeItem name="acct[30-00480].adjbal{1}/VR" advise="1">
        <values>
          <value>
            <val>0</val>
          </value>
        </values>
      </ddeItem>
      <ddeItem name="acct[30-00490].adjbal{1}/VR" advise="1">
        <values>
          <value>
            <val>0</val>
          </value>
        </values>
      </ddeItem>
      <ddeItem name="acct[30-00493].adjbal{1}/VR" advise="1">
        <values>
          <value>
            <val>0</val>
          </value>
        </values>
      </ddeItem>
      <ddeItem name="acct[30-01110].adjbal{1}/VR" advise="1">
        <values>
          <value>
            <val>395504</val>
          </value>
        </values>
      </ddeItem>
      <ddeItem name="acct[30-01120].adjbal{1}/VR" advise="1">
        <values>
          <value>
            <val>0</val>
          </value>
        </values>
      </ddeItem>
      <ddeItem name="acct[30-01160].adjbal{1}/VR" advise="1">
        <values>
          <value>
            <val>0</val>
          </value>
        </values>
      </ddeItem>
      <ddeItem name="acct[30-01190].adjbal{1}/VR" advise="1">
        <values>
          <value>
            <val>0</val>
          </value>
        </values>
      </ddeItem>
      <ddeItem name="acct[30-01210].adjbal{1}/VR" advise="1">
        <values>
          <value>
            <val>0</val>
          </value>
        </values>
      </ddeItem>
      <ddeItem name="acct[30-01220].adjbal{1}/VR" advise="1">
        <values>
          <value>
            <val>0</val>
          </value>
        </values>
      </ddeItem>
      <ddeItem name="acct[30-01230].adjbal{1}/VR" advise="1">
        <values>
          <value>
            <val>0</val>
          </value>
        </values>
      </ddeItem>
      <ddeItem name="acct[30-01290].adjbal{1}/VR" advise="1">
        <values>
          <value>
            <val>0</val>
          </value>
        </values>
      </ddeItem>
      <ddeItem name="acct[30-01510].adjbal{1}/VR" advise="1">
        <values>
          <value>
            <val>127</val>
          </value>
        </values>
      </ddeItem>
      <ddeItem name="acct[30-01520].adjbal{1}/VR" advise="1">
        <values>
          <value>
            <val>0</val>
          </value>
        </values>
      </ddeItem>
      <ddeItem name="acct[30-01920].adjbal{1}/VR" advise="1">
        <values>
          <value>
            <val>0</val>
          </value>
        </values>
      </ddeItem>
      <ddeItem name="acct[30-01930].adjbal{1}/VR" advise="1">
        <values>
          <value>
            <val>0</val>
          </value>
        </values>
      </ddeItem>
      <ddeItem name="acct[30-01950].adjbal{1}/VR" advise="1">
        <values>
          <value>
            <val>0</val>
          </value>
        </values>
      </ddeItem>
      <ddeItem name="acct[30-01960].adjbal{1}/VR" advise="1">
        <values>
          <value>
            <val>0</val>
          </value>
        </values>
      </ddeItem>
      <ddeItem name="acct[30-01980].adjbal{1}/VR" advise="1">
        <values>
          <value>
            <val>0</val>
          </value>
        </values>
      </ddeItem>
      <ddeItem name="acct[30-01983].adjbal{1}/VR" advise="1">
        <values>
          <value>
            <val>247700</val>
          </value>
        </values>
      </ddeItem>
      <ddeItem name="acct[30-01991].adjbal{1}/VR" advise="1">
        <values>
          <value>
            <val>0</val>
          </value>
        </values>
      </ddeItem>
      <ddeItem name="acct[30-01993].adjbal{1}/VR" advise="1">
        <values>
          <value>
            <val>0</val>
          </value>
        </values>
      </ddeItem>
      <ddeItem name="acct[30-01999].adjbal{1}/VR" advise="1">
        <values>
          <value>
            <val>0</val>
          </value>
        </values>
      </ddeItem>
      <ddeItem name="acct[30-03001].adjbal{1}/VR" advise="1">
        <values>
          <value>
            <val>0</val>
          </value>
        </values>
      </ddeItem>
      <ddeItem name="acct[30-03002].adjbal{1}/VR" advise="1">
        <values>
          <value>
            <val>0</val>
          </value>
        </values>
      </ddeItem>
      <ddeItem name="acct[30-03005].adjbal{1}/VR" advise="1">
        <values>
          <value>
            <val>0</val>
          </value>
        </values>
      </ddeItem>
      <ddeItem name="acct[30-03099].adjbal{1}/VR" advise="1">
        <values>
          <value>
            <val>0</val>
          </value>
        </values>
      </ddeItem>
      <ddeItem name="acct[30-03410].adjbal{1}/VR" advise="1">
        <values>
          <value>
            <val>0</val>
          </value>
        </values>
      </ddeItem>
      <ddeItem name="acct[30-03499].adjbal{1}/VR" advise="1">
        <values>
          <value>
            <val>0</val>
          </value>
        </values>
      </ddeItem>
      <ddeItem name="acct[30-03775].adjbal{1}/VR" advise="1">
        <values>
          <value>
            <val>0</val>
          </value>
        </values>
      </ddeItem>
      <ddeItem name="acct[30-03780].adjbal{1}/VR" advise="1">
        <values>
          <value>
            <val>0</val>
          </value>
        </values>
      </ddeItem>
      <ddeItem name="acct[30-03999].adjbal{1}/VR" advise="1">
        <values>
          <value>
            <val>0</val>
          </value>
        </values>
      </ddeItem>
      <ddeItem name="acct[30-04001].adjbal{1}/VR" advise="1">
        <values>
          <value>
            <val>0</val>
          </value>
        </values>
      </ddeItem>
      <ddeItem name="acct[30-04009].adjbal{1}/VR" advise="1">
        <values>
          <value>
            <val>0</val>
          </value>
        </values>
      </ddeItem>
      <ddeItem name="acct[30-04850].adjbal{1}/VR" advise="1">
        <values>
          <value>
            <val>0</val>
          </value>
        </values>
      </ddeItem>
      <ddeItem name="acct[30-04852].adjbal{1}/VR" advise="1">
        <values>
          <value>
            <val>0</val>
          </value>
        </values>
      </ddeItem>
      <ddeItem name="acct[30-04853].adjbal{1}/VR" advise="1">
        <values>
          <value>
            <val>0</val>
          </value>
        </values>
      </ddeItem>
      <ddeItem name="acct[30-04854].adjbal{1}/VR" advise="1">
        <values>
          <value>
            <val>0</val>
          </value>
        </values>
      </ddeItem>
      <ddeItem name="acct[30-04855].adjbal{1}/VR" advise="1">
        <values>
          <value>
            <val>0</val>
          </value>
        </values>
      </ddeItem>
      <ddeItem name="acct[30-04856].adjbal{1}/VR" advise="1">
        <values>
          <value>
            <val>0</val>
          </value>
        </values>
      </ddeItem>
      <ddeItem name="acct[30-04857].adjbal{1}/VR" advise="1">
        <values>
          <value>
            <val>0</val>
          </value>
        </values>
      </ddeItem>
      <ddeItem name="acct[30-04860].adjbal{1}/VR" advise="1">
        <values>
          <value>
            <val>0</val>
          </value>
        </values>
      </ddeItem>
      <ddeItem name="acct[30-04861].adjbal{1}/VR" advise="1">
        <values>
          <value>
            <val>0</val>
          </value>
        </values>
      </ddeItem>
      <ddeItem name="acct[30-04864].adjbal{1}/VR" advise="1">
        <values>
          <value>
            <val>0</val>
          </value>
        </values>
      </ddeItem>
      <ddeItem name="acct[30-04865].adjbal{1}/VR" advise="1">
        <values>
          <value>
            <val>0</val>
          </value>
        </values>
      </ddeItem>
      <ddeItem name="acct[30-04866].adjbal{1}/VR" advise="1">
        <values>
          <value>
            <val>0</val>
          </value>
        </values>
      </ddeItem>
      <ddeItem name="acct[30-04867].adjbal{1}/VR" advise="1">
        <values>
          <value>
            <val>0</val>
          </value>
        </values>
      </ddeItem>
      <ddeItem name="acct[30-04868].adjbal{1}/VR" advise="1">
        <values>
          <value>
            <val>0</val>
          </value>
        </values>
      </ddeItem>
      <ddeItem name="acct[30-04869].adjbal{1}/VR" advise="1">
        <values>
          <value>
            <val>0</val>
          </value>
        </values>
      </ddeItem>
      <ddeItem name="acct[30-04870].adjbal{1}/VR" advise="1">
        <values>
          <value>
            <val>0</val>
          </value>
        </values>
      </ddeItem>
      <ddeItem name="acct[30-04871].adjbal{1}/VR" advise="1">
        <values>
          <value>
            <val>0</val>
          </value>
        </values>
      </ddeItem>
      <ddeItem name="acct[30-04872].adjbal{1}/VR" advise="1">
        <values>
          <value>
            <val>0</val>
          </value>
        </values>
      </ddeItem>
      <ddeItem name="acct[30-04873].adjbal{1}/VR" advise="1">
        <values>
          <value>
            <val>0</val>
          </value>
        </values>
      </ddeItem>
      <ddeItem name="acct[30-04874].adjbal{1}/VR" advise="1">
        <values>
          <value>
            <val>0</val>
          </value>
        </values>
      </ddeItem>
      <ddeItem name="acct[30-04875].adjbal{1}/VR" advise="1">
        <values>
          <value>
            <val>0</val>
          </value>
        </values>
      </ddeItem>
      <ddeItem name="acct[30-04876].adjbal{1}/VR" advise="1">
        <values>
          <value>
            <val>0</val>
          </value>
        </values>
      </ddeItem>
      <ddeItem name="acct[30-04877].adjbal{1}/VR" advise="1">
        <values>
          <value>
            <val>0</val>
          </value>
        </values>
      </ddeItem>
      <ddeItem name="acct[30-04878].adjbal{1}/VR" advise="1">
        <values>
          <value>
            <val>0</val>
          </value>
        </values>
      </ddeItem>
      <ddeItem name="acct[30-04879].adjbal{1}/VR" advise="1">
        <values>
          <value>
            <val>0</val>
          </value>
        </values>
      </ddeItem>
      <ddeItem name="acct[30-04880].adjbal{1}/VR" advise="1">
        <values>
          <value>
            <val>0</val>
          </value>
        </values>
      </ddeItem>
      <ddeItem name="acct[30-07110].adjbal{1}/VR" advise="1">
        <values>
          <value>
            <val>0</val>
          </value>
        </values>
      </ddeItem>
      <ddeItem name="acct[30-07120].adjbal{1}/VR" advise="1">
        <values>
          <value>
            <val>0</val>
          </value>
        </values>
      </ddeItem>
      <ddeItem name="acct[30-07140].adjbal{1}/VR" advise="1">
        <values>
          <value>
            <val>0</val>
          </value>
        </values>
      </ddeItem>
      <ddeItem name="acct[30-07170].adjbal{1}/VR" advise="1">
        <values>
          <value>
            <val>0</val>
          </value>
        </values>
      </ddeItem>
      <ddeItem name="acct[30-07210].adjbal{1}/VR" advise="1">
        <values>
          <value>
            <val>0</val>
          </value>
        </values>
      </ddeItem>
      <ddeItem name="acct[30-07220].adjbal{1}/VR" advise="1">
        <values>
          <value>
            <val>0</val>
          </value>
        </values>
      </ddeItem>
      <ddeItem name="acct[30-07230].adjbal{1}/VR" advise="1">
        <values>
          <value>
            <val>0</val>
          </value>
        </values>
      </ddeItem>
      <ddeItem name="acct[30-07300].adjbal{1}/VR" advise="1">
        <values>
          <value>
            <val>0</val>
          </value>
        </values>
      </ddeItem>
      <ddeItem name="acct[30-07900].adjbal{1}/VR" advise="1">
        <values>
          <value>
            <val>0</val>
          </value>
        </values>
      </ddeItem>
      <ddeItem name="acct[30-07990].adjbal{1}/VR" advise="1">
        <values>
          <value>
            <val>0</val>
          </value>
        </values>
      </ddeItem>
      <ddeItem name="acct[30-08140].adjbal{1}" advise="1">
        <values>
          <value>
            <val>0</val>
          </value>
        </values>
      </ddeItem>
      <ddeItem name="acct[30-08990].adjbal{1}" advise="1">
        <values>
          <value>
            <val>0</val>
          </value>
        </values>
      </ddeItem>
      <ddeItem name="acct[30-40006].adjbal{1}" advise="1">
        <values>
          <value>
            <val>0</val>
          </value>
        </values>
      </ddeItem>
      <ddeItem name="acct[30-41106].adjbal{1}" advise="1">
        <values>
          <value t="str">
            <val xml:space="preserve"> </val>
          </value>
        </values>
      </ddeItem>
      <ddeItem name="acct[30-41206].adjbal{1}" advise="1">
        <values>
          <value t="str">
            <val xml:space="preserve"> </val>
          </value>
        </values>
      </ddeItem>
      <ddeItem name="acct[30-51106].adjbal{1}" advise="1">
        <values>
          <value>
            <val>0</val>
          </value>
        </values>
      </ddeItem>
      <ddeItem name="acct[30-51206].adjbal{1}" advise="1">
        <values>
          <value>
            <val>0</val>
          </value>
        </values>
      </ddeItem>
      <ddeItem name="acct[30-51306].adjbal{1}" advise="1">
        <values>
          <value>
            <val>0</val>
          </value>
        </values>
      </ddeItem>
      <ddeItem name="acct[30-51406].adjbal{1}" advise="1">
        <values>
          <value>
            <val>0</val>
          </value>
        </values>
      </ddeItem>
      <ddeItem name="acct[30-51506].adjbal{1}" advise="1">
        <values>
          <value>
            <val>0</val>
          </value>
        </values>
      </ddeItem>
      <ddeItem name="acct[30-52006].adjbal{1}" advise="1">
        <values>
          <value>
            <val>184303</val>
          </value>
        </values>
      </ddeItem>
      <ddeItem name="acct[30-53006].adjbal{1}" advise="1">
        <values>
          <value>
            <val>479868</val>
          </value>
        </values>
      </ddeItem>
      <ddeItem name="acct[30-54003].adjbal{1}" advise="1">
        <values>
          <value>
            <val>0</val>
          </value>
        </values>
      </ddeItem>
      <ddeItem name="acct[30-54006].adjbal{1}" advise="1">
        <values>
          <value>
            <val>1818</val>
          </value>
        </values>
      </ddeItem>
      <ddeItem name="acct[40-00101].adjbal{1}" advise="1">
        <values>
          <value>
            <val>180693</val>
          </value>
        </values>
      </ddeItem>
      <ddeItem name="acct[40-00120].adjbal{1}" advise="1">
        <values>
          <value>
            <val>0</val>
          </value>
        </values>
      </ddeItem>
      <ddeItem name="acct[40-00130].adjbal{1}" advise="1">
        <values>
          <value>
            <val>0</val>
          </value>
        </values>
      </ddeItem>
      <ddeItem name="acct[40-00140].adjbal{1}" advise="1">
        <values>
          <value>
            <val>0</val>
          </value>
        </values>
      </ddeItem>
      <ddeItem name="acct[40-00150].adjbal{1}" advise="1">
        <values>
          <value>
            <val>0</val>
          </value>
        </values>
      </ddeItem>
      <ddeItem name="acct[40-00160].adjbal{1}" advise="1">
        <values>
          <value>
            <val>0</val>
          </value>
        </values>
      </ddeItem>
      <ddeItem name="acct[40-00170].adjbal{1}" advise="1">
        <values>
          <value>
            <val>0</val>
          </value>
        </values>
      </ddeItem>
      <ddeItem name="acct[40-00180].adjbal{1}" advise="1">
        <values>
          <value>
            <val>0</val>
          </value>
        </values>
      </ddeItem>
      <ddeItem name="acct[40-00190].adjbal{1}" advise="1">
        <values>
          <value>
            <val>0</val>
          </value>
        </values>
      </ddeItem>
      <ddeItem name="acct[40-00410].adjbal{1}/VR" advise="1">
        <values>
          <value>
            <val>325000</val>
          </value>
        </values>
      </ddeItem>
      <ddeItem name="acct[40-00420].adjbal{1}/VR" advise="1">
        <values>
          <value>
            <val>0</val>
          </value>
        </values>
      </ddeItem>
      <ddeItem name="acct[40-00430].adjbal{1}/VR" advise="1">
        <values>
          <value>
            <val>0</val>
          </value>
        </values>
      </ddeItem>
      <ddeItem name="acct[40-00440].adjbal{1}/VR" advise="1">
        <values>
          <value>
            <val>0</val>
          </value>
        </values>
      </ddeItem>
      <ddeItem name="acct[40-00460].adjbal{1}/VR" advise="1">
        <values>
          <value>
            <val>0</val>
          </value>
        </values>
      </ddeItem>
      <ddeItem name="acct[40-00470].adjbal{1}/VR" advise="1">
        <values>
          <value>
            <val>0</val>
          </value>
        </values>
      </ddeItem>
      <ddeItem name="acct[40-00480].adjbal{1}/VR" advise="1">
        <values>
          <value>
            <val>0</val>
          </value>
        </values>
      </ddeItem>
      <ddeItem name="acct[40-00490].adjbal{1}/VR" advise="1">
        <values>
          <value>
            <val>0</val>
          </value>
        </values>
      </ddeItem>
      <ddeItem name="acct[40-00493].adjbal{1}/VR" advise="1">
        <values>
          <value>
            <val>0</val>
          </value>
        </values>
      </ddeItem>
      <ddeItem name="acct[40-01110].adjbal{1}/VR" advise="1">
        <values>
          <value>
            <val>410546</val>
          </value>
        </values>
      </ddeItem>
      <ddeItem name="acct[40-01120].adjbal{1}/VR" advise="1">
        <values>
          <value>
            <val>0</val>
          </value>
        </values>
      </ddeItem>
      <ddeItem name="acct[40-01140].adjbal{1}/VR" advise="1">
        <values>
          <value>
            <val>0</val>
          </value>
        </values>
      </ddeItem>
      <ddeItem name="acct[40-01190].adjbal{1}/VR" advise="1">
        <values>
          <value>
            <val>0</val>
          </value>
        </values>
      </ddeItem>
      <ddeItem name="acct[40-01210].adjbal{1}/VR" advise="1">
        <values>
          <value>
            <val>0</val>
          </value>
        </values>
      </ddeItem>
      <ddeItem name="acct[40-01220].adjbal{1}/VR" advise="1">
        <values>
          <value>
            <val>0</val>
          </value>
        </values>
      </ddeItem>
      <ddeItem name="acct[40-01230].adjbal{1}/VR" advise="1">
        <values>
          <value>
            <val>0</val>
          </value>
        </values>
      </ddeItem>
      <ddeItem name="acct[40-01290].adjbal{1}/VR" advise="1">
        <values>
          <value>
            <val>0</val>
          </value>
        </values>
      </ddeItem>
      <ddeItem name="acct[40-01411].adjbal{1}/VR" advise="1">
        <values>
          <value>
            <val>0</val>
          </value>
        </values>
      </ddeItem>
      <ddeItem name="acct[40-01412].adjbal{1}/VR" advise="1">
        <values>
          <value>
            <val>0</val>
          </value>
        </values>
      </ddeItem>
      <ddeItem name="acct[40-01413].adjbal{1}/VR" advise="1">
        <values>
          <value>
            <val>0</val>
          </value>
        </values>
      </ddeItem>
      <ddeItem name="acct[40-01415].adjbal{1}/VR" advise="1">
        <values>
          <value>
            <val>0</val>
          </value>
        </values>
      </ddeItem>
      <ddeItem name="acct[40-01416].adjbal{1}/VR" advise="1">
        <values>
          <value>
            <val>0</val>
          </value>
        </values>
      </ddeItem>
      <ddeItem name="acct[40-01421].adjbal{1}/VR" advise="1">
        <values>
          <value>
            <val>0</val>
          </value>
        </values>
      </ddeItem>
      <ddeItem name="acct[40-01422].adjbal{1}/VR" advise="1">
        <values>
          <value>
            <val>0</val>
          </value>
        </values>
      </ddeItem>
      <ddeItem name="acct[40-01423].adjbal{1}/VR" advise="1">
        <values>
          <value>
            <val>0</val>
          </value>
        </values>
      </ddeItem>
      <ddeItem name="acct[40-01424].adjbal{1}/VR" advise="1">
        <values>
          <value>
            <val>0</val>
          </value>
        </values>
      </ddeItem>
      <ddeItem name="acct[40-01431].adjbal{1}/VR" advise="1">
        <values>
          <value>
            <val>0</val>
          </value>
        </values>
      </ddeItem>
      <ddeItem name="acct[40-01432].adjbal{1}/VR" advise="1">
        <values>
          <value>
            <val>0</val>
          </value>
        </values>
      </ddeItem>
      <ddeItem name="acct[40-01433].adjbal{1}/VR" advise="1">
        <values>
          <value>
            <val>0</val>
          </value>
        </values>
      </ddeItem>
      <ddeItem name="acct[40-01434].adjbal{1}/VR" advise="1">
        <values>
          <value>
            <val>0</val>
          </value>
        </values>
      </ddeItem>
      <ddeItem name="acct[40-01441].adjbal{1}/VR" advise="1">
        <values>
          <value>
            <val>0</val>
          </value>
        </values>
      </ddeItem>
      <ddeItem name="acct[40-01442].adjbal{1}/VR" advise="1">
        <values>
          <value>
            <val>0</val>
          </value>
        </values>
      </ddeItem>
      <ddeItem name="acct[40-01443].adjbal{1}/VR" advise="1">
        <values>
          <value>
            <val>0</val>
          </value>
        </values>
      </ddeItem>
      <ddeItem name="acct[40-01444].adjbal{1}/VR" advise="1">
        <values>
          <value>
            <val>0</val>
          </value>
        </values>
      </ddeItem>
      <ddeItem name="acct[40-01451].adjbal{1}/VR" advise="1">
        <values>
          <value>
            <val>0</val>
          </value>
        </values>
      </ddeItem>
      <ddeItem name="acct[40-01452].adjbal{1}/VR" advise="1">
        <values>
          <value>
            <val>0</val>
          </value>
        </values>
      </ddeItem>
      <ddeItem name="acct[40-01453].adjbal{1}/VR" advise="1">
        <values>
          <value>
            <val>0</val>
          </value>
        </values>
      </ddeItem>
      <ddeItem name="acct[40-01454].adjbal{1}/VR" advise="1">
        <values>
          <value>
            <val>0</val>
          </value>
        </values>
      </ddeItem>
      <ddeItem name="acct[40-01510].adjbal{1}/VR" advise="1">
        <values>
          <value>
            <val>216</val>
          </value>
        </values>
      </ddeItem>
      <ddeItem name="acct[40-01520].adjbal{1}/VR" advise="1">
        <values>
          <value>
            <val>0</val>
          </value>
        </values>
      </ddeItem>
      <ddeItem name="acct[40-01920].adjbal{1}/VR" advise="1">
        <values>
          <value>
            <val>0</val>
          </value>
        </values>
      </ddeItem>
      <ddeItem name="acct[40-01930].adjbal{1}/VR" advise="1">
        <values>
          <value>
            <val>0</val>
          </value>
        </values>
      </ddeItem>
      <ddeItem name="acct[40-01940].adjbal{1}/VR" advise="1">
        <values>
          <value>
            <val>0</val>
          </value>
        </values>
      </ddeItem>
      <ddeItem name="acct[40-01950].adjbal{1}/VR" advise="1">
        <values>
          <value>
            <val>0</val>
          </value>
        </values>
      </ddeItem>
      <ddeItem name="acct[40-01960].adjbal{1}/VR" advise="1">
        <values>
          <value>
            <val>0</val>
          </value>
        </values>
      </ddeItem>
      <ddeItem name="acct[40-01980].adjbal{1}/VR" advise="1">
        <values>
          <value>
            <val>0</val>
          </value>
        </values>
      </ddeItem>
      <ddeItem name="acct[40-01991].adjbal{1}/VR" advise="1">
        <values>
          <value>
            <val>0</val>
          </value>
        </values>
      </ddeItem>
      <ddeItem name="acct[40-01993].adjbal{1}/VR" advise="1">
        <values>
          <value>
            <val>0</val>
          </value>
        </values>
      </ddeItem>
      <ddeItem name="acct[40-01999].adjbal{1}/VR" advise="1">
        <values>
          <value>
            <val>300</val>
          </value>
        </values>
      </ddeItem>
      <ddeItem name="acct[40-02100].adjbal{1}/VR" advise="1">
        <values>
          <value>
            <val>0</val>
          </value>
        </values>
      </ddeItem>
      <ddeItem name="acct[40-02200].adjbal{1}/VR" advise="1">
        <values>
          <value>
            <val>0</val>
          </value>
        </values>
      </ddeItem>
      <ddeItem name="acct[40-02300].adjbal{1}/VR" advise="1">
        <values>
          <value>
            <val>0</val>
          </value>
        </values>
      </ddeItem>
      <ddeItem name="acct[40-03001].adjbal{1}/VR" advise="1">
        <values>
          <value>
            <val>0</val>
          </value>
        </values>
      </ddeItem>
      <ddeItem name="acct[40-03002].adjbal{1}/VR" advise="1">
        <values>
          <value>
            <val>0</val>
          </value>
        </values>
      </ddeItem>
      <ddeItem name="acct[40-03005].adjbal{1}/VR" advise="1">
        <values>
          <value>
            <val>0</val>
          </value>
        </values>
      </ddeItem>
      <ddeItem name="acct[40-03099].adjbal{1}/VR" advise="1">
        <values>
          <value>
            <val>0</val>
          </value>
        </values>
      </ddeItem>
      <ddeItem name="acct[40-03100].adjbal{1}/VR" advise="1">
        <values>
          <value>
            <val>0</val>
          </value>
        </values>
      </ddeItem>
      <ddeItem name="acct[40-03105].adjbal{1}/VR" advise="1">
        <values>
          <value>
            <val>0</val>
          </value>
        </values>
      </ddeItem>
      <ddeItem name="acct[40-03110].adjbal{1}/VR" advise="1">
        <values>
          <value>
            <val>0</val>
          </value>
        </values>
      </ddeItem>
      <ddeItem name="acct[40-03120].adjbal{1}/VR" advise="1">
        <values>
          <value>
            <val>0</val>
          </value>
        </values>
      </ddeItem>
      <ddeItem name="acct[40-03130].adjbal{1}/VR" advise="1">
        <values>
          <value>
            <val>0</val>
          </value>
        </values>
      </ddeItem>
      <ddeItem name="acct[40-03145].adjbal{1}/VR" advise="1">
        <values>
          <value>
            <val>0</val>
          </value>
        </values>
      </ddeItem>
      <ddeItem name="acct[40-03199].adjbal{1}/VR" advise="1">
        <values>
          <value>
            <val>0</val>
          </value>
        </values>
      </ddeItem>
      <ddeItem name="acct[40-03410].adjbal{1}/VR" advise="1">
        <values>
          <value>
            <val>0</val>
          </value>
        </values>
      </ddeItem>
      <ddeItem name="acct[40-03499].adjbal{1}/VR" advise="1">
        <values>
          <value>
            <val>0</val>
          </value>
        </values>
      </ddeItem>
      <ddeItem name="acct[40-03500].adjbal{1}/VR" advise="1">
        <values>
          <value>
            <val>359610</val>
          </value>
        </values>
      </ddeItem>
      <ddeItem name="acct[40-03510].adjbal{1}/VR" advise="1">
        <values>
          <value>
            <val>250769</val>
          </value>
        </values>
      </ddeItem>
      <ddeItem name="acct[40-03599].adjbal{1}/VR" advise="1">
        <values>
          <value>
            <val>0</val>
          </value>
        </values>
      </ddeItem>
      <ddeItem name="acct[40-03660].adjbal{1}/VR" advise="1">
        <values>
          <value>
            <val>0</val>
          </value>
        </values>
      </ddeItem>
      <ddeItem name="acct[40-03695].adjbal{1}/VR" advise="1">
        <values>
          <value>
            <val>0</val>
          </value>
        </values>
      </ddeItem>
      <ddeItem name="acct[40-03705].adjbal{1}/VR" advise="1">
        <values>
          <value>
            <val>58482</val>
          </value>
        </values>
      </ddeItem>
      <ddeItem name="acct[40-03715].adjbal{1}/VR" advise="1">
        <values>
          <value>
            <val>0</val>
          </value>
        </values>
      </ddeItem>
      <ddeItem name="acct[40-03720].adjbal{1}/VR" advise="1">
        <values>
          <value>
            <val>0</val>
          </value>
        </values>
      </ddeItem>
      <ddeItem name="acct[40-03725].adjbal{1}/VR" advise="1">
        <values>
          <value>
            <val>0</val>
          </value>
        </values>
      </ddeItem>
      <ddeItem name="acct[40-03726].adjbal{1}/VR" advise="1">
        <values>
          <value>
            <val>0</val>
          </value>
        </values>
      </ddeItem>
      <ddeItem name="acct[40-03766].adjbal{1}/VR" advise="1">
        <values>
          <value>
            <val>0</val>
          </value>
        </values>
      </ddeItem>
      <ddeItem name="acct[40-03767].adjbal{1}/VR" advise="1">
        <values>
          <value>
            <val>0</val>
          </value>
        </values>
      </ddeItem>
      <ddeItem name="acct[40-03775].adjbal{1}/VR" advise="1">
        <values>
          <value>
            <val>0</val>
          </value>
        </values>
      </ddeItem>
      <ddeItem name="acct[40-03780].adjbal{1}/VR" advise="1">
        <values>
          <value>
            <val>0</val>
          </value>
        </values>
      </ddeItem>
      <ddeItem name="acct[40-03815].adjbal{1}/VR" advise="1">
        <values>
          <value>
            <val>0</val>
          </value>
        </values>
      </ddeItem>
      <ddeItem name="acct[40-03825].adjbal{1}/VR" advise="1">
        <values>
          <value>
            <val>0</val>
          </value>
        </values>
      </ddeItem>
      <ddeItem name="acct[40-03999].adjbal{1}/VR" advise="1">
        <values>
          <value>
            <val>0</val>
          </value>
        </values>
      </ddeItem>
      <ddeItem name="acct[40-04001].adjbal{1}/VR" advise="1">
        <values>
          <value>
            <val>0</val>
          </value>
        </values>
      </ddeItem>
      <ddeItem name="acct[40-04009].adjbal{1}/VR" advise="1">
        <values>
          <value>
            <val>0</val>
          </value>
        </values>
      </ddeItem>
      <ddeItem name="acct[40-04060].adjbal{1}/VR" advise="1">
        <values>
          <value>
            <val>0</val>
          </value>
        </values>
      </ddeItem>
      <ddeItem name="acct[40-04090].adjbal{1}/VR" advise="1">
        <values>
          <value>
            <val>0</val>
          </value>
        </values>
      </ddeItem>
      <ddeItem name="acct[40-04100].adjbal{1}/VR" advise="1">
        <values>
          <value>
            <val>0</val>
          </value>
        </values>
      </ddeItem>
      <ddeItem name="acct[40-04105].adjbal{1}/VR" advise="1">
        <values>
          <value>
            <val>0</val>
          </value>
        </values>
      </ddeItem>
      <ddeItem name="acct[40-04107].adjbal{1}/VR" advise="1">
        <values>
          <value>
            <val>0</val>
          </value>
        </values>
      </ddeItem>
      <ddeItem name="acct[40-04199].adjbal{1}/VR" advise="1">
        <values>
          <value>
            <val>0</val>
          </value>
        </values>
      </ddeItem>
      <ddeItem name="acct[40-04300].adjbal{1}/VR" advise="1">
        <values>
          <value>
            <val>0</val>
          </value>
        </values>
      </ddeItem>
      <ddeItem name="acct[40-04305].adjbal{1}/VR" advise="1">
        <values>
          <value>
            <val>0</val>
          </value>
        </values>
      </ddeItem>
      <ddeItem name="acct[40-04332].adjbal{1}/VR" advise="1">
        <values>
          <value>
            <val>0</val>
          </value>
        </values>
      </ddeItem>
      <ddeItem name="acct[40-04334].adjbal{1}/VR" advise="1">
        <values>
          <value>
            <val>0</val>
          </value>
        </values>
      </ddeItem>
      <ddeItem name="acct[40-04335].adjbal{1}/VR" advise="1">
        <values>
          <value>
            <val>0</val>
          </value>
        </values>
      </ddeItem>
      <ddeItem name="acct[40-04337].adjbal{1}/VR" advise="1">
        <values>
          <value>
            <val>0</val>
          </value>
        </values>
      </ddeItem>
      <ddeItem name="acct[40-04340].adjbal{1}/VR" advise="1">
        <values>
          <value>
            <val>0</val>
          </value>
        </values>
      </ddeItem>
      <ddeItem name="acct[40-04399].adjbal{1}/VR" advise="1">
        <values>
          <value>
            <val>0</val>
          </value>
        </values>
      </ddeItem>
      <ddeItem name="acct[40-04400].adjbal{1}/VR" advise="1">
        <values>
          <value>
            <val>0</val>
          </value>
        </values>
      </ddeItem>
      <ddeItem name="acct[40-04421].adjbal{1}/VR" advise="1">
        <values>
          <value>
            <val>0</val>
          </value>
        </values>
      </ddeItem>
      <ddeItem name="acct[40-04499].adjbal{1}/VR" advise="1">
        <values>
          <value>
            <val>0</val>
          </value>
        </values>
      </ddeItem>
      <ddeItem name="acct[40-04600].adjbal{1}/VR" advise="1">
        <values>
          <value>
            <val>0</val>
          </value>
        </values>
      </ddeItem>
      <ddeItem name="acct[40-04605].adjbal{1}/VR" advise="1">
        <values>
          <value>
            <val>0</val>
          </value>
        </values>
      </ddeItem>
      <ddeItem name="acct[40-04620].adjbal{1}/VR" advise="1">
        <values>
          <value>
            <val>0</val>
          </value>
        </values>
      </ddeItem>
      <ddeItem name="acct[40-04625].adjbal{1}/VR" advise="1">
        <values>
          <value>
            <val>0</val>
          </value>
        </values>
      </ddeItem>
      <ddeItem name="acct[40-04630].adjbal{1}/VR" advise="1">
        <values>
          <value>
            <val>0</val>
          </value>
        </values>
      </ddeItem>
      <ddeItem name="acct[40-04699].adjbal{1}/VR" advise="1">
        <values>
          <value>
            <val>0</val>
          </value>
        </values>
      </ddeItem>
      <ddeItem name="acct[40-04850].adjbal{1}/VR" advise="1">
        <values>
          <value>
            <val>0</val>
          </value>
        </values>
      </ddeItem>
      <ddeItem name="acct[40-04851].adjbal{1}/VR" advise="1">
        <values>
          <value>
            <val>0</val>
          </value>
        </values>
      </ddeItem>
      <ddeItem name="acct[40-04852].adjbal{1}/VR" advise="1">
        <values>
          <value>
            <val>0</val>
          </value>
        </values>
      </ddeItem>
      <ddeItem name="acct[40-04853].adjbal{1}/VR" advise="1">
        <values>
          <value>
            <val>0</val>
          </value>
        </values>
      </ddeItem>
      <ddeItem name="acct[40-04854].adjbal{1}/VR" advise="1">
        <values>
          <value>
            <val>0</val>
          </value>
        </values>
      </ddeItem>
      <ddeItem name="acct[40-04855].adjbal{1}/VR" advise="1">
        <values>
          <value>
            <val>0</val>
          </value>
        </values>
      </ddeItem>
      <ddeItem name="acct[40-04856].adjbal{1}/VR" advise="1">
        <values>
          <value>
            <val>0</val>
          </value>
        </values>
      </ddeItem>
      <ddeItem name="acct[40-04857].adjbal{1}/VR" advise="1">
        <values>
          <value>
            <val>0</val>
          </value>
        </values>
      </ddeItem>
      <ddeItem name="acct[40-04860].adjbal{1}/VR" advise="1">
        <values>
          <value>
            <val>0</val>
          </value>
        </values>
      </ddeItem>
      <ddeItem name="acct[40-04861].adjbal{1}/VR" advise="1">
        <values>
          <value>
            <val>0</val>
          </value>
        </values>
      </ddeItem>
      <ddeItem name="acct[40-04862].adjbal{1}/VR" advise="1">
        <values>
          <value>
            <val>0</val>
          </value>
        </values>
      </ddeItem>
      <ddeItem name="acct[40-04864].adjbal{1}/VR" advise="1">
        <values>
          <value>
            <val>0</val>
          </value>
        </values>
      </ddeItem>
      <ddeItem name="acct[40-04865].adjbal{1}/VR" advise="1">
        <values>
          <value>
            <val>0</val>
          </value>
        </values>
      </ddeItem>
      <ddeItem name="acct[40-04866].adjbal{1}/VR" advise="1">
        <values>
          <value>
            <val>0</val>
          </value>
        </values>
      </ddeItem>
      <ddeItem name="acct[40-04867].adjbal{1}/VR" advise="1">
        <values>
          <value>
            <val>0</val>
          </value>
        </values>
      </ddeItem>
      <ddeItem name="acct[40-04868].adjbal{1}/VR" advise="1">
        <values>
          <value>
            <val>0</val>
          </value>
        </values>
      </ddeItem>
      <ddeItem name="acct[40-04869].adjbal{1}/VR" advise="1">
        <values>
          <value>
            <val>0</val>
          </value>
        </values>
      </ddeItem>
      <ddeItem name="acct[40-04870].adjbal{1}/VR" advise="1">
        <values>
          <value>
            <val>0</val>
          </value>
        </values>
      </ddeItem>
      <ddeItem name="acct[40-04871].adjbal{1}/VR" advise="1">
        <values>
          <value>
            <val>0</val>
          </value>
        </values>
      </ddeItem>
      <ddeItem name="acct[40-04872].adjbal{1}/VR" advise="1">
        <values>
          <value>
            <val>0</val>
          </value>
        </values>
      </ddeItem>
      <ddeItem name="acct[40-04873].adjbal{1}/VR" advise="1">
        <values>
          <value>
            <val>0</val>
          </value>
        </values>
      </ddeItem>
      <ddeItem name="acct[40-04874].adjbal{1}/VR" advise="1">
        <values>
          <value>
            <val>0</val>
          </value>
        </values>
      </ddeItem>
      <ddeItem name="acct[40-04875].adjbal{1}/VR" advise="1">
        <values>
          <value>
            <val>0</val>
          </value>
        </values>
      </ddeItem>
      <ddeItem name="acct[40-04876].adjbal{1}/VR" advise="1">
        <values>
          <value>
            <val>0</val>
          </value>
        </values>
      </ddeItem>
      <ddeItem name="acct[40-04877].adjbal{1}/VR" advise="1">
        <values>
          <value>
            <val>0</val>
          </value>
        </values>
      </ddeItem>
      <ddeItem name="acct[40-04878].adjbal{1}/VR" advise="1">
        <values>
          <value>
            <val>0</val>
          </value>
        </values>
      </ddeItem>
      <ddeItem name="acct[40-04879].adjbal{1}/VR" advise="1">
        <values>
          <value>
            <val>0</val>
          </value>
        </values>
      </ddeItem>
      <ddeItem name="acct[40-04880].adjbal{1}/VR" advise="1">
        <values>
          <value>
            <val>0</val>
          </value>
        </values>
      </ddeItem>
      <ddeItem name="acct[40-04902].adjbal{1}/VR" advise="1">
        <values>
          <value t="str">
            <val xml:space="preserve"> </val>
          </value>
        </values>
      </ddeItem>
      <ddeItem name="acct[40-04905].adjbal{1}/VR" advise="1">
        <values>
          <value>
            <val>0</val>
          </value>
        </values>
      </ddeItem>
      <ddeItem name="acct[40-04909].adjbal{1}/VR" advise="1">
        <values>
          <value>
            <val>0</val>
          </value>
        </values>
      </ddeItem>
      <ddeItem name="acct[40-04910].adjbal{1}/VR" advise="1">
        <values>
          <value>
            <val>0</val>
          </value>
        </values>
      </ddeItem>
      <ddeItem name="acct[40-04920].adjbal{1}/VR" advise="1">
        <values>
          <value>
            <val>0</val>
          </value>
        </values>
      </ddeItem>
      <ddeItem name="acct[40-04930].adjbal{1}/VR" advise="1">
        <values>
          <value>
            <val>0</val>
          </value>
        </values>
      </ddeItem>
      <ddeItem name="acct[40-04932].adjbal{1}/VR" advise="1">
        <values>
          <value>
            <val>0</val>
          </value>
        </values>
      </ddeItem>
      <ddeItem name="acct[40-04960].adjbal{1}/VR" advise="1">
        <values>
          <value>
            <val>0</val>
          </value>
        </values>
      </ddeItem>
      <ddeItem name="acct[40-04991].adjbal{1}/VR" advise="1">
        <values>
          <value>
            <val>0</val>
          </value>
        </values>
      </ddeItem>
      <ddeItem name="acct[40-04992].adjbal{1}/VR" advise="1">
        <values>
          <value>
            <val>0</val>
          </value>
        </values>
      </ddeItem>
      <ddeItem name="acct[40-04999].adjbal{1}/VR" advise="1">
        <values>
          <value>
            <val>0</val>
          </value>
        </values>
      </ddeItem>
      <ddeItem name="acct[40-07110].adjbal{1}/VR" advise="1">
        <values>
          <value>
            <val>53000</val>
          </value>
        </values>
      </ddeItem>
      <ddeItem name="acct[40-07120].adjbal{1}/VR" advise="1">
        <values>
          <value>
            <val>0</val>
          </value>
        </values>
      </ddeItem>
      <ddeItem name="acct[40-07130].adjbal{1}/VR" advise="1">
        <values>
          <value>
            <val>0</val>
          </value>
        </values>
      </ddeItem>
      <ddeItem name="acct[40-07140].adjbal{1}/VR" advise="1">
        <values>
          <value>
            <val>0</val>
          </value>
        </values>
      </ddeItem>
      <ddeItem name="acct[40-07210].adjbal{1}/VR" advise="1">
        <values>
          <value>
            <val>0</val>
          </value>
        </values>
      </ddeItem>
      <ddeItem name="acct[40-07220].adjbal{1}/VR" advise="1">
        <values>
          <value>
            <val>0</val>
          </value>
        </values>
      </ddeItem>
      <ddeItem name="acct[40-07230].adjbal{1}/VR" advise="1">
        <values>
          <value>
            <val>0</val>
          </value>
        </values>
      </ddeItem>
      <ddeItem name="acct[40-07300].adjbal{1}/VR" advise="1">
        <values>
          <value>
            <val>0</val>
          </value>
        </values>
      </ddeItem>
      <ddeItem name="acct[40-07900].adjbal{1}/VR" advise="1">
        <values>
          <value>
            <val>0</val>
          </value>
        </values>
      </ddeItem>
      <ddeItem name="acct[40-07990].adjbal{1}/VR" advise="1">
        <values>
          <value>
            <val>0</val>
          </value>
        </values>
      </ddeItem>
      <ddeItem name="acct[40-08130].adjbal{1}" advise="1">
        <values>
          <value>
            <val>0</val>
          </value>
        </values>
      </ddeItem>
      <ddeItem name="acct[40-08140].adjbal{1}" advise="1">
        <values>
          <value>
            <val>0</val>
          </value>
        </values>
      </ddeItem>
      <ddeItem name="acct[40-08910].adjbal{1}" advise="1">
        <values>
          <value>
            <val>0</val>
          </value>
        </values>
      </ddeItem>
      <ddeItem name="acct[40-08990].adjbal{1}" advise="1">
        <values>
          <value>
            <val>0</val>
          </value>
        </values>
      </ddeItem>
      <ddeItem name="acct[40-21901].adjbal{1}" advise="1">
        <values>
          <value>
            <val>0</val>
          </value>
        </values>
      </ddeItem>
      <ddeItem name="acct[40-21902].adjbal{1}" advise="1">
        <values>
          <value>
            <val>0</val>
          </value>
        </values>
      </ddeItem>
      <ddeItem name="acct[40-21903].adjbal{1}" advise="1">
        <values>
          <value>
            <val>0</val>
          </value>
        </values>
      </ddeItem>
      <ddeItem name="acct[40-21904].adjbal{1}" advise="1">
        <values>
          <value>
            <val>0</val>
          </value>
        </values>
      </ddeItem>
      <ddeItem name="acct[40-21905].adjbal{1}" advise="1">
        <values>
          <value>
            <val>0</val>
          </value>
        </values>
      </ddeItem>
      <ddeItem name="acct[40-21906].adjbal{1}" advise="1">
        <values>
          <value>
            <val>0</val>
          </value>
        </values>
      </ddeItem>
      <ddeItem name="acct[40-21907].adjbal{1}" advise="1">
        <values>
          <value>
            <val>0</val>
          </value>
        </values>
      </ddeItem>
      <ddeItem name="acct[40-21908].adjbal{1}" advise="1">
        <values>
          <value>
            <val>0</val>
          </value>
        </values>
      </ddeItem>
      <ddeItem name="acct[40-25501].adjbal{1}" advise="1">
        <values>
          <value>
            <val>32142</val>
          </value>
        </values>
      </ddeItem>
      <ddeItem name="acct[40-25502].adjbal{1}" advise="1">
        <values>
          <value>
            <val>0</val>
          </value>
        </values>
      </ddeItem>
      <ddeItem name="acct[40-25503].adjbal{1}" advise="1">
        <values>
          <value>
            <val>886443</val>
          </value>
        </values>
      </ddeItem>
      <ddeItem name="acct[40-25504].adjbal{1}" advise="1">
        <values>
          <value>
            <val>84253</val>
          </value>
        </values>
      </ddeItem>
      <ddeItem name="acct[40-25505].adjbal{1}" advise="1">
        <values>
          <value>
            <val>52950</val>
          </value>
        </values>
      </ddeItem>
      <ddeItem name="acct[40-25506].adjbal{1}" advise="1">
        <values>
          <value>
            <val>0</val>
          </value>
        </values>
      </ddeItem>
      <ddeItem name="acct[40-25507].adjbal{1}" advise="1">
        <values>
          <value>
            <val>0</val>
          </value>
        </values>
      </ddeItem>
      <ddeItem name="acct[40-25508].adjbal{1}" advise="1">
        <values>
          <value>
            <val>0</val>
          </value>
        </values>
      </ddeItem>
      <ddeItem name="acct[40-29001].adjbal{1}" advise="1">
        <values>
          <value>
            <val>0</val>
          </value>
        </values>
      </ddeItem>
      <ddeItem name="acct[40-29002].adjbal{1}" advise="1">
        <values>
          <value>
            <val>0</val>
          </value>
        </values>
      </ddeItem>
      <ddeItem name="acct[40-29003].adjbal{1}" advise="1">
        <values>
          <value>
            <val>0</val>
          </value>
        </values>
      </ddeItem>
      <ddeItem name="acct[40-29004].adjbal{1}" advise="1">
        <values>
          <value>
            <val>0</val>
          </value>
        </values>
      </ddeItem>
      <ddeItem name="acct[40-29005].adjbal{1}" advise="1">
        <values>
          <value>
            <val>0</val>
          </value>
        </values>
      </ddeItem>
      <ddeItem name="acct[40-29006].adjbal{1}" advise="1">
        <values>
          <value>
            <val>0</val>
          </value>
        </values>
      </ddeItem>
      <ddeItem name="acct[40-29007].adjbal{1}" advise="1">
        <values>
          <value>
            <val>0</val>
          </value>
        </values>
      </ddeItem>
      <ddeItem name="acct[40-29008].adjbal{1}" advise="1">
        <values>
          <value>
            <val>0</val>
          </value>
        </values>
      </ddeItem>
      <ddeItem name="acct[40-30001].adjbal{1}" advise="1">
        <values>
          <value>
            <val>0</val>
          </value>
        </values>
      </ddeItem>
      <ddeItem name="acct[40-30002].adjbal{1}" advise="1">
        <values>
          <value>
            <val>0</val>
          </value>
        </values>
      </ddeItem>
      <ddeItem name="acct[40-30003].adjbal{1}" advise="1">
        <values>
          <value>
            <val>0</val>
          </value>
        </values>
      </ddeItem>
      <ddeItem name="acct[40-30004].adjbal{1}" advise="1">
        <values>
          <value>
            <val>0</val>
          </value>
        </values>
      </ddeItem>
      <ddeItem name="acct[40-30005].adjbal{1}" advise="1">
        <values>
          <value>
            <val>0</val>
          </value>
        </values>
      </ddeItem>
      <ddeItem name="acct[40-30006].adjbal{1}" advise="1">
        <values>
          <value>
            <val>0</val>
          </value>
        </values>
      </ddeItem>
      <ddeItem name="acct[40-30007].adjbal{1}" advise="1">
        <values>
          <value>
            <val>0</val>
          </value>
        </values>
      </ddeItem>
      <ddeItem name="acct[40-30008].adjbal{1}" advise="1">
        <values>
          <value>
            <val>0</val>
          </value>
        </values>
      </ddeItem>
      <ddeItem name="acct[40-41103].adjbal{1}" advise="1">
        <values>
          <value>
            <val>0</val>
          </value>
        </values>
      </ddeItem>
      <ddeItem name="acct[40-41106].adjbal{1}" advise="1">
        <values>
          <value>
            <val>0</val>
          </value>
        </values>
      </ddeItem>
      <ddeItem name="acct[40-41203].adjbal{1}" advise="1">
        <values>
          <value>
            <val>0</val>
          </value>
        </values>
      </ddeItem>
      <ddeItem name="acct[40-41206].adjbal{1}" advise="1">
        <values>
          <value>
            <val>0</val>
          </value>
        </values>
      </ddeItem>
      <ddeItem name="acct[40-41303].adjbal{1}" advise="1">
        <values>
          <value>
            <val>0</val>
          </value>
        </values>
      </ddeItem>
      <ddeItem name="acct[40-41306].adjbal{1}" advise="1">
        <values>
          <value>
            <val>0</val>
          </value>
        </values>
      </ddeItem>
      <ddeItem name="acct[40-41403].adjbal{1}" advise="1">
        <values>
          <value>
            <val>0</val>
          </value>
        </values>
      </ddeItem>
      <ddeItem name="acct[40-41406].adjbal{1}" advise="1">
        <values>
          <value>
            <val>0</val>
          </value>
        </values>
      </ddeItem>
      <ddeItem name="acct[40-41703].adjbal{1}" advise="1">
        <values>
          <value>
            <val>0</val>
          </value>
        </values>
      </ddeItem>
      <ddeItem name="acct[40-41706].adjbal{1}" advise="1">
        <values>
          <value>
            <val>0</val>
          </value>
        </values>
      </ddeItem>
      <ddeItem name="acct[40-41903].adjbal{1}" advise="1">
        <values>
          <value>
            <val>0</val>
          </value>
        </values>
      </ddeItem>
      <ddeItem name="acct[40-41906].adjbal{1}" advise="1">
        <values>
          <value>
            <val>0</val>
          </value>
        </values>
      </ddeItem>
      <ddeItem name="acct[40-44003].adjbal{1}" advise="1">
        <values>
          <value>
            <val>0</val>
          </value>
        </values>
      </ddeItem>
      <ddeItem name="acct[40-44006].adjbal{1}" advise="1">
        <values>
          <value>
            <val>0</val>
          </value>
        </values>
      </ddeItem>
      <ddeItem name="acct[40-51106].adjbal{1}" advise="1">
        <values>
          <value>
            <val>0</val>
          </value>
        </values>
      </ddeItem>
      <ddeItem name="acct[40-51206].adjbal{1}" advise="1">
        <values>
          <value>
            <val>0</val>
          </value>
        </values>
      </ddeItem>
      <ddeItem name="acct[40-51306].adjbal{1}" advise="1">
        <values>
          <value>
            <val>0</val>
          </value>
        </values>
      </ddeItem>
      <ddeItem name="acct[40-51406].adjbal{1}" advise="1">
        <values>
          <value>
            <val>0</val>
          </value>
        </values>
      </ddeItem>
      <ddeItem name="acct[40-51506].adjbal{1}" advise="1">
        <values>
          <value>
            <val>0</val>
          </value>
        </values>
      </ddeItem>
      <ddeItem name="acct[40-52006].adjbal{1}" advise="1">
        <values>
          <value>
            <val>0</val>
          </value>
        </values>
      </ddeItem>
      <ddeItem name="acct[40-53006].adjbal{1}" advise="1">
        <values>
          <value>
            <val>0</val>
          </value>
        </values>
      </ddeItem>
      <ddeItem name="acct[40-54006].adjbal{1}" advise="1">
        <values>
          <value>
            <val>0</val>
          </value>
        </values>
      </ddeItem>
      <ddeItem name="acct[50-00120].adjbal{1}" advise="1">
        <values>
          <value>
            <val>63957</val>
          </value>
        </values>
      </ddeItem>
      <ddeItem name="acct[50-00130].adjbal{1}" advise="1">
        <values>
          <value>
            <val>0</val>
          </value>
        </values>
      </ddeItem>
      <ddeItem name="acct[50-00140].adjbal{1}" advise="1">
        <values>
          <value>
            <val>0</val>
          </value>
        </values>
      </ddeItem>
      <ddeItem name="acct[50-00150].adjbal{1}" advise="1">
        <values>
          <value>
            <val>0</val>
          </value>
        </values>
      </ddeItem>
      <ddeItem name="acct[50-00160].adjbal{1}" advise="1">
        <values>
          <value>
            <val>0</val>
          </value>
        </values>
      </ddeItem>
      <ddeItem name="acct[50-00170].adjbal{1}" advise="1">
        <values>
          <value>
            <val>0</val>
          </value>
        </values>
      </ddeItem>
      <ddeItem name="acct[50-00180].adjbal{1}" advise="1">
        <values>
          <value>
            <val>0</val>
          </value>
        </values>
      </ddeItem>
      <ddeItem name="acct[50-00190].adjbal{1}" advise="1">
        <values>
          <value>
            <val>0</val>
          </value>
        </values>
      </ddeItem>
      <ddeItem name="acct[50-00410].adjbal{1}/VR" advise="1">
        <values>
          <value>
            <val>0</val>
          </value>
        </values>
      </ddeItem>
      <ddeItem name="acct[50-00420].adjbal{1}/VR" advise="1">
        <values>
          <value>
            <val>0</val>
          </value>
        </values>
      </ddeItem>
      <ddeItem name="acct[50-00430].adjbal{1}/VR" advise="1">
        <values>
          <value>
            <val>0</val>
          </value>
        </values>
      </ddeItem>
      <ddeItem name="acct[50-00440].adjbal{1}/VR" advise="1">
        <values>
          <value>
            <val>0</val>
          </value>
        </values>
      </ddeItem>
      <ddeItem name="acct[50-00460].adjbal{1}/VR" advise="1">
        <values>
          <value>
            <val>0</val>
          </value>
        </values>
      </ddeItem>
      <ddeItem name="acct[50-00470].adjbal{1}/VR" advise="1">
        <values>
          <value>
            <val>0</val>
          </value>
        </values>
      </ddeItem>
      <ddeItem name="acct[50-00490].adjbal{1}/VR" advise="1">
        <values>
          <value>
            <val>0</val>
          </value>
        </values>
      </ddeItem>
      <ddeItem name="acct[50-00493].adjbal{1}/VR" advise="1">
        <values>
          <value>
            <val>0</val>
          </value>
        </values>
      </ddeItem>
      <ddeItem name="acct[50-01110].adjbal{1}/VR" advise="1">
        <values>
          <value>
            <val>147179</val>
          </value>
        </values>
      </ddeItem>
      <ddeItem name="acct[50-01140].adjbal{1}/VR" advise="1">
        <values>
          <value>
            <val>0</val>
          </value>
        </values>
      </ddeItem>
      <ddeItem name="acct[50-01150].adjbal{1}/VR" advise="1">
        <values>
          <value>
            <val>187425</val>
          </value>
        </values>
      </ddeItem>
      <ddeItem name="acct[50-01190].adjbal{1}/VR" advise="1">
        <values>
          <value>
            <val>0</val>
          </value>
        </values>
      </ddeItem>
      <ddeItem name="acct[50-01210].adjbal{1}/VR" advise="1">
        <values>
          <value>
            <val>0</val>
          </value>
        </values>
      </ddeItem>
      <ddeItem name="acct[50-01220].adjbal{1}/VR" advise="1">
        <values>
          <value>
            <val>0</val>
          </value>
        </values>
      </ddeItem>
      <ddeItem name="acct[50-01230].adjbal{1}/VR" advise="1">
        <values>
          <value>
            <val>16000</val>
          </value>
        </values>
      </ddeItem>
      <ddeItem name="acct[50-01290].adjbal{1}/VR" advise="1">
        <values>
          <value>
            <val>0</val>
          </value>
        </values>
      </ddeItem>
      <ddeItem name="acct[50-01510].adjbal{1}/VR" advise="1">
        <values>
          <value>
            <val>258</val>
          </value>
        </values>
      </ddeItem>
      <ddeItem name="acct[50-01520].adjbal{1}/VR" advise="1">
        <values>
          <value>
            <val>0</val>
          </value>
        </values>
      </ddeItem>
      <ddeItem name="acct[50-01920].adjbal{1}/VR" advise="1">
        <values>
          <value>
            <val>0</val>
          </value>
        </values>
      </ddeItem>
      <ddeItem name="acct[50-01930].adjbal{1}/VR" advise="1">
        <values>
          <value>
            <val>0</val>
          </value>
        </values>
      </ddeItem>
      <ddeItem name="acct[50-01950].adjbal{1}/VR" advise="1">
        <values>
          <value>
            <val>0</val>
          </value>
        </values>
      </ddeItem>
      <ddeItem name="acct[50-01960].adjbal{1}/VR" advise="1">
        <values>
          <value>
            <val>0</val>
          </value>
        </values>
      </ddeItem>
      <ddeItem name="acct[50-01980].adjbal{1}/VR" advise="1">
        <values>
          <value>
            <val>0</val>
          </value>
        </values>
      </ddeItem>
      <ddeItem name="acct[50-01991].adjbal{1}/VR" advise="1">
        <values>
          <value>
            <val>0</val>
          </value>
        </values>
      </ddeItem>
      <ddeItem name="acct[50-01993].adjbal{1}/VR" advise="1">
        <values>
          <value>
            <val>0</val>
          </value>
        </values>
      </ddeItem>
      <ddeItem name="acct[50-01999].adjbal{1}/VR" advise="1">
        <values>
          <value>
            <val>0</val>
          </value>
        </values>
      </ddeItem>
      <ddeItem name="acct[50-02100].adjbal{1}/VR" advise="1">
        <values>
          <value>
            <val>0</val>
          </value>
        </values>
      </ddeItem>
      <ddeItem name="acct[50-02200].adjbal{1}/VR" advise="1">
        <values>
          <value>
            <val>0</val>
          </value>
        </values>
      </ddeItem>
      <ddeItem name="acct[50-02300].adjbal{1}/VR" advise="1">
        <values>
          <value>
            <val>0</val>
          </value>
        </values>
      </ddeItem>
      <ddeItem name="acct[50-03001].adjbal{1}/VR" advise="1">
        <values>
          <value>
            <val>0</val>
          </value>
        </values>
      </ddeItem>
      <ddeItem name="acct[50-03002].adjbal{1}/VR" advise="1">
        <values>
          <value>
            <val>0</val>
          </value>
        </values>
      </ddeItem>
      <ddeItem name="acct[50-03005].adjbal{1}/VR" advise="1">
        <values>
          <value>
            <val>0</val>
          </value>
        </values>
      </ddeItem>
      <ddeItem name="acct[50-03099].adjbal{1}/VR" advise="1">
        <values>
          <value>
            <val>0</val>
          </value>
        </values>
      </ddeItem>
      <ddeItem name="acct[50-03200].adjbal{1}/VR" advise="1">
        <values>
          <value>
            <val>0</val>
          </value>
        </values>
      </ddeItem>
      <ddeItem name="acct[50-03220].adjbal{1}/VR" advise="1">
        <values>
          <value>
            <val>0</val>
          </value>
        </values>
      </ddeItem>
      <ddeItem name="acct[50-03225].adjbal{1}/VR" advise="1">
        <values>
          <value>
            <val>0</val>
          </value>
        </values>
      </ddeItem>
      <ddeItem name="acct[50-03235].adjbal{1}/VR" advise="1">
        <values>
          <value>
            <val>0</val>
          </value>
        </values>
      </ddeItem>
      <ddeItem name="acct[50-03240].adjbal{1}/VR" advise="1">
        <values>
          <value>
            <val>0</val>
          </value>
        </values>
      </ddeItem>
      <ddeItem name="acct[50-03270].adjbal{1}/VR" advise="1">
        <values>
          <value>
            <val>0</val>
          </value>
        </values>
      </ddeItem>
      <ddeItem name="acct[50-03299].adjbal{1}/VR" advise="1">
        <values>
          <value>
            <val>0</val>
          </value>
        </values>
      </ddeItem>
      <ddeItem name="acct[50-03305].adjbal{1}/VR" advise="1">
        <values>
          <value>
            <val>0</val>
          </value>
        </values>
      </ddeItem>
      <ddeItem name="acct[50-03310].adjbal{1}/VR" advise="1">
        <values>
          <value>
            <val>0</val>
          </value>
        </values>
      </ddeItem>
      <ddeItem name="acct[50-03365].adjbal{1}/VR" advise="1">
        <values>
          <value>
            <val>0</val>
          </value>
        </values>
      </ddeItem>
      <ddeItem name="acct[50-03410].adjbal{1}/VR" advise="1">
        <values>
          <value>
            <val>0</val>
          </value>
        </values>
      </ddeItem>
      <ddeItem name="acct[50-03499].adjbal{1}/VR" advise="1">
        <values>
          <value>
            <val>0</val>
          </value>
        </values>
      </ddeItem>
      <ddeItem name="acct[50-03500].adjbal{1}/VR" advise="1">
        <values>
          <value>
            <val>0</val>
          </value>
        </values>
      </ddeItem>
      <ddeItem name="acct[50-03510].adjbal{1}/VR" advise="1">
        <values>
          <value>
            <val>0</val>
          </value>
        </values>
      </ddeItem>
      <ddeItem name="acct[50-03599].adjbal{1}/VR" advise="1">
        <values>
          <value>
            <val>0</val>
          </value>
        </values>
      </ddeItem>
      <ddeItem name="acct[50-03660].adjbal{1}/VR" advise="1">
        <values>
          <value>
            <val>0</val>
          </value>
        </values>
      </ddeItem>
      <ddeItem name="acct[50-03695].adjbal{1}/VR" advise="1">
        <values>
          <value>
            <val>0</val>
          </value>
        </values>
      </ddeItem>
      <ddeItem name="acct[50-03705].adjbal{1}/VR" advise="1">
        <values>
          <value>
            <val>0</val>
          </value>
        </values>
      </ddeItem>
      <ddeItem name="acct[50-03715].adjbal{1}/VR" advise="1">
        <values>
          <value>
            <val>0</val>
          </value>
        </values>
      </ddeItem>
      <ddeItem name="acct[50-03720].adjbal{1}/VR" advise="1">
        <values>
          <value>
            <val>0</val>
          </value>
        </values>
      </ddeItem>
      <ddeItem name="acct[50-03725].adjbal{1}/VR" advise="1">
        <values>
          <value>
            <val>0</val>
          </value>
        </values>
      </ddeItem>
      <ddeItem name="acct[50-03726].adjbal{1}/VR" advise="1">
        <values>
          <value>
            <val>0</val>
          </value>
        </values>
      </ddeItem>
      <ddeItem name="acct[50-03766].adjbal{1}/VR" advise="1">
        <values>
          <value>
            <val>0</val>
          </value>
        </values>
      </ddeItem>
      <ddeItem name="acct[50-03767].adjbal{1}/VR" advise="1">
        <values>
          <value>
            <val>0</val>
          </value>
        </values>
      </ddeItem>
      <ddeItem name="acct[50-03775].adjbal{1}/VR" advise="1">
        <values>
          <value>
            <val>0</val>
          </value>
        </values>
      </ddeItem>
      <ddeItem name="acct[50-03780].adjbal{1}/VR" advise="1">
        <values>
          <value>
            <val>0</val>
          </value>
        </values>
      </ddeItem>
      <ddeItem name="acct[50-03999].adjbal{1}/VR" advise="1">
        <values>
          <value>
            <val>0</val>
          </value>
        </values>
      </ddeItem>
      <ddeItem name="acct[50-04001].adjbal{1}/VR" advise="1">
        <values>
          <value>
            <val>0</val>
          </value>
        </values>
      </ddeItem>
      <ddeItem name="acct[50-04009].adjbal{1}/VR" advise="1">
        <values>
          <value>
            <val>0</val>
          </value>
        </values>
      </ddeItem>
      <ddeItem name="acct[50-04060].adjbal{1}/VR" advise="1">
        <values>
          <value>
            <val>0</val>
          </value>
        </values>
      </ddeItem>
      <ddeItem name="acct[50-04090].adjbal{1}/VR" advise="1">
        <values>
          <value>
            <val>0</val>
          </value>
        </values>
      </ddeItem>
      <ddeItem name="acct[50-04100].adjbal{1}/VR" advise="1">
        <values>
          <value>
            <val>0</val>
          </value>
        </values>
      </ddeItem>
      <ddeItem name="acct[50-04105].adjbal{1}/VR" advise="1">
        <values>
          <value>
            <val>0</val>
          </value>
        </values>
      </ddeItem>
      <ddeItem name="acct[50-04107].adjbal{1}/VR" advise="1">
        <values>
          <value>
            <val>0</val>
          </value>
        </values>
      </ddeItem>
      <ddeItem name="acct[50-04199].adjbal{1}/VR" advise="1">
        <values>
          <value>
            <val>0</val>
          </value>
        </values>
      </ddeItem>
      <ddeItem name="acct[50-04200].adjbal{1}/VR" advise="1">
        <values>
          <value>
            <val>0</val>
          </value>
        </values>
      </ddeItem>
      <ddeItem name="acct[50-04210].adjbal{1}/VR" advise="1">
        <values>
          <value>
            <val>0</val>
          </value>
        </values>
      </ddeItem>
      <ddeItem name="acct[50-04215].adjbal{1}/VR" advise="1">
        <values>
          <value>
            <val>0</val>
          </value>
        </values>
      </ddeItem>
      <ddeItem name="acct[50-04220].adjbal{1}/VR" advise="1">
        <values>
          <value>
            <val>0</val>
          </value>
        </values>
      </ddeItem>
      <ddeItem name="acct[50-04225].adjbal{1}/VR" advise="1">
        <values>
          <value>
            <val>0</val>
          </value>
        </values>
      </ddeItem>
      <ddeItem name="acct[50-04226].adjbal{1}/VR" advise="1">
        <values>
          <value>
            <val>0</val>
          </value>
        </values>
      </ddeItem>
      <ddeItem name="acct[50-04299].adjbal{1}/VR" advise="1">
        <values>
          <value>
            <val>0</val>
          </value>
        </values>
      </ddeItem>
      <ddeItem name="acct[50-04300].adjbal{1}/VR" advise="1">
        <values>
          <value>
            <val>0</val>
          </value>
        </values>
      </ddeItem>
      <ddeItem name="acct[50-04305].adjbal{1}/VR" advise="1">
        <values>
          <value>
            <val>0</val>
          </value>
        </values>
      </ddeItem>
      <ddeItem name="acct[50-04332].adjbal{1}/VR" advise="1">
        <values>
          <value>
            <val>0</val>
          </value>
        </values>
      </ddeItem>
      <ddeItem name="acct[50-04334].adjbal{1}/VR" advise="1">
        <values>
          <value>
            <val>0</val>
          </value>
        </values>
      </ddeItem>
      <ddeItem name="acct[50-04335].adjbal{1}/VR" advise="1">
        <values>
          <value>
            <val>0</val>
          </value>
        </values>
      </ddeItem>
      <ddeItem name="acct[50-04337].adjbal{1}/VR" advise="1">
        <values>
          <value>
            <val>0</val>
          </value>
        </values>
      </ddeItem>
      <ddeItem name="acct[50-04340].adjbal{1}/VR" advise="1">
        <values>
          <value>
            <val>0</val>
          </value>
        </values>
      </ddeItem>
      <ddeItem name="acct[50-04399].adjbal{1}/VR" advise="1">
        <values>
          <value>
            <val>0</val>
          </value>
        </values>
      </ddeItem>
      <ddeItem name="acct[50-04400].adjbal{1}/VR" advise="1">
        <values>
          <value>
            <val>0</val>
          </value>
        </values>
      </ddeItem>
      <ddeItem name="acct[50-04421].adjbal{1}/VR" advise="1">
        <values>
          <value>
            <val>0</val>
          </value>
        </values>
      </ddeItem>
      <ddeItem name="acct[50-04499].adjbal{1}/VR" advise="1">
        <values>
          <value>
            <val>0</val>
          </value>
        </values>
      </ddeItem>
      <ddeItem name="acct[50-04600].adjbal{1}/VR" advise="1">
        <values>
          <value>
            <val>0</val>
          </value>
        </values>
      </ddeItem>
      <ddeItem name="acct[50-04605].adjbal{1}/VR" advise="1">
        <values>
          <value>
            <val>0</val>
          </value>
        </values>
      </ddeItem>
      <ddeItem name="acct[50-04620].adjbal{1}/VR" advise="1">
        <values>
          <value>
            <val>0</val>
          </value>
        </values>
      </ddeItem>
      <ddeItem name="acct[50-04625].adjbal{1}/VR" advise="1">
        <values>
          <value>
            <val>0</val>
          </value>
        </values>
      </ddeItem>
      <ddeItem name="acct[50-04630].adjbal{1}/VR" advise="1">
        <values>
          <value>
            <val>0</val>
          </value>
        </values>
      </ddeItem>
      <ddeItem name="acct[50-04699].adjbal{1}/VR" advise="1">
        <values>
          <value>
            <val>0</val>
          </value>
        </values>
      </ddeItem>
      <ddeItem name="acct[50-04770].adjbal{1}/VR" advise="1">
        <values>
          <value>
            <val>0</val>
          </value>
        </values>
      </ddeItem>
      <ddeItem name="acct[50-04799].adjbal{1}/VR" advise="1">
        <values>
          <value>
            <val>0</val>
          </value>
        </values>
      </ddeItem>
      <ddeItem name="acct[50-04810].adjbal{1}/VR" advise="1">
        <values>
          <value>
            <val>0</val>
          </value>
        </values>
      </ddeItem>
      <ddeItem name="acct[50-04850].adjbal{1}/VR" advise="1">
        <values>
          <value>
            <val>0</val>
          </value>
        </values>
      </ddeItem>
      <ddeItem name="acct[50-04851].adjbal{1}/VR" advise="1">
        <values>
          <value>
            <val>0</val>
          </value>
        </values>
      </ddeItem>
      <ddeItem name="acct[50-04852].adjbal{1}/VR" advise="1">
        <values>
          <value>
            <val>0</val>
          </value>
        </values>
      </ddeItem>
      <ddeItem name="acct[50-04853].adjbal{1}/VR" advise="1">
        <values>
          <value>
            <val>0</val>
          </value>
        </values>
      </ddeItem>
      <ddeItem name="acct[50-04854].adjbal{1}/VR" advise="1">
        <values>
          <value>
            <val>0</val>
          </value>
        </values>
      </ddeItem>
      <ddeItem name="acct[50-04855].adjbal{1}/VR" advise="1">
        <values>
          <value>
            <val>0</val>
          </value>
        </values>
      </ddeItem>
      <ddeItem name="acct[50-04856].adjbal{1}/VR" advise="1">
        <values>
          <value>
            <val>0</val>
          </value>
        </values>
      </ddeItem>
      <ddeItem name="acct[50-04857].adjbal{1}/VR" advise="1">
        <values>
          <value>
            <val>0</val>
          </value>
        </values>
      </ddeItem>
      <ddeItem name="acct[50-04860].adjbal{1}/VR" advise="1">
        <values>
          <value>
            <val>0</val>
          </value>
        </values>
      </ddeItem>
      <ddeItem name="acct[50-04861].adjbal{1}/VR" advise="1">
        <values>
          <value>
            <val>0</val>
          </value>
        </values>
      </ddeItem>
      <ddeItem name="acct[50-04862].adjbal{1}/VR" advise="1">
        <values>
          <value>
            <val>0</val>
          </value>
        </values>
      </ddeItem>
      <ddeItem name="acct[50-04864].adjbal{1}/VR" advise="1">
        <values>
          <value>
            <val>0</val>
          </value>
        </values>
      </ddeItem>
      <ddeItem name="acct[50-04865].adjbal{1}/VR" advise="1">
        <values>
          <value>
            <val>0</val>
          </value>
        </values>
      </ddeItem>
      <ddeItem name="acct[50-04866].adjbal{1}/VR" advise="1">
        <values>
          <value>
            <val>0</val>
          </value>
        </values>
      </ddeItem>
      <ddeItem name="acct[50-04867].adjbal{1}/VR" advise="1">
        <values>
          <value>
            <val>0</val>
          </value>
        </values>
      </ddeItem>
      <ddeItem name="acct[50-04868].adjbal{1}/VR" advise="1">
        <values>
          <value>
            <val>0</val>
          </value>
        </values>
      </ddeItem>
      <ddeItem name="acct[50-04869].adjbal{1}/VR" advise="1">
        <values>
          <value>
            <val>0</val>
          </value>
        </values>
      </ddeItem>
      <ddeItem name="acct[50-04870].adjbal{1}/VR" advise="1">
        <values>
          <value>
            <val>0</val>
          </value>
        </values>
      </ddeItem>
      <ddeItem name="acct[50-04871].adjbal{1}/VR" advise="1">
        <values>
          <value>
            <val>0</val>
          </value>
        </values>
      </ddeItem>
      <ddeItem name="acct[50-04872].adjbal{1}/VR" advise="1">
        <values>
          <value>
            <val>0</val>
          </value>
        </values>
      </ddeItem>
      <ddeItem name="acct[50-04873].adjbal{1}/VR" advise="1">
        <values>
          <value>
            <val>0</val>
          </value>
        </values>
      </ddeItem>
      <ddeItem name="acct[50-04874].adjbal{1}/VR" advise="1">
        <values>
          <value>
            <val>0</val>
          </value>
        </values>
      </ddeItem>
      <ddeItem name="acct[50-04875].adjbal{1}/VR" advise="1">
        <values>
          <value>
            <val>0</val>
          </value>
        </values>
      </ddeItem>
      <ddeItem name="acct[50-04876].adjbal{1}/VR" advise="1">
        <values>
          <value>
            <val>0</val>
          </value>
        </values>
      </ddeItem>
      <ddeItem name="acct[50-04877].adjbal{1}/VR" advise="1">
        <values>
          <value>
            <val>0</val>
          </value>
        </values>
      </ddeItem>
      <ddeItem name="acct[50-04878].adjbal{1}/VR" advise="1">
        <values>
          <value>
            <val>0</val>
          </value>
        </values>
      </ddeItem>
      <ddeItem name="acct[50-04879].adjbal{1}/VR" advise="1">
        <values>
          <value>
            <val>0</val>
          </value>
        </values>
      </ddeItem>
      <ddeItem name="acct[50-04880].adjbal{1}/VR" advise="1">
        <values>
          <value>
            <val>0</val>
          </value>
        </values>
      </ddeItem>
      <ddeItem name="acct[50-04902].adjbal{1}/VR" advise="1">
        <values>
          <value t="str">
            <val xml:space="preserve"> </val>
          </value>
        </values>
      </ddeItem>
      <ddeItem name="acct[50-04904].adjbal{1}/VR" advise="1">
        <values>
          <value>
            <val>0</val>
          </value>
        </values>
      </ddeItem>
      <ddeItem name="acct[50-04905].adjbal{1}/VR" advise="1">
        <values>
          <value>
            <val>0</val>
          </value>
        </values>
      </ddeItem>
      <ddeItem name="acct[50-04909].adjbal{1}/VR" advise="1">
        <values>
          <value>
            <val>0</val>
          </value>
        </values>
      </ddeItem>
      <ddeItem name="acct[50-04910].adjbal{1}/VR" advise="1">
        <values>
          <value>
            <val>0</val>
          </value>
        </values>
      </ddeItem>
      <ddeItem name="acct[50-04920].adjbal{1}/VR" advise="1">
        <values>
          <value>
            <val>0</val>
          </value>
        </values>
      </ddeItem>
      <ddeItem name="acct[50-04930].adjbal{1}/VR" advise="1">
        <values>
          <value>
            <val>0</val>
          </value>
        </values>
      </ddeItem>
      <ddeItem name="acct[50-04932].adjbal{1}/VR" advise="1">
        <values>
          <value>
            <val>0</val>
          </value>
        </values>
      </ddeItem>
      <ddeItem name="acct[50-04960].adjbal{1}/VR" advise="1">
        <values>
          <value>
            <val>0</val>
          </value>
        </values>
      </ddeItem>
      <ddeItem name="acct[50-04991].adjbal{1}/VR" advise="1">
        <values>
          <value>
            <val>0</val>
          </value>
        </values>
      </ddeItem>
      <ddeItem name="acct[50-04992].adjbal{1}/VR" advise="1">
        <values>
          <value>
            <val>0</val>
          </value>
        </values>
      </ddeItem>
      <ddeItem name="acct[50-04999].adjbal{1}/VR" advise="1">
        <values>
          <value>
            <val>0</val>
          </value>
        </values>
      </ddeItem>
      <ddeItem name="acct[50-07110].adjbal{1}/VR" advise="1">
        <values>
          <value>
            <val>0</val>
          </value>
        </values>
      </ddeItem>
      <ddeItem name="acct[50-07120].adjbal{1}/VR" advise="1">
        <values>
          <value>
            <val>0</val>
          </value>
        </values>
      </ddeItem>
      <ddeItem name="acct[50-07140].adjbal{1}/VR" advise="1">
        <values>
          <value>
            <val>0</val>
          </value>
        </values>
      </ddeItem>
      <ddeItem name="acct[50-07300].adjbal{1}/VR" advise="1">
        <values>
          <value>
            <val>0</val>
          </value>
        </values>
      </ddeItem>
      <ddeItem name="acct[50-07900].adjbal{1}/VR" advise="1">
        <values>
          <value>
            <val>0</val>
          </value>
        </values>
      </ddeItem>
      <ddeItem name="acct[50-07990].adjbal{1}/VR" advise="1">
        <values>
          <value>
            <val>0</val>
          </value>
        </values>
      </ddeItem>
      <ddeItem name="acct[50-08140].adjbal{1}" advise="1">
        <values>
          <value>
            <val>0</val>
          </value>
        </values>
      </ddeItem>
      <ddeItem name="acct[50-08910].adjbal{1}" advise="1">
        <values>
          <value>
            <val>0</val>
          </value>
        </values>
      </ddeItem>
      <ddeItem name="acct[50-08990].adjbal{1}" advise="1">
        <values>
          <value>
            <val>0</val>
          </value>
        </values>
      </ddeItem>
      <ddeItem name="acct[50-11002].adjbal{1}" advise="1">
        <values>
          <value>
            <val>71408</val>
          </value>
        </values>
      </ddeItem>
      <ddeItem name="acct[50-11252].adjbal{1}" advise="1">
        <values>
          <value>
            <val>11720</val>
          </value>
        </values>
      </ddeItem>
      <ddeItem name="acct[50-12002].adjbal{1}" advise="1">
        <values>
          <value>
            <val>30642</val>
          </value>
        </values>
      </ddeItem>
      <ddeItem name="acct[50-12252].adjbal{1}" advise="1">
        <values>
          <value>
            <val>0</val>
          </value>
        </values>
      </ddeItem>
      <ddeItem name="acct[50-12502].adjbal{1}" advise="1">
        <values>
          <value>
            <val>3259</val>
          </value>
        </values>
      </ddeItem>
      <ddeItem name="acct[50-12752].adjbal{1}" advise="1">
        <values>
          <value>
            <val>0</val>
          </value>
        </values>
      </ddeItem>
      <ddeItem name="acct[50-13002].adjbal{1}" advise="1">
        <values>
          <value>
            <val>0</val>
          </value>
        </values>
      </ddeItem>
      <ddeItem name="acct[50-14002].adjbal{1}" advise="1">
        <values>
          <value>
            <val>2790</val>
          </value>
        </values>
      </ddeItem>
      <ddeItem name="acct[50-15002].adjbal{1}" advise="1">
        <values>
          <value>
            <val>4186</val>
          </value>
        </values>
      </ddeItem>
      <ddeItem name="acct[50-16002].adjbal{1}" advise="1">
        <values>
          <value>
            <val>0</val>
          </value>
        </values>
      </ddeItem>
      <ddeItem name="acct[50-16502].adjbal{1}" advise="1">
        <values>
          <value>
            <val>0</val>
          </value>
        </values>
      </ddeItem>
      <ddeItem name="acct[50-17002].adjbal{1}" advise="1">
        <values>
          <value>
            <val>121</val>
          </value>
        </values>
      </ddeItem>
      <ddeItem name="acct[50-18002].adjbal{1}" advise="1">
        <values>
          <value>
            <val>0</val>
          </value>
        </values>
      </ddeItem>
      <ddeItem name="acct[50-19002].adjbal{1}" advise="1">
        <values>
          <value>
            <val>0</val>
          </value>
        </values>
      </ddeItem>
      <ddeItem name="acct[50-21102].adjbal{1}" advise="1">
        <values>
          <value>
            <val>0</val>
          </value>
        </values>
      </ddeItem>
      <ddeItem name="acct[50-21202].adjbal{1}" advise="1">
        <values>
          <value>
            <val>1668</val>
          </value>
        </values>
      </ddeItem>
      <ddeItem name="acct[50-21302].adjbal{1}" advise="1">
        <values>
          <value>
            <val>10497</val>
          </value>
        </values>
      </ddeItem>
      <ddeItem name="acct[50-21402].adjbal{1}" advise="1">
        <values>
          <value>
            <val>0</val>
          </value>
        </values>
      </ddeItem>
      <ddeItem name="acct[50-21502].adjbal{1}" advise="1">
        <values>
          <value>
            <val>1118</val>
          </value>
        </values>
      </ddeItem>
      <ddeItem name="acct[50-21902].adjbal{1}" advise="1">
        <values>
          <value>
            <val>0</val>
          </value>
        </values>
      </ddeItem>
      <ddeItem name="acct[50-22102].adjbal{1}" advise="1">
        <values>
          <value>
            <val>27</val>
          </value>
        </values>
      </ddeItem>
      <ddeItem name="acct[50-22202].adjbal{1}" advise="1">
        <values>
          <value>
            <val>8648</val>
          </value>
        </values>
      </ddeItem>
      <ddeItem name="acct[50-22302].adjbal{1}" advise="1">
        <values>
          <value>
            <val>0</val>
          </value>
        </values>
      </ddeItem>
      <ddeItem name="acct[50-23102].adjbal{1}" advise="1">
        <values>
          <value>
            <val>251</val>
          </value>
        </values>
      </ddeItem>
      <ddeItem name="acct[50-23202].adjbal{1}" advise="1">
        <values>
          <value>
            <val>2115</val>
          </value>
        </values>
      </ddeItem>
      <ddeItem name="acct[50-23302].adjbal{1}" advise="1">
        <values>
          <value>
            <val>0</val>
          </value>
        </values>
      </ddeItem>
      <ddeItem name="acct[50-23612].adjbal{1}" advise="1">
        <values>
          <value>
            <val>0</val>
          </value>
        </values>
      </ddeItem>
      <ddeItem name="acct[50-23622].adjbal{1}" advise="1">
        <values>
          <value>
            <val>0</val>
          </value>
        </values>
      </ddeItem>
      <ddeItem name="acct[50-23632].adjbal{1}" advise="1">
        <values>
          <value>
            <val>0</val>
          </value>
        </values>
      </ddeItem>
      <ddeItem name="acct[50-23642].adjbal{1}" advise="1">
        <values>
          <value>
            <val>0</val>
          </value>
        </values>
      </ddeItem>
      <ddeItem name="acct[50-23652].adjbal{1}" advise="1">
        <values>
          <value>
            <val>0</val>
          </value>
        </values>
      </ddeItem>
      <ddeItem name="acct[50-23662].adjbal{1}" advise="1">
        <values>
          <value>
            <val>0</val>
          </value>
        </values>
      </ddeItem>
      <ddeItem name="acct[50-23672].adjbal{1}" advise="1">
        <values>
          <value>
            <val>0</val>
          </value>
        </values>
      </ddeItem>
      <ddeItem name="acct[50-23682].adjbal{1}" advise="1">
        <values>
          <value>
            <val>0</val>
          </value>
        </values>
      </ddeItem>
      <ddeItem name="acct[50-23692].adjbal{1}" advise="1">
        <values>
          <value>
            <val>0</val>
          </value>
        </values>
      </ddeItem>
      <ddeItem name="acct[50-24102].adjbal{1}" advise="1">
        <values>
          <value>
            <val>47362</val>
          </value>
        </values>
      </ddeItem>
      <ddeItem name="acct[50-24902].adjbal{1}" advise="1">
        <values>
          <value>
            <val>0</val>
          </value>
        </values>
      </ddeItem>
      <ddeItem name="acct[50-25102].adjbal{1}" advise="1">
        <values>
          <value>
            <val>0</val>
          </value>
        </values>
      </ddeItem>
      <ddeItem name="acct[50-25202].adjbal{1}" advise="1">
        <values>
          <value>
            <val>18016</val>
          </value>
        </values>
      </ddeItem>
      <ddeItem name="acct[50-25302].adjbal{1}" advise="1">
        <values>
          <value>
            <val>0</val>
          </value>
        </values>
      </ddeItem>
      <ddeItem name="acct[50-25402].adjbal{1}" advise="1">
        <values>
          <value>
            <val>74609</val>
          </value>
        </values>
      </ddeItem>
      <ddeItem name="acct[50-25502].adjbal{1}" advise="1">
        <values>
          <value>
            <val>5547</val>
          </value>
        </values>
      </ddeItem>
      <ddeItem name="acct[50-25602].adjbal{1}" advise="1">
        <values>
          <value>
            <val>29441</val>
          </value>
        </values>
      </ddeItem>
      <ddeItem name="acct[50-25702].adjbal{1}" advise="1">
        <values>
          <value>
            <val>0</val>
          </value>
        </values>
      </ddeItem>
      <ddeItem name="acct[50-26102].adjbal{1}" advise="1">
        <values>
          <value>
            <val>0</val>
          </value>
        </values>
      </ddeItem>
      <ddeItem name="acct[50-26202].adjbal{1}" advise="1">
        <values>
          <value>
            <val>0</val>
          </value>
        </values>
      </ddeItem>
      <ddeItem name="acct[50-26302].adjbal{1}" advise="1">
        <values>
          <value>
            <val>0</val>
          </value>
        </values>
      </ddeItem>
      <ddeItem name="acct[50-26402].adjbal{1}" advise="1">
        <values>
          <value>
            <val>0</val>
          </value>
        </values>
      </ddeItem>
      <ddeItem name="acct[50-26602].adjbal{1}" advise="1">
        <values>
          <value>
            <val>0</val>
          </value>
        </values>
      </ddeItem>
      <ddeItem name="acct[50-29002].adjbal{1}" advise="1">
        <values>
          <value>
            <val>0</val>
          </value>
        </values>
      </ddeItem>
      <ddeItem name="acct[50-30002].adjbal{1}" advise="1">
        <values>
          <value>
            <val>0</val>
          </value>
        </values>
      </ddeItem>
      <ddeItem name="acct[50-41102].adjbal{1}" advise="1">
        <values>
          <value t="str">
            <val xml:space="preserve"> </val>
          </value>
        </values>
      </ddeItem>
      <ddeItem name="acct[50-41202].adjbal{1}" advise="1">
        <values>
          <value>
            <val>0</val>
          </value>
        </values>
      </ddeItem>
      <ddeItem name="acct[50-41402].adjbal{1}" advise="1">
        <values>
          <value>
            <val>0</val>
          </value>
        </values>
      </ddeItem>
      <ddeItem name="acct[50-51106].adjbal{1}" advise="1">
        <values>
          <value>
            <val>0</val>
          </value>
        </values>
      </ddeItem>
      <ddeItem name="acct[50-51206].adjbal{1}" advise="1">
        <values>
          <value>
            <val>0</val>
          </value>
        </values>
      </ddeItem>
      <ddeItem name="acct[50-51306].adjbal{1}" advise="1">
        <values>
          <value>
            <val>0</val>
          </value>
        </values>
      </ddeItem>
      <ddeItem name="acct[50-51406].adjbal{1}" advise="1">
        <values>
          <value>
            <val>0</val>
          </value>
        </values>
      </ddeItem>
      <ddeItem name="acct[50-51506].adjbal{1}" advise="1">
        <values>
          <value>
            <val>0</val>
          </value>
        </values>
      </ddeItem>
      <ddeItem name="acct[60-00101].adjbal{1}" advise="1">
        <values>
          <value>
            <val>307152</val>
          </value>
        </values>
      </ddeItem>
      <ddeItem name="acct[60-00120].adjbal{1}" advise="1">
        <values>
          <value>
            <val>46812</val>
          </value>
        </values>
      </ddeItem>
      <ddeItem name="acct[60-00130].adjbal{1}" advise="1">
        <values>
          <value>
            <val>0</val>
          </value>
        </values>
      </ddeItem>
      <ddeItem name="acct[60-00140].adjbal{1}" advise="1">
        <values>
          <value>
            <val>0</val>
          </value>
        </values>
      </ddeItem>
      <ddeItem name="acct[60-00150].adjbal{1}" advise="1">
        <values>
          <value>
            <val>0</val>
          </value>
        </values>
      </ddeItem>
      <ddeItem name="acct[60-00160].adjbal{1}" advise="1">
        <values>
          <value>
            <val>0</val>
          </value>
        </values>
      </ddeItem>
      <ddeItem name="acct[60-00170].adjbal{1}" advise="1">
        <values>
          <value>
            <val>0</val>
          </value>
        </values>
      </ddeItem>
      <ddeItem name="acct[60-00180].adjbal{1}" advise="1">
        <values>
          <value t="str">
            <val xml:space="preserve"> </val>
          </value>
        </values>
      </ddeItem>
      <ddeItem name="acct[60-00190].adjbal{1}" advise="1">
        <values>
          <value>
            <val>0</val>
          </value>
        </values>
      </ddeItem>
      <ddeItem name="acct[60-00410].adjbal{1}/VR" advise="1">
        <values>
          <value>
            <val>0</val>
          </value>
        </values>
      </ddeItem>
      <ddeItem name="acct[60-00420].adjbal{1}/VR" advise="1">
        <values>
          <value>
            <val>0</val>
          </value>
        </values>
      </ddeItem>
      <ddeItem name="acct[60-00430].adjbal{1}/VR" advise="1">
        <values>
          <value>
            <val>0</val>
          </value>
        </values>
      </ddeItem>
      <ddeItem name="acct[60-00440].adjbal{1}/VR" advise="1">
        <values>
          <value>
            <val>0</val>
          </value>
        </values>
      </ddeItem>
      <ddeItem name="acct[60-00460].adjbal{1}/VR" advise="1">
        <values>
          <value>
            <val>0</val>
          </value>
        </values>
      </ddeItem>
      <ddeItem name="acct[60-00470].adjbal{1}/VR" advise="1">
        <values>
          <value>
            <val>0</val>
          </value>
        </values>
      </ddeItem>
      <ddeItem name="acct[60-00480].adjbal{1}/VR" advise="1">
        <values>
          <value>
            <val>0</val>
          </value>
        </values>
      </ddeItem>
      <ddeItem name="acct[60-00490].adjbal{1}/VR" advise="1">
        <values>
          <value>
            <val>0</val>
          </value>
        </values>
      </ddeItem>
      <ddeItem name="acct[60-00493].adjbal{1}/VR" advise="1">
        <values>
          <value>
            <val>0</val>
          </value>
        </values>
      </ddeItem>
      <ddeItem name="acct[60-01110].adjbal{1}/VR" advise="1">
        <values>
          <value>
            <val>0</val>
          </value>
        </values>
      </ddeItem>
      <ddeItem name="acct[60-01140].adjbal{1}/VR" advise="1">
        <values>
          <value>
            <val>0</val>
          </value>
        </values>
      </ddeItem>
      <ddeItem name="acct[60-01160].adjbal{1}/VR" advise="1">
        <values>
          <value>
            <val>0</val>
          </value>
        </values>
      </ddeItem>
      <ddeItem name="acct[60-01190].adjbal{1}/VR" advise="1">
        <values>
          <value>
            <val>0</val>
          </value>
        </values>
      </ddeItem>
      <ddeItem name="acct[60-01210].adjbal{1}/VR" advise="1">
        <values>
          <value>
            <val>0</val>
          </value>
        </values>
      </ddeItem>
      <ddeItem name="acct[60-01220].adjbal{1}/VR" advise="1">
        <values>
          <value>
            <val>0</val>
          </value>
        </values>
      </ddeItem>
      <ddeItem name="acct[60-01230].adjbal{1}/VR" advise="1">
        <values>
          <value>
            <val>0</val>
          </value>
        </values>
      </ddeItem>
      <ddeItem name="acct[60-01290].adjbal{1}/VR" advise="1">
        <values>
          <value>
            <val>0</val>
          </value>
        </values>
      </ddeItem>
      <ddeItem name="acct[60-01510].adjbal{1}/VR" advise="1">
        <values>
          <value>
            <val>125</val>
          </value>
        </values>
      </ddeItem>
      <ddeItem name="acct[60-01520].adjbal{1}/VR" advise="1">
        <values>
          <value>
            <val>0</val>
          </value>
        </values>
      </ddeItem>
      <ddeItem name="acct[60-01920].adjbal{1}/VR" advise="1">
        <values>
          <value>
            <val>0</val>
          </value>
        </values>
      </ddeItem>
      <ddeItem name="acct[60-01930].adjbal{1}/VR" advise="1">
        <values>
          <value>
            <val>0</val>
          </value>
        </values>
      </ddeItem>
      <ddeItem name="acct[60-01950].adjbal{1}/VR" advise="1">
        <values>
          <value>
            <val>0</val>
          </value>
        </values>
      </ddeItem>
      <ddeItem name="acct[60-01960].adjbal{1}/VR" advise="1">
        <values>
          <value>
            <val>0</val>
          </value>
        </values>
      </ddeItem>
      <ddeItem name="acct[60-01980].adjbal{1}/VR" advise="1">
        <values>
          <value>
            <val>0</val>
          </value>
        </values>
      </ddeItem>
      <ddeItem name="acct[60-01983].adjbal{1}/VR" advise="1">
        <values>
          <value>
            <val>148093</val>
          </value>
        </values>
      </ddeItem>
      <ddeItem name="acct[60-01991].adjbal{1}/VR" advise="1">
        <values>
          <value>
            <val>0</val>
          </value>
        </values>
      </ddeItem>
      <ddeItem name="acct[60-01993].adjbal{1}/VR" advise="1">
        <values>
          <value>
            <val>0</val>
          </value>
        </values>
      </ddeItem>
      <ddeItem name="acct[60-01999].adjbal{1}/VR" advise="1">
        <values>
          <value>
            <val>0</val>
          </value>
        </values>
      </ddeItem>
      <ddeItem name="acct[60-03001].adjbal{1}/VR" advise="1">
        <values>
          <value>
            <val>0</val>
          </value>
        </values>
      </ddeItem>
      <ddeItem name="acct[60-03002].adjbal{1}/VR" advise="1">
        <values>
          <value>
            <val>0</val>
          </value>
        </values>
      </ddeItem>
      <ddeItem name="acct[60-03005].adjbal{1}/VR" advise="1">
        <values>
          <value>
            <val>0</val>
          </value>
        </values>
      </ddeItem>
      <ddeItem name="acct[60-03099].adjbal{1}/VR" advise="1">
        <values>
          <value>
            <val>0</val>
          </value>
        </values>
      </ddeItem>
      <ddeItem name="acct[60-03410].adjbal{1}/VR" advise="1">
        <values>
          <value>
            <val>0</val>
          </value>
        </values>
      </ddeItem>
      <ddeItem name="acct[60-03499].adjbal{1}/VR" advise="1">
        <values>
          <value>
            <val>0</val>
          </value>
        </values>
      </ddeItem>
      <ddeItem name="acct[60-03775].adjbal{1}/VR" advise="1">
        <values>
          <value>
            <val>0</val>
          </value>
        </values>
      </ddeItem>
      <ddeItem name="acct[60-03780].adjbal{1}/VR" advise="1">
        <values>
          <value>
            <val>0</val>
          </value>
        </values>
      </ddeItem>
      <ddeItem name="acct[60-03920].adjbal{1}/VR" advise="1">
        <values>
          <value>
            <val>0</val>
          </value>
        </values>
      </ddeItem>
      <ddeItem name="acct[60-03925].adjbal{1}/VR" advise="1">
        <values>
          <value>
            <val>0</val>
          </value>
        </values>
      </ddeItem>
      <ddeItem name="acct[60-03999].adjbal{1}/VR" advise="1">
        <values>
          <value>
            <val>0</val>
          </value>
        </values>
      </ddeItem>
      <ddeItem name="acct[60-04001].adjbal{1}/VR" advise="1">
        <values>
          <value>
            <val>0</val>
          </value>
        </values>
      </ddeItem>
      <ddeItem name="acct[60-04009].adjbal{1}/VR" advise="1">
        <values>
          <value>
            <val>0</val>
          </value>
        </values>
      </ddeItem>
      <ddeItem name="acct[60-04050].adjbal{1}/VR" advise="1">
        <values>
          <value>
            <val>0</val>
          </value>
        </values>
      </ddeItem>
      <ddeItem name="acct[60-04060].adjbal{1}/VR" advise="1">
        <values>
          <value>
            <val>0</val>
          </value>
        </values>
      </ddeItem>
      <ddeItem name="acct[60-04090].adjbal{1}/VR" advise="1">
        <values>
          <value>
            <val>0</val>
          </value>
        </values>
      </ddeItem>
      <ddeItem name="acct[60-04850].adjbal{1}/VR" advise="1">
        <values>
          <value>
            <val>0</val>
          </value>
        </values>
      </ddeItem>
      <ddeItem name="acct[60-04852].adjbal{1}/VR" advise="1">
        <values>
          <value>
            <val>0</val>
          </value>
        </values>
      </ddeItem>
      <ddeItem name="acct[60-04853].adjbal{1}/VR" advise="1">
        <values>
          <value>
            <val>0</val>
          </value>
        </values>
      </ddeItem>
      <ddeItem name="acct[60-04854].adjbal{1}/VR" advise="1">
        <values>
          <value>
            <val>0</val>
          </value>
        </values>
      </ddeItem>
      <ddeItem name="acct[60-04855].adjbal{1}/VR" advise="1">
        <values>
          <value>
            <val>0</val>
          </value>
        </values>
      </ddeItem>
      <ddeItem name="acct[60-04856].adjbal{1}/VR" advise="1">
        <values>
          <value>
            <val>0</val>
          </value>
        </values>
      </ddeItem>
      <ddeItem name="acct[60-04857].adjbal{1}/VR" advise="1">
        <values>
          <value>
            <val>0</val>
          </value>
        </values>
      </ddeItem>
      <ddeItem name="acct[60-04860].adjbal{1}/VR" advise="1">
        <values>
          <value>
            <val>0</val>
          </value>
        </values>
      </ddeItem>
      <ddeItem name="acct[60-04861].adjbal{1}/VR" advise="1">
        <values>
          <value>
            <val>0</val>
          </value>
        </values>
      </ddeItem>
      <ddeItem name="acct[60-04864].adjbal{1}/VR" advise="1">
        <values>
          <value>
            <val>0</val>
          </value>
        </values>
      </ddeItem>
      <ddeItem name="acct[60-04865].adjbal{1}/VR" advise="1">
        <values>
          <value>
            <val>0</val>
          </value>
        </values>
      </ddeItem>
      <ddeItem name="acct[60-04866].adjbal{1}/VR" advise="1">
        <values>
          <value>
            <val>0</val>
          </value>
        </values>
      </ddeItem>
      <ddeItem name="acct[60-04867].adjbal{1}/VR" advise="1">
        <values>
          <value>
            <val>0</val>
          </value>
        </values>
      </ddeItem>
      <ddeItem name="acct[60-04868].adjbal{1}/VR" advise="1">
        <values>
          <value>
            <val>0</val>
          </value>
        </values>
      </ddeItem>
      <ddeItem name="acct[60-04869].adjbal{1}/VR" advise="1">
        <values>
          <value>
            <val>0</val>
          </value>
        </values>
      </ddeItem>
      <ddeItem name="acct[60-04870].adjbal{1}/VR" advise="1">
        <values>
          <value>
            <val>0</val>
          </value>
        </values>
      </ddeItem>
      <ddeItem name="acct[60-04871].adjbal{1}/VR" advise="1">
        <values>
          <value>
            <val>0</val>
          </value>
        </values>
      </ddeItem>
      <ddeItem name="acct[60-04872].adjbal{1}/VR" advise="1">
        <values>
          <value>
            <val>0</val>
          </value>
        </values>
      </ddeItem>
      <ddeItem name="acct[60-04873].adjbal{1}/VR" advise="1">
        <values>
          <value>
            <val>0</val>
          </value>
        </values>
      </ddeItem>
      <ddeItem name="acct[60-04874].adjbal{1}/VR" advise="1">
        <values>
          <value>
            <val>0</val>
          </value>
        </values>
      </ddeItem>
      <ddeItem name="acct[60-04875].adjbal{1}/VR" advise="1">
        <values>
          <value>
            <val>0</val>
          </value>
        </values>
      </ddeItem>
      <ddeItem name="acct[60-04876].adjbal{1}/VR" advise="1">
        <values>
          <value>
            <val>0</val>
          </value>
        </values>
      </ddeItem>
      <ddeItem name="acct[60-04877].adjbal{1}/VR" advise="1">
        <values>
          <value>
            <val>0</val>
          </value>
        </values>
      </ddeItem>
      <ddeItem name="acct[60-04878].adjbal{1}/VR" advise="1">
        <values>
          <value>
            <val>0</val>
          </value>
        </values>
      </ddeItem>
      <ddeItem name="acct[60-04879].adjbal{1}/VR" advise="1">
        <values>
          <value>
            <val>0</val>
          </value>
        </values>
      </ddeItem>
      <ddeItem name="acct[60-04880].adjbal{1}/VR" advise="1">
        <values>
          <value>
            <val>0</val>
          </value>
        </values>
      </ddeItem>
      <ddeItem name="acct[60-04999].adjbal{1}/VR" advise="1">
        <values>
          <value>
            <val>0</val>
          </value>
        </values>
      </ddeItem>
      <ddeItem name="acct[60-07110].adjbal{1}/VR" advise="1">
        <values>
          <value>
            <val>0</val>
          </value>
        </values>
      </ddeItem>
      <ddeItem name="acct[60-07120].adjbal{1}/VR" advise="1">
        <values>
          <value>
            <val>0</val>
          </value>
        </values>
      </ddeItem>
      <ddeItem name="acct[60-07140].adjbal{1}/VR" advise="1">
        <values>
          <value>
            <val>0</val>
          </value>
        </values>
      </ddeItem>
      <ddeItem name="acct[60-07210].adjbal{1}/VR" advise="1">
        <values>
          <value>
            <val>0</val>
          </value>
        </values>
      </ddeItem>
      <ddeItem name="acct[60-07220].adjbal{1}/VR" advise="1">
        <values>
          <value>
            <val>0</val>
          </value>
        </values>
      </ddeItem>
      <ddeItem name="acct[60-07230].adjbal{1}/VR" advise="1">
        <values>
          <value>
            <val>0</val>
          </value>
        </values>
      </ddeItem>
      <ddeItem name="acct[60-07300].adjbal{1}/VR" advise="1">
        <values>
          <value>
            <val>0</val>
          </value>
        </values>
      </ddeItem>
      <ddeItem name="acct[60-07900].adjbal{1}/VR" advise="1">
        <values>
          <value>
            <val>0</val>
          </value>
        </values>
      </ddeItem>
      <ddeItem name="acct[60-07990].adjbal{1}/VR" advise="1">
        <values>
          <value>
            <val>0</val>
          </value>
        </values>
      </ddeItem>
      <ddeItem name="acct[60-08140].adjbal{1}" advise="1">
        <values>
          <value>
            <val>0</val>
          </value>
        </values>
      </ddeItem>
      <ddeItem name="acct[60-08410].adjbal{1}" advise="1">
        <values>
          <value>
            <val>0</val>
          </value>
        </values>
      </ddeItem>
      <ddeItem name="acct[60-08420].adjbal{1}" advise="1">
        <values>
          <value>
            <val>0</val>
          </value>
        </values>
      </ddeItem>
      <ddeItem name="acct[60-08430].adjbal{1}" advise="1">
        <values>
          <value>
            <val>0</val>
          </value>
        </values>
      </ddeItem>
      <ddeItem name="acct[60-08440].adjbal{1}" advise="1">
        <values>
          <value>
            <val>0</val>
          </value>
        </values>
      </ddeItem>
      <ddeItem name="acct[60-08510].adjbal{1}" advise="1">
        <values>
          <value>
            <val>0</val>
          </value>
        </values>
      </ddeItem>
      <ddeItem name="acct[60-08520].adjbal{1}" advise="1">
        <values>
          <value>
            <val>0</val>
          </value>
        </values>
      </ddeItem>
      <ddeItem name="acct[60-08530].adjbal{1}" advise="1">
        <values>
          <value>
            <val>0</val>
          </value>
        </values>
      </ddeItem>
      <ddeItem name="acct[60-08540].adjbal{1}" advise="1">
        <values>
          <value>
            <val>0</val>
          </value>
        </values>
      </ddeItem>
      <ddeItem name="acct[60-08910].adjbal{1}" advise="1">
        <values>
          <value>
            <val>0</val>
          </value>
        </values>
      </ddeItem>
      <ddeItem name="acct[60-08990].adjbal{1}" advise="1">
        <values>
          <value>
            <val>0</val>
          </value>
        </values>
      </ddeItem>
      <ddeItem name="acct[60-25301].adjbal{1}" advise="1">
        <values>
          <value>
            <val>0</val>
          </value>
        </values>
      </ddeItem>
      <ddeItem name="acct[60-25302].adjbal{1}" advise="1">
        <values>
          <value>
            <val>0</val>
          </value>
        </values>
      </ddeItem>
      <ddeItem name="acct[60-25303].adjbal{1}" advise="1">
        <values>
          <value>
            <val>0</val>
          </value>
        </values>
      </ddeItem>
      <ddeItem name="acct[60-25304].adjbal{1}" advise="1">
        <values>
          <value>
            <val>0</val>
          </value>
        </values>
      </ddeItem>
      <ddeItem name="acct[60-25305].adjbal{1}" advise="1">
        <values>
          <value>
            <val>190224</val>
          </value>
        </values>
      </ddeItem>
      <ddeItem name="acct[60-25306].adjbal{1}" advise="1">
        <values>
          <value>
            <val>0</val>
          </value>
        </values>
      </ddeItem>
      <ddeItem name="acct[60-25307].adjbal{1}" advise="1">
        <values>
          <value>
            <val>0</val>
          </value>
        </values>
      </ddeItem>
      <ddeItem name="acct[60-25308].adjbal{1}" advise="1">
        <values>
          <value>
            <val>0</val>
          </value>
        </values>
      </ddeItem>
      <ddeItem name="acct[60-29001].adjbal{1}" advise="1">
        <values>
          <value>
            <val>0</val>
          </value>
        </values>
      </ddeItem>
      <ddeItem name="acct[60-29002].adjbal{1}" advise="1">
        <values>
          <value>
            <val>0</val>
          </value>
        </values>
      </ddeItem>
      <ddeItem name="acct[60-29003].adjbal{1}" advise="1">
        <values>
          <value>
            <val>0</val>
          </value>
        </values>
      </ddeItem>
      <ddeItem name="acct[60-29004].adjbal{1}" advise="1">
        <values>
          <value>
            <val>0</val>
          </value>
        </values>
      </ddeItem>
      <ddeItem name="acct[60-29005].adjbal{1}" advise="1">
        <values>
          <value>
            <val>0</val>
          </value>
        </values>
      </ddeItem>
      <ddeItem name="acct[60-29006].adjbal{1}" advise="1">
        <values>
          <value>
            <val>0</val>
          </value>
        </values>
      </ddeItem>
      <ddeItem name="acct[60-29007].adjbal{1}" advise="1">
        <values>
          <value>
            <val>0</val>
          </value>
        </values>
      </ddeItem>
      <ddeItem name="acct[60-29008].adjbal{1}" advise="1">
        <values>
          <value>
            <val>0</val>
          </value>
        </values>
      </ddeItem>
      <ddeItem name="acct[60-41103].adjbal{1}" advise="1">
        <values>
          <value t="str">
            <val xml:space="preserve"> </val>
          </value>
        </values>
      </ddeItem>
      <ddeItem name="acct[60-41106].adjbal{1}" advise="1">
        <values>
          <value t="str">
            <val xml:space="preserve"> </val>
          </value>
        </values>
      </ddeItem>
      <ddeItem name="acct[60-41203].adjbal{1}" advise="1">
        <values>
          <value>
            <val>0</val>
          </value>
        </values>
      </ddeItem>
      <ddeItem name="acct[60-41206].adjbal{1}" advise="1">
        <values>
          <value>
            <val>0</val>
          </value>
        </values>
      </ddeItem>
      <ddeItem name="acct[60-41403].adjbal{1}" advise="1">
        <values>
          <value>
            <val>0</val>
          </value>
        </values>
      </ddeItem>
      <ddeItem name="acct[60-41406].adjbal{1}" advise="1">
        <values>
          <value>
            <val>0</val>
          </value>
        </values>
      </ddeItem>
      <ddeItem name="acct[60-41903].adjbal{1}" advise="1">
        <values>
          <value>
            <val>0</val>
          </value>
        </values>
      </ddeItem>
      <ddeItem name="acct[60-41906].adjbal{1}" advise="1">
        <values>
          <value>
            <val>0</val>
          </value>
        </values>
      </ddeItem>
      <ddeItem name="acct[70-00101].adjbal{1}" advise="1">
        <values>
          <value>
            <val>445189</val>
          </value>
        </values>
      </ddeItem>
      <ddeItem name="acct[70-00120].adjbal{1}" advise="1">
        <values>
          <value>
            <val>0</val>
          </value>
        </values>
      </ddeItem>
      <ddeItem name="acct[70-00130].adjbal{1}" advise="1">
        <values>
          <value>
            <val>0</val>
          </value>
        </values>
      </ddeItem>
      <ddeItem name="acct[70-00140].adjbal{1}" advise="1">
        <values>
          <value>
            <val>0</val>
          </value>
        </values>
      </ddeItem>
      <ddeItem name="acct[70-00150].adjbal{1}" advise="1">
        <values>
          <value>
            <val>0</val>
          </value>
        </values>
      </ddeItem>
      <ddeItem name="acct[70-00160].adjbal{1}" advise="1">
        <values>
          <value>
            <val>0</val>
          </value>
        </values>
      </ddeItem>
      <ddeItem name="acct[70-00170].adjbal{1}" advise="1">
        <values>
          <value t="str">
            <val xml:space="preserve"> </val>
          </value>
        </values>
      </ddeItem>
      <ddeItem name="acct[70-00180].adjbal{1}" advise="1">
        <values>
          <value t="str">
            <val xml:space="preserve"> </val>
          </value>
        </values>
      </ddeItem>
      <ddeItem name="acct[70-00190].adjbal{1}" advise="1">
        <values>
          <value>
            <val>0</val>
          </value>
        </values>
      </ddeItem>
      <ddeItem name="acct[70-00420].adjbal{1}/VR" advise="1">
        <values>
          <value>
            <val>0</val>
          </value>
        </values>
      </ddeItem>
      <ddeItem name="acct[70-00430].adjbal{1}/VR" advise="1">
        <values>
          <value>
            <val>0</val>
          </value>
        </values>
      </ddeItem>
      <ddeItem name="acct[70-00440].adjbal{1}/VR" advise="1">
        <values>
          <value>
            <val>0</val>
          </value>
        </values>
      </ddeItem>
      <ddeItem name="acct[70-00460].adjbal{1}/VR" advise="1">
        <values>
          <value>
            <val>0</val>
          </value>
        </values>
      </ddeItem>
      <ddeItem name="acct[70-00470].adjbal{1}/VR" advise="1">
        <values>
          <value>
            <val>0</val>
          </value>
        </values>
      </ddeItem>
      <ddeItem name="acct[70-00480].adjbal{1}/VR" advise="1">
        <values>
          <value>
            <val>0</val>
          </value>
        </values>
      </ddeItem>
      <ddeItem name="acct[70-00490].adjbal{1}/VR" advise="1">
        <values>
          <value>
            <val>0</val>
          </value>
        </values>
      </ddeItem>
      <ddeItem name="acct[70-00493].adjbal{1}/VR" advise="1">
        <values>
          <value>
            <val>0</val>
          </value>
        </values>
      </ddeItem>
      <ddeItem name="acct[70-01110].adjbal{1}/VR" advise="1">
        <values>
          <value>
            <val>102635</val>
          </value>
        </values>
      </ddeItem>
      <ddeItem name="acct[70-01190].adjbal{1}/VR" advise="1">
        <values>
          <value>
            <val>0</val>
          </value>
        </values>
      </ddeItem>
      <ddeItem name="acct[70-01210].adjbal{1}/VR" advise="1">
        <values>
          <value>
            <val>0</val>
          </value>
        </values>
      </ddeItem>
      <ddeItem name="acct[70-01220].adjbal{1}/VR" advise="1">
        <values>
          <value>
            <val>0</val>
          </value>
        </values>
      </ddeItem>
      <ddeItem name="acct[70-01230].adjbal{1}/VR" advise="1">
        <values>
          <value>
            <val>0</val>
          </value>
        </values>
      </ddeItem>
      <ddeItem name="acct[70-01290].adjbal{1}/VR" advise="1">
        <values>
          <value>
            <val>0</val>
          </value>
        </values>
      </ddeItem>
      <ddeItem name="acct[70-01510].adjbal{1}/VR" advise="1">
        <values>
          <value>
            <val>242</val>
          </value>
        </values>
      </ddeItem>
      <ddeItem name="acct[70-01520].adjbal{1}/VR" advise="1">
        <values>
          <value>
            <val>0</val>
          </value>
        </values>
      </ddeItem>
      <ddeItem name="acct[70-01920].adjbal{1}/VR" advise="1">
        <values>
          <value>
            <val>0</val>
          </value>
        </values>
      </ddeItem>
      <ddeItem name="acct[70-01930].adjbal{1}/VR" advise="1">
        <values>
          <value>
            <val>0</val>
          </value>
        </values>
      </ddeItem>
      <ddeItem name="acct[70-01960].adjbal{1}/VR" advise="1">
        <values>
          <value>
            <val>0</val>
          </value>
        </values>
      </ddeItem>
      <ddeItem name="acct[70-01980].adjbal{1}/VR" advise="1">
        <values>
          <value>
            <val>0</val>
          </value>
        </values>
      </ddeItem>
      <ddeItem name="acct[70-01999].adjbal{1}/VR" advise="1">
        <values>
          <value>
            <val>0</val>
          </value>
        </values>
      </ddeItem>
      <ddeItem name="acct[70-03410].adjbal{1}/VR" advise="1">
        <values>
          <value>
            <val>0</val>
          </value>
        </values>
      </ddeItem>
      <ddeItem name="acct[70-03499].adjbal{1}/VR" advise="1">
        <values>
          <value>
            <val>0</val>
          </value>
        </values>
      </ddeItem>
      <ddeItem name="acct[70-03999].adjbal{1}/VR" advise="1">
        <values>
          <value>
            <val>0</val>
          </value>
        </values>
      </ddeItem>
      <ddeItem name="acct[70-04001].adjbal{1}/VR" advise="1">
        <values>
          <value>
            <val>0</val>
          </value>
        </values>
      </ddeItem>
      <ddeItem name="acct[70-04009].adjbal{1}/VR" advise="1">
        <values>
          <value>
            <val>0</val>
          </value>
        </values>
      </ddeItem>
      <ddeItem name="acct[70-07140].adjbal{1}/VR" advise="1">
        <values>
          <value>
            <val>0</val>
          </value>
        </values>
      </ddeItem>
      <ddeItem name="acct[70-07210].adjbal{1}/VR" advise="1">
        <values>
          <value>
            <val>0</val>
          </value>
        </values>
      </ddeItem>
      <ddeItem name="acct[70-07220].adjbal{1}/VR" advise="1">
        <values>
          <value>
            <val>0</val>
          </value>
        </values>
      </ddeItem>
      <ddeItem name="acct[70-07230].adjbal{1}/VR" advise="1">
        <values>
          <value>
            <val>0</val>
          </value>
        </values>
      </ddeItem>
      <ddeItem name="acct[70-07990].adjbal{1}/VR" advise="1">
        <values>
          <value>
            <val>0</val>
          </value>
        </values>
      </ddeItem>
      <ddeItem name="acct[70-08990].adjbal{1}" advise="1">
        <values>
          <value>
            <val>0</val>
          </value>
        </values>
      </ddeItem>
      <ddeItem name="acct[80-00120].adjbal{1}" advise="1">
        <values>
          <value>
            <val>172899</val>
          </value>
        </values>
      </ddeItem>
      <ddeItem name="acct[80-00130].adjbal{1}" advise="1">
        <values>
          <value>
            <val>0</val>
          </value>
        </values>
      </ddeItem>
      <ddeItem name="acct[80-00140].adjbal{1}" advise="1">
        <values>
          <value>
            <val>0</val>
          </value>
        </values>
      </ddeItem>
      <ddeItem name="acct[80-00150].adjbal{1}" advise="1">
        <values>
          <value>
            <val>0</val>
          </value>
        </values>
      </ddeItem>
      <ddeItem name="acct[80-00160].adjbal{1}" advise="1">
        <values>
          <value>
            <val>0</val>
          </value>
        </values>
      </ddeItem>
      <ddeItem name="acct[80-00170].adjbal{1}" advise="1">
        <values>
          <value t="str">
            <val xml:space="preserve"> </val>
          </value>
        </values>
      </ddeItem>
      <ddeItem name="acct[80-00180].adjbal{1}" advise="1">
        <values>
          <value t="str">
            <val xml:space="preserve"> </val>
          </value>
        </values>
      </ddeItem>
      <ddeItem name="acct[80-00190].adjbal{1}" advise="1">
        <values>
          <value>
            <val>0</val>
          </value>
        </values>
      </ddeItem>
      <ddeItem name="acct[80-00410].adjbal{1}/VR" advise="1">
        <values>
          <value>
            <val>0</val>
          </value>
        </values>
      </ddeItem>
      <ddeItem name="acct[80-00420].adjbal{1}/VR" advise="1">
        <values>
          <value>
            <val>0</val>
          </value>
        </values>
      </ddeItem>
      <ddeItem name="acct[80-00440].adjbal{1}/VR" advise="1">
        <values>
          <value>
            <val>0</val>
          </value>
        </values>
      </ddeItem>
      <ddeItem name="acct[80-00460].adjbal{1}/VR" advise="1">
        <values>
          <value>
            <val>0</val>
          </value>
        </values>
      </ddeItem>
      <ddeItem name="acct[80-00470].adjbal{1}/VR" advise="1">
        <values>
          <value>
            <val>0</val>
          </value>
        </values>
      </ddeItem>
      <ddeItem name="acct[80-00480].adjbal{1}/VR" advise="1">
        <values>
          <value>
            <val>0</val>
          </value>
        </values>
      </ddeItem>
      <ddeItem name="acct[80-00493].adjbal{1}/VR" advise="1">
        <values>
          <value>
            <val>0</val>
          </value>
        </values>
      </ddeItem>
      <ddeItem name="acct[80-01110].adjbal{1}/VR" advise="1">
        <values>
          <value>
            <val>303409</val>
          </value>
        </values>
      </ddeItem>
      <ddeItem name="acct[80-01190].adjbal{1}/VR" advise="1">
        <values>
          <value>
            <val>0</val>
          </value>
        </values>
      </ddeItem>
      <ddeItem name="acct[80-01210].adjbal{1}/VR" advise="1">
        <values>
          <value>
            <val>0</val>
          </value>
        </values>
      </ddeItem>
      <ddeItem name="acct[80-01220].adjbal{1}/VR" advise="1">
        <values>
          <value>
            <val>0</val>
          </value>
        </values>
      </ddeItem>
      <ddeItem name="acct[80-01230].adjbal{1}/VR" advise="1">
        <values>
          <value>
            <val>0</val>
          </value>
        </values>
      </ddeItem>
      <ddeItem name="acct[80-01290].adjbal{1}/VR" advise="1">
        <values>
          <value>
            <val>0</val>
          </value>
        </values>
      </ddeItem>
      <ddeItem name="acct[80-01510].adjbal{1}/VR" advise="1">
        <values>
          <value>
            <val>90</val>
          </value>
        </values>
      </ddeItem>
      <ddeItem name="acct[80-01520].adjbal{1}/VR" advise="1">
        <values>
          <value>
            <val>0</val>
          </value>
        </values>
      </ddeItem>
      <ddeItem name="acct[80-01920].adjbal{1}/VR" advise="1">
        <values>
          <value>
            <val>0</val>
          </value>
        </values>
      </ddeItem>
      <ddeItem name="acct[80-01930].adjbal{1}/VR" advise="1">
        <values>
          <value>
            <val>0</val>
          </value>
        </values>
      </ddeItem>
      <ddeItem name="acct[80-01950].adjbal{1}/VR" advise="1">
        <values>
          <value>
            <val>0</val>
          </value>
        </values>
      </ddeItem>
      <ddeItem name="acct[80-01960].adjbal{1}/VR" advise="1">
        <values>
          <value>
            <val>0</val>
          </value>
        </values>
      </ddeItem>
      <ddeItem name="acct[80-01980].adjbal{1}/VR" advise="1">
        <values>
          <value>
            <val>0</val>
          </value>
        </values>
      </ddeItem>
      <ddeItem name="acct[80-01993].adjbal{1}/VR" advise="1">
        <values>
          <value>
            <val>0</val>
          </value>
        </values>
      </ddeItem>
      <ddeItem name="acct[80-01999].adjbal{1}/VR" advise="1">
        <values>
          <value>
            <val>0</val>
          </value>
        </values>
      </ddeItem>
      <ddeItem name="acct[80-03001].adjbal{1}/VR" advise="1">
        <values>
          <value>
            <val>0</val>
          </value>
        </values>
      </ddeItem>
      <ddeItem name="acct[80-03002].adjbal{1}/VR" advise="1">
        <values>
          <value>
            <val>0</val>
          </value>
        </values>
      </ddeItem>
      <ddeItem name="acct[80-03005].adjbal{1}/VR" advise="1">
        <values>
          <value>
            <val>0</val>
          </value>
        </values>
      </ddeItem>
      <ddeItem name="acct[80-03099].adjbal{1}/VR" advise="1">
        <values>
          <value>
            <val>0</val>
          </value>
        </values>
      </ddeItem>
      <ddeItem name="acct[80-03410].adjbal{1}/VR" advise="1">
        <values>
          <value>
            <val>0</val>
          </value>
        </values>
      </ddeItem>
      <ddeItem name="acct[80-03499].adjbal{1}/VR" advise="1">
        <values>
          <value>
            <val>0</val>
          </value>
        </values>
      </ddeItem>
      <ddeItem name="acct[80-03999].adjbal{1}/VR" advise="1">
        <values>
          <value>
            <val>0</val>
          </value>
        </values>
      </ddeItem>
      <ddeItem name="acct[80-04001].adjbal{1}/VR" advise="1">
        <values>
          <value>
            <val>0</val>
          </value>
        </values>
      </ddeItem>
      <ddeItem name="acct[80-04009].adjbal{1}/VR" advise="1">
        <values>
          <value>
            <val>0</val>
          </value>
        </values>
      </ddeItem>
      <ddeItem name="acct[80-04850].adjbal{1}/VR" advise="1">
        <values>
          <value>
            <val>0</val>
          </value>
        </values>
      </ddeItem>
      <ddeItem name="acct[80-04852].adjbal{1}/VR" advise="1">
        <values>
          <value>
            <val>0</val>
          </value>
        </values>
      </ddeItem>
      <ddeItem name="acct[80-04853].adjbal{1}/VR" advise="1">
        <values>
          <value>
            <val>0</val>
          </value>
        </values>
      </ddeItem>
      <ddeItem name="acct[80-04854].adjbal{1}/VR" advise="1">
        <values>
          <value>
            <val>0</val>
          </value>
        </values>
      </ddeItem>
      <ddeItem name="acct[80-04855].adjbal{1}/VR" advise="1">
        <values>
          <value>
            <val>0</val>
          </value>
        </values>
      </ddeItem>
      <ddeItem name="acct[80-04856].adjbal{1}/VR" advise="1">
        <values>
          <value>
            <val>0</val>
          </value>
        </values>
      </ddeItem>
      <ddeItem name="acct[80-04857].adjbal{1}/VR" advise="1">
        <values>
          <value>
            <val>0</val>
          </value>
        </values>
      </ddeItem>
      <ddeItem name="acct[80-04860].adjbal{1}/VR" advise="1">
        <values>
          <value>
            <val>0</val>
          </value>
        </values>
      </ddeItem>
      <ddeItem name="acct[80-04861].adjbal{1}/VR" advise="1">
        <values>
          <value>
            <val>0</val>
          </value>
        </values>
      </ddeItem>
      <ddeItem name="acct[80-04864].adjbal{1}/VR" advise="1">
        <values>
          <value>
            <val>0</val>
          </value>
        </values>
      </ddeItem>
      <ddeItem name="acct[80-04865].adjbal{1}/VR" advise="1">
        <values>
          <value>
            <val>0</val>
          </value>
        </values>
      </ddeItem>
      <ddeItem name="acct[80-04866].adjbal{1}/VR" advise="1">
        <values>
          <value>
            <val>0</val>
          </value>
        </values>
      </ddeItem>
      <ddeItem name="acct[80-04867].adjbal{1}/VR" advise="1">
        <values>
          <value>
            <val>0</val>
          </value>
        </values>
      </ddeItem>
      <ddeItem name="acct[80-04868].adjbal{1}/VR" advise="1">
        <values>
          <value>
            <val>0</val>
          </value>
        </values>
      </ddeItem>
      <ddeItem name="acct[80-04869].adjbal{1}/VR" advise="1">
        <values>
          <value>
            <val>0</val>
          </value>
        </values>
      </ddeItem>
      <ddeItem name="acct[80-04870].adjbal{1}/VR" advise="1">
        <values>
          <value>
            <val>0</val>
          </value>
        </values>
      </ddeItem>
      <ddeItem name="acct[80-04871].adjbal{1}/VR" advise="1">
        <values>
          <value>
            <val>0</val>
          </value>
        </values>
      </ddeItem>
      <ddeItem name="acct[80-04872].adjbal{1}/VR" advise="1">
        <values>
          <value>
            <val>0</val>
          </value>
        </values>
      </ddeItem>
      <ddeItem name="acct[80-04873].adjbal{1}/VR" advise="1">
        <values>
          <value>
            <val>0</val>
          </value>
        </values>
      </ddeItem>
      <ddeItem name="acct[80-04874].adjbal{1}/VR" advise="1">
        <values>
          <value>
            <val>0</val>
          </value>
        </values>
      </ddeItem>
      <ddeItem name="acct[80-04875].adjbal{1}/VR" advise="1">
        <values>
          <value>
            <val>0</val>
          </value>
        </values>
      </ddeItem>
      <ddeItem name="acct[80-04876].adjbal{1}/VR" advise="1">
        <values>
          <value>
            <val>0</val>
          </value>
        </values>
      </ddeItem>
      <ddeItem name="acct[80-04877].adjbal{1}/VR" advise="1">
        <values>
          <value>
            <val>0</val>
          </value>
        </values>
      </ddeItem>
      <ddeItem name="acct[80-04878].adjbal{1}/VR" advise="1">
        <values>
          <value>
            <val>0</val>
          </value>
        </values>
      </ddeItem>
      <ddeItem name="acct[80-04879].adjbal{1}/VR" advise="1">
        <values>
          <value>
            <val>0</val>
          </value>
        </values>
      </ddeItem>
      <ddeItem name="acct[80-04880].adjbal{1}/VR" advise="1">
        <values>
          <value>
            <val>0</val>
          </value>
        </values>
      </ddeItem>
      <ddeItem name="acct[80-07110].adjbal{1}/VR" advise="1">
        <values>
          <value>
            <val>0</val>
          </value>
        </values>
      </ddeItem>
      <ddeItem name="acct[80-07120].adjbal{1}/VR" advise="1">
        <values>
          <value>
            <val>0</val>
          </value>
        </values>
      </ddeItem>
      <ddeItem name="acct[80-07140].adjbal{1}/VR" advise="1">
        <values>
          <value>
            <val>0</val>
          </value>
        </values>
      </ddeItem>
      <ddeItem name="acct[80-07210].adjbal{1}/VR" advise="1">
        <values>
          <value>
            <val>0</val>
          </value>
        </values>
      </ddeItem>
      <ddeItem name="acct[80-07220].adjbal{1}/VR" advise="1">
        <values>
          <value>
            <val>0</val>
          </value>
        </values>
      </ddeItem>
      <ddeItem name="acct[80-07230].adjbal{1}/VR" advise="1">
        <values>
          <value>
            <val>0</val>
          </value>
        </values>
      </ddeItem>
      <ddeItem name="acct[80-07300].adjbal{1}/VR" advise="1">
        <values>
          <value>
            <val>0</val>
          </value>
        </values>
      </ddeItem>
      <ddeItem name="acct[80-07990].adjbal{1}/VR" advise="1">
        <values>
          <value>
            <val>0</val>
          </value>
        </values>
      </ddeItem>
      <ddeItem name="acct[80-08140].adjbal{1}" advise="1">
        <values>
          <value>
            <val>0</val>
          </value>
        </values>
      </ddeItem>
      <ddeItem name="acct[80-08990].adjbal{1}" advise="1">
        <values>
          <value>
            <val>0</val>
          </value>
        </values>
      </ddeItem>
      <ddeItem name="acct[80-23611].adjbal{1}" advise="1">
        <values>
          <value>
            <val>0</val>
          </value>
        </values>
      </ddeItem>
      <ddeItem name="acct[80-23612].adjbal{1}" advise="1">
        <values>
          <value>
            <val>0</val>
          </value>
        </values>
      </ddeItem>
      <ddeItem name="acct[80-23613].adjbal{1}" advise="1">
        <values>
          <value>
            <val>0</val>
          </value>
        </values>
      </ddeItem>
      <ddeItem name="acct[80-23614].adjbal{1}" advise="1">
        <values>
          <value>
            <val>0</val>
          </value>
        </values>
      </ddeItem>
      <ddeItem name="acct[80-23615].adjbal{1}" advise="1">
        <values>
          <value>
            <val>0</val>
          </value>
        </values>
      </ddeItem>
      <ddeItem name="acct[80-23616].adjbal{1}" advise="1">
        <values>
          <value>
            <val>0</val>
          </value>
        </values>
      </ddeItem>
      <ddeItem name="acct[80-23617].adjbal{1}" advise="1">
        <values>
          <value>
            <val>0</val>
          </value>
        </values>
      </ddeItem>
      <ddeItem name="acct[80-23618].adjbal{1}" advise="1">
        <values>
          <value>
            <val>0</val>
          </value>
        </values>
      </ddeItem>
      <ddeItem name="acct[80-23621].adjbal{1}" advise="1">
        <values>
          <value>
            <val>0</val>
          </value>
        </values>
      </ddeItem>
      <ddeItem name="acct[80-23622].adjbal{1}" advise="1">
        <values>
          <value>
            <val>0</val>
          </value>
        </values>
      </ddeItem>
      <ddeItem name="acct[80-23623].adjbal{1}" advise="1">
        <values>
          <value>
            <val>0</val>
          </value>
        </values>
      </ddeItem>
      <ddeItem name="acct[80-23624].adjbal{1}" advise="1">
        <values>
          <value>
            <val>0</val>
          </value>
        </values>
      </ddeItem>
      <ddeItem name="acct[80-23625].adjbal{1}" advise="1">
        <values>
          <value>
            <val>0</val>
          </value>
        </values>
      </ddeItem>
      <ddeItem name="acct[80-23626].adjbal{1}" advise="1">
        <values>
          <value>
            <val>0</val>
          </value>
        </values>
      </ddeItem>
      <ddeItem name="acct[80-23627].adjbal{1}" advise="1">
        <values>
          <value>
            <val>0</val>
          </value>
        </values>
      </ddeItem>
      <ddeItem name="acct[80-23628].adjbal{1}" advise="1">
        <values>
          <value>
            <val>0</val>
          </value>
        </values>
      </ddeItem>
      <ddeItem name="acct[80-23631].adjbal{1}" advise="1">
        <values>
          <value>
            <val>0</val>
          </value>
        </values>
      </ddeItem>
      <ddeItem name="acct[80-23632].adjbal{1}" advise="1">
        <values>
          <value>
            <val>0</val>
          </value>
        </values>
      </ddeItem>
      <ddeItem name="acct[80-23633].adjbal{1}" advise="1">
        <values>
          <value>
            <val>0</val>
          </value>
        </values>
      </ddeItem>
      <ddeItem name="acct[80-23634].adjbal{1}" advise="1">
        <values>
          <value>
            <val>0</val>
          </value>
        </values>
      </ddeItem>
      <ddeItem name="acct[80-23635].adjbal{1}" advise="1">
        <values>
          <value>
            <val>0</val>
          </value>
        </values>
      </ddeItem>
      <ddeItem name="acct[80-23636].adjbal{1}" advise="1">
        <values>
          <value>
            <val>0</val>
          </value>
        </values>
      </ddeItem>
      <ddeItem name="acct[80-23637].adjbal{1}" advise="1">
        <values>
          <value>
            <val>0</val>
          </value>
        </values>
      </ddeItem>
      <ddeItem name="acct[80-23638].adjbal{1}" advise="1">
        <values>
          <value>
            <val>0</val>
          </value>
        </values>
      </ddeItem>
      <ddeItem name="acct[80-23641].adjbal{1}" advise="1">
        <values>
          <value>
            <val>0</val>
          </value>
        </values>
      </ddeItem>
      <ddeItem name="acct[80-23642].adjbal{1}" advise="1">
        <values>
          <value>
            <val>0</val>
          </value>
        </values>
      </ddeItem>
      <ddeItem name="acct[80-23643].adjbal{1}" advise="1">
        <values>
          <value>
            <val>144026</val>
          </value>
        </values>
      </ddeItem>
      <ddeItem name="acct[80-23644].adjbal{1}" advise="1">
        <values>
          <value>
            <val>0</val>
          </value>
        </values>
      </ddeItem>
      <ddeItem name="acct[80-23645].adjbal{1}" advise="1">
        <values>
          <value>
            <val>0</val>
          </value>
        </values>
      </ddeItem>
      <ddeItem name="acct[80-23646].adjbal{1}" advise="1">
        <values>
          <value>
            <val>0</val>
          </value>
        </values>
      </ddeItem>
      <ddeItem name="acct[80-23647].adjbal{1}" advise="1">
        <values>
          <value>
            <val>0</val>
          </value>
        </values>
      </ddeItem>
      <ddeItem name="acct[80-23648].adjbal{1}" advise="1">
        <values>
          <value>
            <val>0</val>
          </value>
        </values>
      </ddeItem>
      <ddeItem name="acct[80-23651].adjbal{1}" advise="1">
        <values>
          <value>
            <val>0</val>
          </value>
        </values>
      </ddeItem>
      <ddeItem name="acct[80-23652].adjbal{1}" advise="1">
        <values>
          <value>
            <val>0</val>
          </value>
        </values>
      </ddeItem>
      <ddeItem name="acct[80-23653].adjbal{1}" advise="1">
        <values>
          <value>
            <val>0</val>
          </value>
        </values>
      </ddeItem>
      <ddeItem name="acct[80-23654].adjbal{1}" advise="1">
        <values>
          <value>
            <val>0</val>
          </value>
        </values>
      </ddeItem>
      <ddeItem name="acct[80-23655].adjbal{1}" advise="1">
        <values>
          <value>
            <val>0</val>
          </value>
        </values>
      </ddeItem>
      <ddeItem name="acct[80-23656].adjbal{1}" advise="1">
        <values>
          <value>
            <val>0</val>
          </value>
        </values>
      </ddeItem>
      <ddeItem name="acct[80-23657].adjbal{1}" advise="1">
        <values>
          <value>
            <val>0</val>
          </value>
        </values>
      </ddeItem>
      <ddeItem name="acct[80-23658].adjbal{1}" advise="1">
        <values>
          <value>
            <val>0</val>
          </value>
        </values>
      </ddeItem>
      <ddeItem name="acct[80-23661].adjbal{1}" advise="1">
        <values>
          <value>
            <val>0</val>
          </value>
        </values>
      </ddeItem>
      <ddeItem name="acct[80-23662].adjbal{1}" advise="1">
        <values>
          <value>
            <val>0</val>
          </value>
        </values>
      </ddeItem>
      <ddeItem name="acct[80-23663].adjbal{1}" advise="1">
        <values>
          <value>
            <val>0</val>
          </value>
        </values>
      </ddeItem>
      <ddeItem name="acct[80-23664].adjbal{1}" advise="1">
        <values>
          <value>
            <val>0</val>
          </value>
        </values>
      </ddeItem>
      <ddeItem name="acct[80-23665].adjbal{1}" advise="1">
        <values>
          <value>
            <val>0</val>
          </value>
        </values>
      </ddeItem>
      <ddeItem name="acct[80-23666].adjbal{1}" advise="1">
        <values>
          <value>
            <val>0</val>
          </value>
        </values>
      </ddeItem>
      <ddeItem name="acct[80-23667].adjbal{1}" advise="1">
        <values>
          <value>
            <val>0</val>
          </value>
        </values>
      </ddeItem>
      <ddeItem name="acct[80-23668].adjbal{1}" advise="1">
        <values>
          <value>
            <val>0</val>
          </value>
        </values>
      </ddeItem>
      <ddeItem name="acct[80-23671].adjbal{1}" advise="1">
        <values>
          <value>
            <val>150045</val>
          </value>
        </values>
      </ddeItem>
      <ddeItem name="acct[80-23672].adjbal{1}" advise="1">
        <values>
          <value>
            <val>0</val>
          </value>
        </values>
      </ddeItem>
      <ddeItem name="acct[80-23673].adjbal{1}" advise="1">
        <values>
          <value>
            <val>0</val>
          </value>
        </values>
      </ddeItem>
      <ddeItem name="acct[80-23674].adjbal{1}" advise="1">
        <values>
          <value>
            <val>0</val>
          </value>
        </values>
      </ddeItem>
      <ddeItem name="acct[80-23675].adjbal{1}" advise="1">
        <values>
          <value>
            <val>0</val>
          </value>
        </values>
      </ddeItem>
      <ddeItem name="acct[80-23676].adjbal{1}" advise="1">
        <values>
          <value>
            <val>0</val>
          </value>
        </values>
      </ddeItem>
      <ddeItem name="acct[80-23677].adjbal{1}" advise="1">
        <values>
          <value>
            <val>0</val>
          </value>
        </values>
      </ddeItem>
      <ddeItem name="acct[80-23678].adjbal{1}" advise="1">
        <values>
          <value>
            <val>0</val>
          </value>
        </values>
      </ddeItem>
      <ddeItem name="acct[80-23681].adjbal{1}" advise="1">
        <values>
          <value>
            <val>0</val>
          </value>
        </values>
      </ddeItem>
      <ddeItem name="acct[80-23682].adjbal{1}" advise="1">
        <values>
          <value>
            <val>0</val>
          </value>
        </values>
      </ddeItem>
      <ddeItem name="acct[80-23683].adjbal{1}" advise="1">
        <values>
          <value>
            <val>0</val>
          </value>
        </values>
      </ddeItem>
      <ddeItem name="acct[80-23684].adjbal{1}" advise="1">
        <values>
          <value>
            <val>0</val>
          </value>
        </values>
      </ddeItem>
      <ddeItem name="acct[80-23685].adjbal{1}" advise="1">
        <values>
          <value>
            <val>0</val>
          </value>
        </values>
      </ddeItem>
      <ddeItem name="acct[80-23686].adjbal{1}" advise="1">
        <values>
          <value>
            <val>0</val>
          </value>
        </values>
      </ddeItem>
      <ddeItem name="acct[80-23687].adjbal{1}" advise="1">
        <values>
          <value>
            <val>0</val>
          </value>
        </values>
      </ddeItem>
      <ddeItem name="acct[80-23688].adjbal{1}" advise="1">
        <values>
          <value>
            <val>0</val>
          </value>
        </values>
      </ddeItem>
      <ddeItem name="acct[80-23691].adjbal{1}" advise="1">
        <values>
          <value>
            <val>0</val>
          </value>
        </values>
      </ddeItem>
      <ddeItem name="acct[80-23692].adjbal{1}" advise="1">
        <values>
          <value>
            <val>0</val>
          </value>
        </values>
      </ddeItem>
      <ddeItem name="acct[80-23693].adjbal{1}" advise="1">
        <values>
          <value>
            <val>0</val>
          </value>
        </values>
      </ddeItem>
      <ddeItem name="acct[80-23694].adjbal{1}" advise="1">
        <values>
          <value>
            <val>0</val>
          </value>
        </values>
      </ddeItem>
      <ddeItem name="acct[80-23695].adjbal{1}" advise="1">
        <values>
          <value>
            <val>0</val>
          </value>
        </values>
      </ddeItem>
      <ddeItem name="acct[80-23696].adjbal{1}" advise="1">
        <values>
          <value>
            <val>0</val>
          </value>
        </values>
      </ddeItem>
      <ddeItem name="acct[80-23697].adjbal{1}" advise="1">
        <values>
          <value>
            <val>0</val>
          </value>
        </values>
      </ddeItem>
      <ddeItem name="acct[80-23698].adjbal{1}" advise="1">
        <values>
          <value>
            <val>0</val>
          </value>
        </values>
      </ddeItem>
      <ddeItem name="acct[80-23711].adjbal{1}" advise="1">
        <values>
          <value>
            <val>0</val>
          </value>
        </values>
      </ddeItem>
      <ddeItem name="acct[80-23712].adjbal{1}" advise="1">
        <values>
          <value>
            <val>0</val>
          </value>
        </values>
      </ddeItem>
      <ddeItem name="acct[80-23713].adjbal{1}" advise="1">
        <values>
          <value>
            <val>0</val>
          </value>
        </values>
      </ddeItem>
      <ddeItem name="acct[80-23714].adjbal{1}" advise="1">
        <values>
          <value>
            <val>0</val>
          </value>
        </values>
      </ddeItem>
      <ddeItem name="acct[80-23715].adjbal{1}" advise="1">
        <values>
          <value>
            <val>0</val>
          </value>
        </values>
      </ddeItem>
      <ddeItem name="acct[80-23716].adjbal{1}" advise="1">
        <values>
          <value>
            <val>0</val>
          </value>
        </values>
      </ddeItem>
      <ddeItem name="acct[80-23717].adjbal{1}" advise="1">
        <values>
          <value>
            <val>0</val>
          </value>
        </values>
      </ddeItem>
      <ddeItem name="acct[80-23718].adjbal{1}" advise="1">
        <values>
          <value>
            <val>0</val>
          </value>
        </values>
      </ddeItem>
      <ddeItem name="acct[80-23721].adjbal{1}" advise="1">
        <values>
          <value>
            <val>0</val>
          </value>
        </values>
      </ddeItem>
      <ddeItem name="acct[80-23722].adjbal{1}" advise="1">
        <values>
          <value>
            <val>0</val>
          </value>
        </values>
      </ddeItem>
      <ddeItem name="acct[80-23723].adjbal{1}" advise="1">
        <values>
          <value>
            <val>0</val>
          </value>
        </values>
      </ddeItem>
      <ddeItem name="acct[80-23724].adjbal{1}" advise="1">
        <values>
          <value>
            <val>0</val>
          </value>
        </values>
      </ddeItem>
      <ddeItem name="acct[80-23725].adjbal{1}" advise="1">
        <values>
          <value>
            <val>0</val>
          </value>
        </values>
      </ddeItem>
      <ddeItem name="acct[80-23726].adjbal{1}" advise="1">
        <values>
          <value>
            <val>0</val>
          </value>
        </values>
      </ddeItem>
      <ddeItem name="acct[80-23727].adjbal{1}" advise="1">
        <values>
          <value>
            <val>0</val>
          </value>
        </values>
      </ddeItem>
      <ddeItem name="acct[80-23728].adjbal{1}" advise="1">
        <values>
          <value>
            <val>0</val>
          </value>
        </values>
      </ddeItem>
      <ddeItem name="acct[80-41106].adjbal{1}" advise="1">
        <values>
          <value t="str">
            <val xml:space="preserve"> </val>
          </value>
        </values>
      </ddeItem>
      <ddeItem name="acct[80-41206].adjbal{1}" advise="1">
        <values>
          <value t="str">
            <val xml:space="preserve"> </val>
          </value>
        </values>
      </ddeItem>
      <ddeItem name="acct[80-51106].adjbal{1}" advise="1">
        <values>
          <value>
            <val>0</val>
          </value>
        </values>
      </ddeItem>
      <ddeItem name="acct[80-51306].adjbal{1}" advise="1">
        <values>
          <value>
            <val>0</val>
          </value>
        </values>
      </ddeItem>
      <ddeItem name="acct[80-51506].adjbal{1}" advise="1">
        <values>
          <value>
            <val>0</val>
          </value>
        </values>
      </ddeItem>
      <ddeItem name="acct[90-00101].adjbal{1}" advise="1">
        <values>
          <value>
            <val>231407</val>
          </value>
        </values>
      </ddeItem>
      <ddeItem name="acct[90-00120].adjbal{1}" advise="1">
        <values>
          <value>
            <val>10866</val>
          </value>
        </values>
      </ddeItem>
      <ddeItem name="acct[90-00130].adjbal{1}" advise="1">
        <values>
          <value>
            <val>0</val>
          </value>
        </values>
      </ddeItem>
      <ddeItem name="acct[90-00140].adjbal{1}" advise="1">
        <values>
          <value>
            <val>0</val>
          </value>
        </values>
      </ddeItem>
      <ddeItem name="acct[90-00150].adjbal{1}" advise="1">
        <values>
          <value>
            <val>0</val>
          </value>
        </values>
      </ddeItem>
      <ddeItem name="acct[90-00160].adjbal{1}" advise="1">
        <values>
          <value>
            <val>0</val>
          </value>
        </values>
      </ddeItem>
      <ddeItem name="acct[90-00170].adjbal{1}" advise="1">
        <values>
          <value>
            <val>0</val>
          </value>
        </values>
      </ddeItem>
      <ddeItem name="acct[90-00180].adjbal{1}" advise="1">
        <values>
          <value t="str">
            <val xml:space="preserve"> </val>
          </value>
        </values>
      </ddeItem>
      <ddeItem name="acct[90-00190].adjbal{1}" advise="1">
        <values>
          <value>
            <val>0</val>
          </value>
        </values>
      </ddeItem>
      <ddeItem name="acct[90-00410].adjbal{1}/VR" advise="1">
        <values>
          <value>
            <val>0</val>
          </value>
        </values>
      </ddeItem>
      <ddeItem name="acct[90-00420].adjbal{1}/VR" advise="1">
        <values>
          <value>
            <val>0</val>
          </value>
        </values>
      </ddeItem>
      <ddeItem name="acct[90-00430].adjbal{1}/VR" advise="1">
        <values>
          <value>
            <val>0</val>
          </value>
        </values>
      </ddeItem>
      <ddeItem name="acct[90-00440].adjbal{1}/VR" advise="1">
        <values>
          <value>
            <val>0</val>
          </value>
        </values>
      </ddeItem>
      <ddeItem name="acct[90-00460].adjbal{1}/VR" advise="1">
        <values>
          <value>
            <val>0</val>
          </value>
        </values>
      </ddeItem>
      <ddeItem name="acct[90-00470].adjbal{1}/VR" advise="1">
        <values>
          <value>
            <val>0</val>
          </value>
        </values>
      </ddeItem>
      <ddeItem name="acct[90-00480].adjbal{1}/VR" advise="1">
        <values>
          <value>
            <val>0</val>
          </value>
        </values>
      </ddeItem>
      <ddeItem name="acct[90-00490].adjbal{1}/VR" advise="1">
        <values>
          <value>
            <val>0</val>
          </value>
        </values>
      </ddeItem>
      <ddeItem name="acct[90-00493].adjbal{1}/VR" advise="1">
        <values>
          <value>
            <val>0</val>
          </value>
        </values>
      </ddeItem>
      <ddeItem name="acct[90-01110].adjbal{1}/VR" advise="1">
        <values>
          <value>
            <val>102635</val>
          </value>
        </values>
      </ddeItem>
      <ddeItem name="acct[90-01190].adjbal{1}/VR" advise="1">
        <values>
          <value>
            <val>0</val>
          </value>
        </values>
      </ddeItem>
      <ddeItem name="acct[90-01210].adjbal{1}/VR" advise="1">
        <values>
          <value>
            <val>0</val>
          </value>
        </values>
      </ddeItem>
      <ddeItem name="acct[90-01220].adjbal{1}/VR" advise="1">
        <values>
          <value>
            <val>0</val>
          </value>
        </values>
      </ddeItem>
      <ddeItem name="acct[90-01230].adjbal{1}/VR" advise="1">
        <values>
          <value>
            <val>0</val>
          </value>
        </values>
      </ddeItem>
      <ddeItem name="acct[90-01290].adjbal{1}/VR" advise="1">
        <values>
          <value>
            <val>0</val>
          </value>
        </values>
      </ddeItem>
      <ddeItem name="acct[90-01510].adjbal{1}/VR" advise="1">
        <values>
          <value>
            <val>104</val>
          </value>
        </values>
      </ddeItem>
      <ddeItem name="acct[90-01520].adjbal{1}/VR" advise="1">
        <values>
          <value>
            <val>0</val>
          </value>
        </values>
      </ddeItem>
      <ddeItem name="acct[90-01920].adjbal{1}/VR" advise="1">
        <values>
          <value>
            <val>0</val>
          </value>
        </values>
      </ddeItem>
      <ddeItem name="acct[90-01930].adjbal{1}/VR" advise="1">
        <values>
          <value>
            <val>0</val>
          </value>
        </values>
      </ddeItem>
      <ddeItem name="acct[90-01950].adjbal{1}/VR" advise="1">
        <values>
          <value>
            <val>0</val>
          </value>
        </values>
      </ddeItem>
      <ddeItem name="acct[90-01960].adjbal{1}/VR" advise="1">
        <values>
          <value>
            <val>0</val>
          </value>
        </values>
      </ddeItem>
      <ddeItem name="acct[90-01980].adjbal{1}/VR" advise="1">
        <values>
          <value>
            <val>0</val>
          </value>
        </values>
      </ddeItem>
      <ddeItem name="acct[90-01993].adjbal{1}/VR" advise="1">
        <values>
          <value>
            <val>0</val>
          </value>
        </values>
      </ddeItem>
      <ddeItem name="acct[90-01999].adjbal{1}/VR" advise="1">
        <values>
          <value>
            <val>0</val>
          </value>
        </values>
      </ddeItem>
      <ddeItem name="acct[90-03001].adjbal{1}/VR" advise="1">
        <values>
          <value>
            <val>0</val>
          </value>
        </values>
      </ddeItem>
      <ddeItem name="acct[90-03002].adjbal{1}/VR" advise="1">
        <values>
          <value>
            <val>0</val>
          </value>
        </values>
      </ddeItem>
      <ddeItem name="acct[90-03005].adjbal{1}/VR" advise="1">
        <values>
          <value>
            <val>0</val>
          </value>
        </values>
      </ddeItem>
      <ddeItem name="acct[90-03099].adjbal{1}/VR" advise="1">
        <values>
          <value>
            <val>0</val>
          </value>
        </values>
      </ddeItem>
      <ddeItem name="acct[90-03410].adjbal{1}/VR" advise="1">
        <values>
          <value>
            <val>0</val>
          </value>
        </values>
      </ddeItem>
      <ddeItem name="acct[90-03499].adjbal{1}/VR" advise="1">
        <values>
          <value>
            <val>0</val>
          </value>
        </values>
      </ddeItem>
      <ddeItem name="acct[90-03775].adjbal{1}/VR" advise="1">
        <values>
          <value>
            <val>0</val>
          </value>
        </values>
      </ddeItem>
      <ddeItem name="acct[90-03780].adjbal{1}/VR" advise="1">
        <values>
          <value>
            <val>0</val>
          </value>
        </values>
      </ddeItem>
      <ddeItem name="acct[90-03925].adjbal{1}/VR" advise="1">
        <values>
          <value>
            <val>0</val>
          </value>
        </values>
      </ddeItem>
      <ddeItem name="acct[90-03999].adjbal{1}/VR" advise="1">
        <values>
          <value>
            <val>0</val>
          </value>
        </values>
      </ddeItem>
      <ddeItem name="acct[90-04001].adjbal{1}/VR" advise="1">
        <values>
          <value>
            <val>0</val>
          </value>
        </values>
      </ddeItem>
      <ddeItem name="acct[90-04009].adjbal{1}/VR" advise="1">
        <values>
          <value>
            <val>0</val>
          </value>
        </values>
      </ddeItem>
      <ddeItem name="acct[90-04090].adjbal{1}/VR" advise="1">
        <values>
          <value>
            <val>0</val>
          </value>
        </values>
      </ddeItem>
      <ddeItem name="acct[90-04850].adjbal{1}/VR" advise="1">
        <values>
          <value>
            <val>0</val>
          </value>
        </values>
      </ddeItem>
      <ddeItem name="acct[90-04852].adjbal{1}/VR" advise="1">
        <values>
          <value>
            <val>0</val>
          </value>
        </values>
      </ddeItem>
      <ddeItem name="acct[90-04853].adjbal{1}/VR" advise="1">
        <values>
          <value>
            <val>0</val>
          </value>
        </values>
      </ddeItem>
      <ddeItem name="acct[90-04854].adjbal{1}/VR" advise="1">
        <values>
          <value>
            <val>0</val>
          </value>
        </values>
      </ddeItem>
      <ddeItem name="acct[90-04855].adjbal{1}/VR" advise="1">
        <values>
          <value>
            <val>0</val>
          </value>
        </values>
      </ddeItem>
      <ddeItem name="acct[90-04856].adjbal{1}/VR" advise="1">
        <values>
          <value>
            <val>0</val>
          </value>
        </values>
      </ddeItem>
      <ddeItem name="acct[90-04857].adjbal{1}/VR" advise="1">
        <values>
          <value>
            <val>0</val>
          </value>
        </values>
      </ddeItem>
      <ddeItem name="acct[90-04860].adjbal{1}/VR" advise="1">
        <values>
          <value>
            <val>0</val>
          </value>
        </values>
      </ddeItem>
      <ddeItem name="acct[90-04861].adjbal{1}/VR" advise="1">
        <values>
          <value>
            <val>0</val>
          </value>
        </values>
      </ddeItem>
      <ddeItem name="acct[90-04864].adjbal{1}/VR" advise="1">
        <values>
          <value>
            <val>0</val>
          </value>
        </values>
      </ddeItem>
      <ddeItem name="acct[90-04865].adjbal{1}/VR" advise="1">
        <values>
          <value>
            <val>0</val>
          </value>
        </values>
      </ddeItem>
      <ddeItem name="acct[90-04866].adjbal{1}/VR" advise="1">
        <values>
          <value>
            <val>0</val>
          </value>
        </values>
      </ddeItem>
      <ddeItem name="acct[90-04867].adjbal{1}/VR" advise="1">
        <values>
          <value>
            <val>0</val>
          </value>
        </values>
      </ddeItem>
      <ddeItem name="acct[90-04868].adjbal{1}/VR" advise="1">
        <values>
          <value>
            <val>0</val>
          </value>
        </values>
      </ddeItem>
      <ddeItem name="acct[90-04869].adjbal{1}/VR" advise="1">
        <values>
          <value>
            <val>0</val>
          </value>
        </values>
      </ddeItem>
      <ddeItem name="acct[90-04870].adjbal{1}/VR" advise="1">
        <values>
          <value>
            <val>0</val>
          </value>
        </values>
      </ddeItem>
      <ddeItem name="acct[90-04871].adjbal{1}/VR" advise="1">
        <values>
          <value>
            <val>0</val>
          </value>
        </values>
      </ddeItem>
      <ddeItem name="acct[90-04872].adjbal{1}/VR" advise="1">
        <values>
          <value>
            <val>0</val>
          </value>
        </values>
      </ddeItem>
      <ddeItem name="acct[90-04873].adjbal{1}/VR" advise="1">
        <values>
          <value>
            <val>0</val>
          </value>
        </values>
      </ddeItem>
      <ddeItem name="acct[90-04874].adjbal{1}/VR" advise="1">
        <values>
          <value>
            <val>0</val>
          </value>
        </values>
      </ddeItem>
      <ddeItem name="acct[90-04875].adjbal{1}/VR" advise="1">
        <values>
          <value>
            <val>0</val>
          </value>
        </values>
      </ddeItem>
      <ddeItem name="acct[90-04876].adjbal{1}/VR" advise="1">
        <values>
          <value>
            <val>0</val>
          </value>
        </values>
      </ddeItem>
      <ddeItem name="acct[90-04877].adjbal{1}/VR" advise="1">
        <values>
          <value>
            <val>0</val>
          </value>
        </values>
      </ddeItem>
      <ddeItem name="acct[90-04878].adjbal{1}/VR" advise="1">
        <values>
          <value>
            <val>0</val>
          </value>
        </values>
      </ddeItem>
      <ddeItem name="acct[90-04879].adjbal{1}/VR" advise="1">
        <values>
          <value>
            <val>0</val>
          </value>
        </values>
      </ddeItem>
      <ddeItem name="acct[90-04880].adjbal{1}/VR" advise="1">
        <values>
          <value>
            <val>0</val>
          </value>
        </values>
      </ddeItem>
      <ddeItem name="acct[90-04999].adjbal{1}/VR" advise="1">
        <values>
          <value>
            <val>0</val>
          </value>
        </values>
      </ddeItem>
      <ddeItem name="acct[90-07110].adjbal{1}/VR" advise="1">
        <values>
          <value>
            <val>0</val>
          </value>
        </values>
      </ddeItem>
      <ddeItem name="acct[90-07120].adjbal{1}/VR" advise="1">
        <values>
          <value>
            <val>0</val>
          </value>
        </values>
      </ddeItem>
      <ddeItem name="acct[90-07140].adjbal{1}/VR" advise="1">
        <values>
          <value>
            <val>0</val>
          </value>
        </values>
      </ddeItem>
      <ddeItem name="acct[90-07210].adjbal{1}/VR" advise="1">
        <values>
          <value>
            <val>0</val>
          </value>
        </values>
      </ddeItem>
      <ddeItem name="acct[90-07220].adjbal{1}/VR" advise="1">
        <values>
          <value>
            <val>0</val>
          </value>
        </values>
      </ddeItem>
      <ddeItem name="acct[90-07230].adjbal{1}/VR" advise="1">
        <values>
          <value>
            <val>0</val>
          </value>
        </values>
      </ddeItem>
      <ddeItem name="acct[90-07300].adjbal{1}/VR" advise="1">
        <values>
          <value>
            <val>0</val>
          </value>
        </values>
      </ddeItem>
      <ddeItem name="acct[90-07900].adjbal{1}/VR" advise="1">
        <values>
          <value>
            <val>0</val>
          </value>
        </values>
      </ddeItem>
      <ddeItem name="acct[90-07990].adjbal{1}/VR" advise="1">
        <values>
          <value>
            <val>0</val>
          </value>
        </values>
      </ddeItem>
      <ddeItem name="acct[90-08910].adjbal{1}" advise="1">
        <values>
          <value>
            <val>0</val>
          </value>
        </values>
      </ddeItem>
      <ddeItem name="acct[90-08990].adjbal{1}" advise="1">
        <values>
          <value>
            <val>0</val>
          </value>
        </values>
      </ddeItem>
      <ddeItem name="acct[90-25301].adjbal{1}" advise="1">
        <values>
          <value>
            <val>0</val>
          </value>
        </values>
      </ddeItem>
      <ddeItem name="acct[90-25302].adjbal{1}" advise="1">
        <values>
          <value>
            <val>0</val>
          </value>
        </values>
      </ddeItem>
      <ddeItem name="acct[90-25303].adjbal{1}" advise="1">
        <values>
          <value>
            <val>0</val>
          </value>
        </values>
      </ddeItem>
      <ddeItem name="acct[90-25304].adjbal{1}" advise="1">
        <values>
          <value>
            <val>0</val>
          </value>
        </values>
      </ddeItem>
      <ddeItem name="acct[90-25305].adjbal{1}" advise="1">
        <values>
          <value>
            <val>0</val>
          </value>
        </values>
      </ddeItem>
      <ddeItem name="acct[90-25306].adjbal{1}" advise="1">
        <values>
          <value>
            <val>0</val>
          </value>
        </values>
      </ddeItem>
      <ddeItem name="acct[90-25307].adjbal{1}" advise="1">
        <values>
          <value>
            <val>0</val>
          </value>
        </values>
      </ddeItem>
      <ddeItem name="acct[90-25308].adjbal{1}" advise="1">
        <values>
          <value>
            <val>0</val>
          </value>
        </values>
      </ddeItem>
      <ddeItem name="acct[90-25401].adjbal{1}" advise="1">
        <values>
          <value>
            <val>0</val>
          </value>
        </values>
      </ddeItem>
      <ddeItem name="acct[90-25402].adjbal{1}" advise="1">
        <values>
          <value>
            <val>0</val>
          </value>
        </values>
      </ddeItem>
      <ddeItem name="acct[90-25403].adjbal{1}" advise="1">
        <values>
          <value>
            <val>32980</val>
          </value>
        </values>
      </ddeItem>
      <ddeItem name="acct[90-25404].adjbal{1}" advise="1">
        <values>
          <value>
            <val>0</val>
          </value>
        </values>
      </ddeItem>
      <ddeItem name="acct[90-25405].adjbal{1}" advise="1">
        <values>
          <value>
            <val>0</val>
          </value>
        </values>
      </ddeItem>
      <ddeItem name="acct[90-25406].adjbal{1}" advise="1">
        <values>
          <value>
            <val>0</val>
          </value>
        </values>
      </ddeItem>
      <ddeItem name="acct[90-25407].adjbal{1}" advise="1">
        <values>
          <value>
            <val>0</val>
          </value>
        </values>
      </ddeItem>
      <ddeItem name="acct[90-25408].adjbal{1}" advise="1">
        <values>
          <value>
            <val>0</val>
          </value>
        </values>
      </ddeItem>
      <ddeItem name="acct[90-29001].adjbal{1}" advise="1">
        <values>
          <value>
            <val>0</val>
          </value>
        </values>
      </ddeItem>
      <ddeItem name="acct[90-29002].adjbal{1}" advise="1">
        <values>
          <value>
            <val>0</val>
          </value>
        </values>
      </ddeItem>
      <ddeItem name="acct[90-29003].adjbal{1}" advise="1">
        <values>
          <value>
            <val>0</val>
          </value>
        </values>
      </ddeItem>
      <ddeItem name="acct[90-29004].adjbal{1}" advise="1">
        <values>
          <value>
            <val>0</val>
          </value>
        </values>
      </ddeItem>
      <ddeItem name="acct[90-29005].adjbal{1}" advise="1">
        <values>
          <value>
            <val>0</val>
          </value>
        </values>
      </ddeItem>
      <ddeItem name="acct[90-29006].adjbal{1}" advise="1">
        <values>
          <value>
            <val>0</val>
          </value>
        </values>
      </ddeItem>
      <ddeItem name="acct[90-29007].adjbal{1}" advise="1">
        <values>
          <value>
            <val>0</val>
          </value>
        </values>
      </ddeItem>
      <ddeItem name="acct[90-29008].adjbal{1}" advise="1">
        <values>
          <value>
            <val>0</val>
          </value>
        </values>
      </ddeItem>
      <ddeItem name="acct[90-41106].adjbal{1}" advise="1">
        <values>
          <value t="str">
            <val xml:space="preserve"> </val>
          </value>
        </values>
      </ddeItem>
      <ddeItem name="acct[90-41206].adjbal{1}" advise="1">
        <values>
          <value t="str">
            <val xml:space="preserve"> </val>
          </value>
        </values>
      </ddeItem>
      <ddeItem name="acct[90-41906].adjbal{1}" advise="1">
        <values>
          <value>
            <val>0</val>
          </value>
        </values>
      </ddeItem>
      <ddeItem name="acct[90-51106].adjbal{1}" advise="1">
        <values>
          <value>
            <val>0</val>
          </value>
        </values>
      </ddeItem>
      <ddeItem name="acct[90-51506].adjbal{1}" advise="1">
        <values>
          <value>
            <val>0</val>
          </value>
        </values>
      </ddeItem>
      <ddeItem name="acct[90-52006].adjbal{1}" advise="1">
        <values>
          <value>
            <val>0</val>
          </value>
        </values>
      </ddeItem>
      <ddeItem name="StdDocumentName" ole="1" advise="1"/>
    </ddeItems>
  </dd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2" t="s">
        <v>425</v>
      </c>
      <c r="J1" s="2013"/>
      <c r="K1" s="2013"/>
      <c r="L1" s="2013"/>
      <c r="M1" s="2013"/>
      <c r="N1" s="2013"/>
      <c r="O1" s="2013"/>
      <c r="P1" s="2013"/>
      <c r="Q1" s="2013"/>
      <c r="R1" s="2013"/>
      <c r="S1" s="2013"/>
    </row>
    <row r="2" spans="1:28" ht="12" customHeight="1" x14ac:dyDescent="0.2">
      <c r="A2" s="47" t="s">
        <v>1684</v>
      </c>
      <c r="D2" s="48"/>
      <c r="I2" s="2014" t="s">
        <v>1036</v>
      </c>
      <c r="J2" s="2013"/>
      <c r="K2" s="2013"/>
      <c r="L2" s="2013"/>
      <c r="M2" s="2013"/>
      <c r="N2" s="2013"/>
      <c r="O2" s="2013"/>
      <c r="P2" s="2013"/>
      <c r="Q2" s="2013"/>
      <c r="R2" s="2013"/>
      <c r="S2" s="2013"/>
    </row>
    <row r="3" spans="1:28" ht="12" customHeight="1" x14ac:dyDescent="0.2">
      <c r="A3" s="155" t="s">
        <v>1685</v>
      </c>
      <c r="B3" s="156"/>
      <c r="C3" s="156"/>
      <c r="D3" s="157"/>
      <c r="I3" s="2014" t="s">
        <v>54</v>
      </c>
      <c r="J3" s="2013"/>
      <c r="K3" s="2013"/>
      <c r="L3" s="2013"/>
      <c r="M3" s="2013"/>
      <c r="N3" s="2013"/>
      <c r="O3" s="2013"/>
      <c r="P3" s="2013"/>
      <c r="Q3" s="2013"/>
      <c r="R3" s="2013"/>
      <c r="S3" s="2013"/>
    </row>
    <row r="4" spans="1:28" ht="12" customHeight="1" x14ac:dyDescent="0.2">
      <c r="A4" s="37"/>
      <c r="I4" s="2014" t="s">
        <v>545</v>
      </c>
      <c r="J4" s="2013"/>
      <c r="K4" s="2013"/>
      <c r="L4" s="2013"/>
      <c r="M4" s="2013"/>
      <c r="N4" s="2013"/>
      <c r="O4" s="2013"/>
      <c r="P4" s="2013"/>
      <c r="Q4" s="2013"/>
      <c r="R4" s="2013"/>
      <c r="S4" s="2013"/>
    </row>
    <row r="5" spans="1:28" ht="14.1" customHeight="1" x14ac:dyDescent="0.2">
      <c r="B5" s="104" t="s">
        <v>2082</v>
      </c>
      <c r="C5" s="26" t="s">
        <v>966</v>
      </c>
      <c r="D5" s="84"/>
      <c r="E5" s="84"/>
      <c r="H5" s="38"/>
      <c r="I5" s="2022" t="s">
        <v>701</v>
      </c>
      <c r="J5" s="2021"/>
      <c r="K5" s="2021"/>
      <c r="L5" s="2021"/>
      <c r="M5" s="2021"/>
      <c r="N5" s="2021"/>
      <c r="O5" s="2021"/>
      <c r="P5" s="2021"/>
      <c r="Q5" s="2021"/>
      <c r="R5" s="2021"/>
      <c r="S5" s="2021"/>
    </row>
    <row r="6" spans="1:28" ht="14.1" customHeight="1" x14ac:dyDescent="0.2">
      <c r="B6" s="104"/>
      <c r="C6" s="26" t="s">
        <v>967</v>
      </c>
      <c r="D6" s="84"/>
      <c r="E6" s="84"/>
      <c r="I6" s="2020" t="s">
        <v>938</v>
      </c>
      <c r="J6" s="2021"/>
      <c r="K6" s="2021"/>
      <c r="L6" s="2021"/>
      <c r="M6" s="2021"/>
      <c r="N6" s="2021"/>
      <c r="O6" s="2021"/>
      <c r="P6" s="2021"/>
      <c r="Q6" s="2021"/>
      <c r="R6" s="2021"/>
      <c r="S6" s="2021"/>
    </row>
    <row r="7" spans="1:28" ht="12.2" customHeight="1" x14ac:dyDescent="0.2">
      <c r="I7" s="2015">
        <v>43281</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x14ac:dyDescent="0.2">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x14ac:dyDescent="0.2">
      <c r="A11" s="2043" t="s">
        <v>1012</v>
      </c>
      <c r="B11" s="2044"/>
      <c r="C11" s="2044"/>
      <c r="D11" s="2044"/>
      <c r="E11" s="2044"/>
      <c r="F11" s="2044"/>
      <c r="G11" s="2044"/>
      <c r="H11" s="2045"/>
      <c r="I11" s="27"/>
      <c r="J11" s="74"/>
      <c r="K11" s="27"/>
      <c r="O11" s="148" t="s">
        <v>2082</v>
      </c>
      <c r="P11" s="100" t="s">
        <v>210</v>
      </c>
      <c r="Q11" s="30"/>
      <c r="R11" s="28"/>
      <c r="S11" s="27"/>
      <c r="T11" s="2037"/>
      <c r="U11" s="2038"/>
      <c r="V11" s="2038"/>
      <c r="W11" s="2038"/>
      <c r="X11" s="2038"/>
      <c r="Y11" s="2038"/>
      <c r="Z11" s="2038"/>
      <c r="AA11" s="203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7">
        <v>11021305026</v>
      </c>
      <c r="B13" s="2048"/>
      <c r="C13" s="2048"/>
      <c r="D13" s="2048"/>
      <c r="E13" s="2048"/>
      <c r="F13" s="2048"/>
      <c r="G13" s="2048"/>
      <c r="H13" s="2049"/>
      <c r="I13" s="31"/>
      <c r="J13" s="30"/>
      <c r="K13" s="28"/>
      <c r="L13" s="30"/>
      <c r="M13" s="30"/>
      <c r="N13" s="30"/>
      <c r="O13" s="30"/>
      <c r="P13" s="30"/>
      <c r="Q13" s="30"/>
      <c r="R13" s="30"/>
      <c r="S13" s="30"/>
      <c r="T13" s="2052" t="s">
        <v>2075</v>
      </c>
      <c r="U13" s="2053"/>
      <c r="V13" s="2053"/>
      <c r="W13" s="2053"/>
      <c r="X13" s="2053"/>
      <c r="Y13" s="2054"/>
      <c r="Z13" s="2054"/>
      <c r="AA13" s="205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2084</v>
      </c>
      <c r="B15" s="2050"/>
      <c r="C15" s="2050"/>
      <c r="D15" s="2050"/>
      <c r="E15" s="2050"/>
      <c r="F15" s="2050"/>
      <c r="G15" s="2050"/>
      <c r="H15" s="2051"/>
      <c r="T15" s="2056" t="s">
        <v>2091</v>
      </c>
      <c r="U15" s="2000"/>
      <c r="V15" s="2000"/>
      <c r="W15" s="2000"/>
      <c r="X15" s="2000"/>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2216</v>
      </c>
      <c r="B17" s="2007"/>
      <c r="C17" s="2007"/>
      <c r="D17" s="2007"/>
      <c r="E17" s="2007"/>
      <c r="F17" s="2007"/>
      <c r="G17" s="2007"/>
      <c r="H17" s="2032"/>
      <c r="T17" s="2063" t="s">
        <v>2076</v>
      </c>
      <c r="U17" s="2064"/>
      <c r="V17" s="2064"/>
      <c r="W17" s="2064"/>
      <c r="X17" s="2064"/>
      <c r="Y17" s="2064"/>
      <c r="Z17" s="2064"/>
      <c r="AA17" s="2065"/>
    </row>
    <row r="18" spans="1:27" ht="13.5" customHeight="1" x14ac:dyDescent="0.2">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x14ac:dyDescent="0.2">
      <c r="A19" s="2046" t="s">
        <v>2085</v>
      </c>
      <c r="B19" s="1992"/>
      <c r="C19" s="1992"/>
      <c r="D19" s="1992"/>
      <c r="E19" s="1992"/>
      <c r="F19" s="1992"/>
      <c r="G19" s="1992"/>
      <c r="H19" s="1972"/>
      <c r="I19" s="30"/>
      <c r="J19" s="99"/>
      <c r="K19" s="40"/>
      <c r="L19" s="38"/>
      <c r="M19" s="112" t="s">
        <v>333</v>
      </c>
      <c r="P19" s="27"/>
      <c r="Q19" s="27"/>
      <c r="R19" s="27"/>
      <c r="S19" s="31"/>
      <c r="T19" s="2046" t="s">
        <v>2077</v>
      </c>
      <c r="U19" s="1971"/>
      <c r="V19" s="1971"/>
      <c r="W19" s="1972"/>
      <c r="X19" s="2061" t="s">
        <v>2078</v>
      </c>
      <c r="Y19" s="2062"/>
      <c r="Z19" s="2059">
        <v>62565</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0" t="s">
        <v>2086</v>
      </c>
      <c r="B21" s="1971"/>
      <c r="C21" s="1971"/>
      <c r="D21" s="1971"/>
      <c r="E21" s="1971"/>
      <c r="F21" s="1971"/>
      <c r="G21" s="1971"/>
      <c r="H21" s="1972"/>
      <c r="I21" s="2026" t="s">
        <v>699</v>
      </c>
      <c r="J21" s="2021"/>
      <c r="K21" s="2021"/>
      <c r="L21" s="2021"/>
      <c r="M21" s="2021"/>
      <c r="N21" s="2021"/>
      <c r="O21" s="2021"/>
      <c r="P21" s="2021"/>
      <c r="Q21" s="2021"/>
      <c r="R21" s="2021"/>
      <c r="S21" s="2027"/>
      <c r="T21" s="2070" t="s">
        <v>2079</v>
      </c>
      <c r="U21" s="2071"/>
      <c r="V21" s="2071"/>
      <c r="W21" s="2071"/>
      <c r="X21" s="2076" t="s">
        <v>2083</v>
      </c>
      <c r="Y21" s="2077"/>
      <c r="Z21" s="2077"/>
      <c r="AA21" s="2078"/>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3" t="s">
        <v>2087</v>
      </c>
      <c r="B23" s="2024"/>
      <c r="C23" s="2024"/>
      <c r="D23" s="2024"/>
      <c r="E23" s="2024"/>
      <c r="F23" s="2024"/>
      <c r="G23" s="2024"/>
      <c r="H23" s="2025"/>
      <c r="T23" s="2006" t="s">
        <v>2080</v>
      </c>
      <c r="U23" s="2069"/>
      <c r="V23" s="2069"/>
      <c r="W23" s="2069"/>
      <c r="X23" s="2073">
        <v>43434</v>
      </c>
      <c r="Y23" s="2074"/>
      <c r="Z23" s="2074"/>
      <c r="AA23" s="2075"/>
    </row>
    <row r="24" spans="1:27" ht="14.1" customHeight="1" x14ac:dyDescent="0.2">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x14ac:dyDescent="0.2">
      <c r="A25" s="1970">
        <v>61911</v>
      </c>
      <c r="B25" s="1971"/>
      <c r="C25" s="1971"/>
      <c r="D25" s="1971"/>
      <c r="E25" s="1971"/>
      <c r="F25" s="1971"/>
      <c r="G25" s="1971"/>
      <c r="H25" s="1972"/>
      <c r="I25" s="113"/>
      <c r="J25" s="1995"/>
      <c r="K25" s="1995"/>
      <c r="L25" s="1995"/>
      <c r="M25" s="1995"/>
      <c r="N25" s="1995"/>
      <c r="O25" s="1995"/>
      <c r="P25" s="1995"/>
      <c r="Q25" s="1995"/>
      <c r="R25" s="1995"/>
      <c r="S25" s="1996"/>
      <c r="T25" s="2066" t="s">
        <v>2081</v>
      </c>
      <c r="U25" s="2067"/>
      <c r="V25" s="2067"/>
      <c r="W25" s="2067"/>
      <c r="X25" s="2067"/>
      <c r="Y25" s="2067"/>
      <c r="Z25" s="2067"/>
      <c r="AA25" s="20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1" t="s">
        <v>1591</v>
      </c>
      <c r="J27" s="1982"/>
      <c r="K27" s="1982"/>
      <c r="L27" s="1982"/>
      <c r="M27" s="1982"/>
      <c r="N27" s="1982"/>
      <c r="O27" s="1982"/>
      <c r="P27" s="1982"/>
      <c r="Q27" s="1982"/>
      <c r="R27" s="1982"/>
      <c r="S27" s="198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2082</v>
      </c>
      <c r="C29" s="124" t="s">
        <v>874</v>
      </c>
      <c r="D29" s="114"/>
      <c r="E29" s="136"/>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2082</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2088</v>
      </c>
      <c r="B38" s="2007"/>
      <c r="C38" s="2007"/>
      <c r="D38" s="2007"/>
      <c r="E38" s="2007"/>
      <c r="F38" s="1971"/>
      <c r="G38" s="1971"/>
      <c r="H38" s="1972"/>
      <c r="I38" s="1999"/>
      <c r="J38" s="2000"/>
      <c r="K38" s="2000"/>
      <c r="L38" s="2000"/>
      <c r="M38" s="2000"/>
      <c r="N38" s="2000"/>
      <c r="O38" s="2000"/>
      <c r="P38" s="2001"/>
      <c r="Q38" s="2001"/>
      <c r="R38" s="2001"/>
      <c r="S38" s="2002"/>
      <c r="T38" s="2056" t="s">
        <v>2092</v>
      </c>
      <c r="U38" s="2000"/>
      <c r="V38" s="2000"/>
      <c r="W38" s="2000"/>
      <c r="X38" s="2001"/>
      <c r="Y38" s="2001"/>
      <c r="Z38" s="2001"/>
      <c r="AA38" s="2002"/>
    </row>
    <row r="39" spans="1:27" ht="12" customHeight="1" x14ac:dyDescent="0.2">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x14ac:dyDescent="0.2">
      <c r="A40" s="1984" t="s">
        <v>2087</v>
      </c>
      <c r="B40" s="1985"/>
      <c r="C40" s="1986"/>
      <c r="D40" s="1986"/>
      <c r="E40" s="1986"/>
      <c r="F40" s="1987"/>
      <c r="G40" s="1987"/>
      <c r="H40" s="1988"/>
      <c r="I40" s="2009"/>
      <c r="J40" s="2010"/>
      <c r="K40" s="2010"/>
      <c r="L40" s="2010"/>
      <c r="M40" s="2010"/>
      <c r="N40" s="2010"/>
      <c r="O40" s="2010"/>
      <c r="P40" s="2010"/>
      <c r="Q40" s="2010"/>
      <c r="R40" s="2010"/>
      <c r="S40" s="2011"/>
      <c r="T40" s="2009" t="s">
        <v>2093</v>
      </c>
      <c r="U40" s="2072"/>
      <c r="V40" s="2010"/>
      <c r="W40" s="2010"/>
      <c r="X40" s="2010"/>
      <c r="Y40" s="2010"/>
      <c r="Z40" s="2010"/>
      <c r="AA40" s="201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8" t="s">
        <v>2089</v>
      </c>
      <c r="B42" s="1990"/>
      <c r="C42" s="1991"/>
      <c r="D42" s="1989" t="s">
        <v>2090</v>
      </c>
      <c r="E42" s="1990"/>
      <c r="F42" s="1990"/>
      <c r="G42" s="1990"/>
      <c r="H42" s="1991"/>
      <c r="I42" s="1973"/>
      <c r="J42" s="1974"/>
      <c r="K42" s="1974"/>
      <c r="L42" s="1974"/>
      <c r="M42" s="1974"/>
      <c r="N42" s="1974"/>
      <c r="O42" s="1975"/>
      <c r="P42" s="2008"/>
      <c r="Q42" s="1974"/>
      <c r="R42" s="1974"/>
      <c r="S42" s="1975"/>
      <c r="T42" s="1973" t="s">
        <v>2094</v>
      </c>
      <c r="U42" s="1974"/>
      <c r="V42" s="1974"/>
      <c r="W42" s="1975"/>
      <c r="X42" s="2008" t="s">
        <v>2095</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B29" sqref="B2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12" t="s">
        <v>1903</v>
      </c>
      <c r="B2" s="1544" t="s">
        <v>2035</v>
      </c>
      <c r="C2" s="714" t="s">
        <v>1908</v>
      </c>
      <c r="D2" s="714" t="s">
        <v>1909</v>
      </c>
      <c r="E2" s="714" t="s">
        <v>1910</v>
      </c>
      <c r="F2" s="714" t="s">
        <v>1911</v>
      </c>
    </row>
    <row r="3" spans="1:6" ht="12" customHeight="1" x14ac:dyDescent="0.2">
      <c r="A3" s="2213"/>
      <c r="B3" s="1541"/>
      <c r="C3" s="1542"/>
      <c r="D3" s="1543" t="s">
        <v>274</v>
      </c>
      <c r="E3" s="1542"/>
      <c r="F3" s="1543" t="s">
        <v>275</v>
      </c>
    </row>
    <row r="4" spans="1:6" ht="13.7" customHeight="1" x14ac:dyDescent="0.2">
      <c r="A4" s="715" t="s">
        <v>1217</v>
      </c>
      <c r="B4" s="1764">
        <f>'Revenues 9-14'!C5</f>
        <v>4959721</v>
      </c>
      <c r="C4" s="1540">
        <v>36458</v>
      </c>
      <c r="D4" s="1767">
        <f>B4-C4</f>
        <v>4923263</v>
      </c>
      <c r="E4" s="1540">
        <v>5174814</v>
      </c>
      <c r="F4" s="1767">
        <f>E4-C4</f>
        <v>5138356</v>
      </c>
    </row>
    <row r="5" spans="1:6" ht="13.7" customHeight="1" x14ac:dyDescent="0.2">
      <c r="A5" s="715" t="s">
        <v>925</v>
      </c>
      <c r="B5" s="1765">
        <f>'Revenues 9-14'!D5</f>
        <v>1026360</v>
      </c>
      <c r="C5" s="585">
        <v>7596</v>
      </c>
      <c r="D5" s="1768">
        <f t="shared" ref="D5:D18" si="0">B5-C5</f>
        <v>1018764</v>
      </c>
      <c r="E5" s="585">
        <v>1078086</v>
      </c>
      <c r="F5" s="1768">
        <f>E5-C5</f>
        <v>1070490</v>
      </c>
    </row>
    <row r="6" spans="1:6" ht="13.7" customHeight="1" x14ac:dyDescent="0.2">
      <c r="A6" s="715" t="s">
        <v>431</v>
      </c>
      <c r="B6" s="1765">
        <f>'Revenues 9-14'!E5</f>
        <v>395504</v>
      </c>
      <c r="C6" s="585">
        <v>1694</v>
      </c>
      <c r="D6" s="1768">
        <f t="shared" si="0"/>
        <v>393810</v>
      </c>
      <c r="E6" s="585">
        <v>391291</v>
      </c>
      <c r="F6" s="1768">
        <f t="shared" ref="F6:F18" si="1">E6-C6</f>
        <v>389597</v>
      </c>
    </row>
    <row r="7" spans="1:6" ht="13.7" customHeight="1" x14ac:dyDescent="0.2">
      <c r="A7" s="715" t="s">
        <v>157</v>
      </c>
      <c r="B7" s="1765">
        <f>'Revenues 9-14'!F5</f>
        <v>410546</v>
      </c>
      <c r="C7" s="585">
        <v>3038</v>
      </c>
      <c r="D7" s="1768">
        <f t="shared" si="0"/>
        <v>407508</v>
      </c>
      <c r="E7" s="585">
        <v>431234</v>
      </c>
      <c r="F7" s="1768">
        <f t="shared" si="1"/>
        <v>428196</v>
      </c>
    </row>
    <row r="8" spans="1:6" ht="13.7" customHeight="1" x14ac:dyDescent="0.2">
      <c r="A8" s="715" t="s">
        <v>1241</v>
      </c>
      <c r="B8" s="1765">
        <f>'Revenues 9-14'!G5</f>
        <v>147179</v>
      </c>
      <c r="C8" s="585">
        <v>1031</v>
      </c>
      <c r="D8" s="1768">
        <f t="shared" si="0"/>
        <v>146148</v>
      </c>
      <c r="E8" s="585">
        <v>146040</v>
      </c>
      <c r="F8" s="1768">
        <f t="shared" si="1"/>
        <v>145009</v>
      </c>
    </row>
    <row r="9" spans="1:6" ht="13.7" customHeight="1" x14ac:dyDescent="0.2">
      <c r="A9" s="715" t="s">
        <v>428</v>
      </c>
      <c r="B9" s="1765">
        <f>'Revenues 9-14'!H5</f>
        <v>0</v>
      </c>
      <c r="C9" s="585"/>
      <c r="D9" s="1768">
        <f t="shared" si="0"/>
        <v>0</v>
      </c>
      <c r="E9" s="585"/>
      <c r="F9" s="1768">
        <f t="shared" si="1"/>
        <v>0</v>
      </c>
    </row>
    <row r="10" spans="1:6" ht="13.7" customHeight="1" x14ac:dyDescent="0.2">
      <c r="A10" s="715" t="s">
        <v>427</v>
      </c>
      <c r="B10" s="1765">
        <f>'Revenues 9-14'!I5</f>
        <v>102635</v>
      </c>
      <c r="C10" s="585">
        <v>759</v>
      </c>
      <c r="D10" s="1768">
        <f t="shared" si="0"/>
        <v>101876</v>
      </c>
      <c r="E10" s="585">
        <v>107809</v>
      </c>
      <c r="F10" s="1768">
        <f t="shared" si="1"/>
        <v>107050</v>
      </c>
    </row>
    <row r="11" spans="1:6" x14ac:dyDescent="0.2">
      <c r="A11" s="715" t="s">
        <v>429</v>
      </c>
      <c r="B11" s="1765">
        <f>'Revenues 9-14'!J5</f>
        <v>303409</v>
      </c>
      <c r="C11" s="585">
        <v>2127</v>
      </c>
      <c r="D11" s="1768">
        <f t="shared" si="0"/>
        <v>301282</v>
      </c>
      <c r="E11" s="585">
        <v>301123</v>
      </c>
      <c r="F11" s="1768">
        <f t="shared" si="1"/>
        <v>298996</v>
      </c>
    </row>
    <row r="12" spans="1:6" ht="13.7" customHeight="1" x14ac:dyDescent="0.2">
      <c r="A12" s="715" t="s">
        <v>159</v>
      </c>
      <c r="B12" s="1765">
        <f>'Revenues 9-14'!K5</f>
        <v>102635</v>
      </c>
      <c r="C12" s="585">
        <v>759</v>
      </c>
      <c r="D12" s="1768">
        <f t="shared" si="0"/>
        <v>101876</v>
      </c>
      <c r="E12" s="585">
        <v>107809</v>
      </c>
      <c r="F12" s="1768">
        <f t="shared" si="1"/>
        <v>107050</v>
      </c>
    </row>
    <row r="13" spans="1:6" ht="13.7" customHeight="1" x14ac:dyDescent="0.2">
      <c r="A13" s="715" t="s">
        <v>993</v>
      </c>
      <c r="B13" s="1765">
        <f>SUM('Revenues 9-14'!C6:D6)</f>
        <v>102636</v>
      </c>
      <c r="C13" s="585">
        <v>761</v>
      </c>
      <c r="D13" s="1768">
        <f t="shared" si="0"/>
        <v>101875</v>
      </c>
      <c r="E13" s="585">
        <v>107809</v>
      </c>
      <c r="F13" s="1768">
        <f t="shared" si="1"/>
        <v>107048</v>
      </c>
    </row>
    <row r="14" spans="1:6" ht="13.7" customHeight="1" x14ac:dyDescent="0.2">
      <c r="A14" s="715" t="s">
        <v>430</v>
      </c>
      <c r="B14" s="1765">
        <f>SUM('Revenues 9-14'!C7:D7,'Revenues 9-14'!F7:H7)</f>
        <v>82109</v>
      </c>
      <c r="C14" s="585">
        <v>608</v>
      </c>
      <c r="D14" s="1768">
        <f t="shared" si="0"/>
        <v>81501</v>
      </c>
      <c r="E14" s="585">
        <v>86247</v>
      </c>
      <c r="F14" s="1768">
        <f t="shared" si="1"/>
        <v>85639</v>
      </c>
    </row>
    <row r="15" spans="1:6" ht="13.7" customHeight="1" x14ac:dyDescent="0.2">
      <c r="A15" s="715" t="s">
        <v>1220</v>
      </c>
      <c r="B15" s="1765">
        <f>'Revenues 9-14'!E9</f>
        <v>0</v>
      </c>
      <c r="C15" s="585"/>
      <c r="D15" s="1768">
        <f t="shared" si="0"/>
        <v>0</v>
      </c>
      <c r="E15" s="585"/>
      <c r="F15" s="1768">
        <f t="shared" si="1"/>
        <v>0</v>
      </c>
    </row>
    <row r="16" spans="1:6" ht="13.7" customHeight="1" x14ac:dyDescent="0.2">
      <c r="A16" s="715" t="s">
        <v>1221</v>
      </c>
      <c r="B16" s="1765">
        <f>'Revenues 9-14'!G8</f>
        <v>187425</v>
      </c>
      <c r="C16" s="585">
        <v>1313</v>
      </c>
      <c r="D16" s="1768">
        <f t="shared" si="0"/>
        <v>186112</v>
      </c>
      <c r="E16" s="585">
        <v>185991</v>
      </c>
      <c r="F16" s="1768">
        <f t="shared" si="1"/>
        <v>184678</v>
      </c>
    </row>
    <row r="17" spans="1:6" ht="13.7" customHeight="1" x14ac:dyDescent="0.2">
      <c r="A17" s="715" t="s">
        <v>1222</v>
      </c>
      <c r="B17" s="1765">
        <f>'Revenues 9-14'!C10</f>
        <v>0</v>
      </c>
      <c r="C17" s="585"/>
      <c r="D17" s="1768">
        <f t="shared" si="0"/>
        <v>0</v>
      </c>
      <c r="E17" s="585"/>
      <c r="F17" s="1768">
        <f t="shared" si="1"/>
        <v>0</v>
      </c>
    </row>
    <row r="18" spans="1:6" ht="13.7" customHeight="1" x14ac:dyDescent="0.2">
      <c r="A18" s="715" t="s">
        <v>786</v>
      </c>
      <c r="B18" s="1765">
        <f>SUM('Revenues 9-14'!C11:K11)</f>
        <v>0</v>
      </c>
      <c r="C18" s="585">
        <v>-503</v>
      </c>
      <c r="D18" s="1768">
        <f t="shared" si="0"/>
        <v>503</v>
      </c>
      <c r="E18" s="585">
        <v>-2093</v>
      </c>
      <c r="F18" s="1768">
        <f t="shared" si="1"/>
        <v>-1590</v>
      </c>
    </row>
    <row r="19" spans="1:6" ht="13.7" customHeight="1" thickBot="1" x14ac:dyDescent="0.25">
      <c r="A19" s="1769" t="s">
        <v>1223</v>
      </c>
      <c r="B19" s="1766">
        <f>SUM(B4:B18)</f>
        <v>7820159</v>
      </c>
      <c r="C19" s="1766">
        <f>SUM(C4:C18)</f>
        <v>55641</v>
      </c>
      <c r="D19" s="1766">
        <f>SUM(D4:D18)</f>
        <v>7764518</v>
      </c>
      <c r="E19" s="1766">
        <f>SUM(E4:E18)</f>
        <v>8116160</v>
      </c>
      <c r="F19" s="1766">
        <f>SUM(F4:F18)</f>
        <v>8060519</v>
      </c>
    </row>
    <row r="20" spans="1:6" ht="13.5" thickTop="1" x14ac:dyDescent="0.2">
      <c r="B20" s="713"/>
      <c r="F20" s="716"/>
    </row>
    <row r="21" spans="1:6" x14ac:dyDescent="0.2">
      <c r="A21" s="717" t="s">
        <v>1913</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B29" sqref="B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1"/>
    </row>
    <row r="2" spans="1:7" ht="33.75" x14ac:dyDescent="0.2">
      <c r="A2" s="2239" t="s">
        <v>1903</v>
      </c>
      <c r="B2" s="2240"/>
      <c r="C2" s="1902" t="s">
        <v>2036</v>
      </c>
      <c r="D2" s="723" t="s">
        <v>2043</v>
      </c>
      <c r="E2" s="723" t="s">
        <v>2044</v>
      </c>
      <c r="F2" s="1902" t="s">
        <v>2037</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0">
        <f>SUM(C4+D4)-E4</f>
        <v>0</v>
      </c>
    </row>
    <row r="5" spans="1:7" ht="15.75" customHeight="1" thickTop="1" x14ac:dyDescent="0.2">
      <c r="A5" s="2233" t="s">
        <v>1172</v>
      </c>
      <c r="B5" s="2228"/>
      <c r="C5" s="2222"/>
      <c r="D5" s="2223"/>
      <c r="E5" s="2223"/>
      <c r="F5" s="2224"/>
    </row>
    <row r="6" spans="1:7" ht="12.75" customHeight="1" thickBot="1" x14ac:dyDescent="0.25">
      <c r="A6" s="724" t="s">
        <v>66</v>
      </c>
      <c r="B6" s="725"/>
      <c r="C6" s="726"/>
      <c r="D6" s="585"/>
      <c r="E6" s="726"/>
      <c r="F6" s="1770">
        <f t="shared" ref="F6:F14" si="0">SUM(C6+D6)-E6</f>
        <v>0</v>
      </c>
    </row>
    <row r="7" spans="1:7" ht="12.75" customHeight="1" thickTop="1" thickBot="1" x14ac:dyDescent="0.25">
      <c r="A7" s="724" t="s">
        <v>6</v>
      </c>
      <c r="B7" s="725"/>
      <c r="C7" s="726"/>
      <c r="D7" s="585"/>
      <c r="E7" s="726"/>
      <c r="F7" s="1770">
        <f t="shared" si="0"/>
        <v>0</v>
      </c>
    </row>
    <row r="8" spans="1:7" ht="12.75" customHeight="1" thickTop="1" thickBot="1" x14ac:dyDescent="0.25">
      <c r="A8" s="724" t="s">
        <v>529</v>
      </c>
      <c r="B8" s="725"/>
      <c r="C8" s="726"/>
      <c r="D8" s="585"/>
      <c r="E8" s="726"/>
      <c r="F8" s="1770">
        <f t="shared" si="0"/>
        <v>0</v>
      </c>
    </row>
    <row r="9" spans="1:7" ht="12.75" customHeight="1" thickTop="1" thickBot="1" x14ac:dyDescent="0.25">
      <c r="A9" s="724" t="s">
        <v>530</v>
      </c>
      <c r="B9" s="725"/>
      <c r="C9" s="726"/>
      <c r="D9" s="585"/>
      <c r="E9" s="726"/>
      <c r="F9" s="1770">
        <f t="shared" si="0"/>
        <v>0</v>
      </c>
    </row>
    <row r="10" spans="1:7" ht="12.75" customHeight="1" thickTop="1" thickBot="1" x14ac:dyDescent="0.25">
      <c r="A10" s="724" t="s">
        <v>531</v>
      </c>
      <c r="B10" s="725"/>
      <c r="C10" s="726"/>
      <c r="D10" s="585"/>
      <c r="E10" s="726"/>
      <c r="F10" s="1770">
        <f t="shared" si="0"/>
        <v>0</v>
      </c>
    </row>
    <row r="11" spans="1:7" ht="12.75" customHeight="1" thickTop="1" thickBot="1" x14ac:dyDescent="0.25">
      <c r="A11" s="724" t="s">
        <v>359</v>
      </c>
      <c r="B11" s="725"/>
      <c r="C11" s="726"/>
      <c r="D11" s="585"/>
      <c r="E11" s="726"/>
      <c r="F11" s="1770">
        <f t="shared" si="0"/>
        <v>0</v>
      </c>
    </row>
    <row r="12" spans="1:7" ht="12.75" customHeight="1" thickTop="1" thickBot="1" x14ac:dyDescent="0.25">
      <c r="A12" s="724" t="s">
        <v>1219</v>
      </c>
      <c r="B12" s="725"/>
      <c r="C12" s="726"/>
      <c r="D12" s="585"/>
      <c r="E12" s="726"/>
      <c r="F12" s="1770">
        <f t="shared" si="0"/>
        <v>0</v>
      </c>
    </row>
    <row r="13" spans="1:7" ht="12.75" customHeight="1" thickTop="1" thickBot="1" x14ac:dyDescent="0.25">
      <c r="A13" s="724" t="s">
        <v>406</v>
      </c>
      <c r="B13" s="725"/>
      <c r="C13" s="726"/>
      <c r="D13" s="585"/>
      <c r="E13" s="726"/>
      <c r="F13" s="1770">
        <f t="shared" si="0"/>
        <v>0</v>
      </c>
    </row>
    <row r="14" spans="1:7" ht="12.75" customHeight="1" thickTop="1" thickBot="1" x14ac:dyDescent="0.25">
      <c r="A14" s="724" t="s">
        <v>468</v>
      </c>
      <c r="B14" s="725"/>
      <c r="C14" s="726"/>
      <c r="D14" s="585"/>
      <c r="E14" s="726"/>
      <c r="F14" s="1770">
        <f t="shared" si="0"/>
        <v>0</v>
      </c>
    </row>
    <row r="15" spans="1:7" ht="14.25" thickTop="1" thickBot="1" x14ac:dyDescent="0.25">
      <c r="A15" s="2225" t="s">
        <v>652</v>
      </c>
      <c r="B15" s="2226"/>
      <c r="C15" s="1770">
        <f>SUM(C6:C14)</f>
        <v>0</v>
      </c>
      <c r="D15" s="1770">
        <f>SUM(D6:D14)</f>
        <v>0</v>
      </c>
      <c r="E15" s="1770">
        <f>SUM(E6:E14)</f>
        <v>0</v>
      </c>
      <c r="F15" s="1770">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6"/>
      <c r="D17" s="585"/>
      <c r="E17" s="726"/>
      <c r="F17" s="1770">
        <f>SUM(C17+D17)-E17</f>
        <v>0</v>
      </c>
    </row>
    <row r="18" spans="1:11" ht="12.75" customHeight="1" thickTop="1" thickBot="1" x14ac:dyDescent="0.25">
      <c r="A18" s="2220" t="s">
        <v>6</v>
      </c>
      <c r="B18" s="2221"/>
      <c r="C18" s="726"/>
      <c r="D18" s="585"/>
      <c r="E18" s="726"/>
      <c r="F18" s="1770">
        <f>SUM(C18+D18)-E18</f>
        <v>0</v>
      </c>
    </row>
    <row r="19" spans="1:11" ht="12.75" customHeight="1" thickTop="1" thickBot="1" x14ac:dyDescent="0.25">
      <c r="A19" s="2220" t="s">
        <v>406</v>
      </c>
      <c r="B19" s="2221"/>
      <c r="C19" s="726"/>
      <c r="D19" s="585"/>
      <c r="E19" s="726"/>
      <c r="F19" s="1770">
        <f>SUM(C19+D19)-E19</f>
        <v>0</v>
      </c>
    </row>
    <row r="20" spans="1:11" ht="12.75" customHeight="1" thickTop="1" thickBot="1" x14ac:dyDescent="0.25">
      <c r="A20" s="2220" t="s">
        <v>468</v>
      </c>
      <c r="B20" s="2221"/>
      <c r="C20" s="726"/>
      <c r="D20" s="585"/>
      <c r="E20" s="726"/>
      <c r="F20" s="1770">
        <f>SUM(C20+D20)-E20</f>
        <v>0</v>
      </c>
    </row>
    <row r="21" spans="1:11" ht="14.25" thickTop="1" thickBot="1" x14ac:dyDescent="0.25">
      <c r="A21" s="2225" t="s">
        <v>653</v>
      </c>
      <c r="B21" s="2226"/>
      <c r="C21" s="1770">
        <f>SUM(C17:C20)</f>
        <v>0</v>
      </c>
      <c r="D21" s="1770">
        <f>SUM(D17:D20)</f>
        <v>0</v>
      </c>
      <c r="E21" s="1770">
        <f>SUM(E17:E20)</f>
        <v>0</v>
      </c>
      <c r="F21" s="1770">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0">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0">
        <f>SUM(C25+D25)-E25</f>
        <v>0</v>
      </c>
      <c r="G25" s="552"/>
    </row>
    <row r="26" spans="1:11" ht="15.75" customHeight="1" thickTop="1" x14ac:dyDescent="0.2">
      <c r="A26" s="2233" t="s">
        <v>678</v>
      </c>
      <c r="B26" s="2228"/>
      <c r="C26" s="727"/>
      <c r="D26" s="727"/>
      <c r="E26" s="727"/>
      <c r="F26" s="728"/>
    </row>
    <row r="27" spans="1:11" ht="13.5" thickBot="1" x14ac:dyDescent="0.25">
      <c r="A27" s="2225" t="s">
        <v>1130</v>
      </c>
      <c r="B27" s="2226"/>
      <c r="C27" s="585"/>
      <c r="D27" s="585"/>
      <c r="E27" s="585"/>
      <c r="F27" s="1770">
        <f>SUM(C27+D27)-E27</f>
        <v>0</v>
      </c>
      <c r="G27" s="552"/>
    </row>
    <row r="28" spans="1:11" ht="7.5" customHeight="1" thickTop="1" x14ac:dyDescent="0.2">
      <c r="A28" s="594"/>
    </row>
    <row r="29" spans="1:11" ht="23.25" customHeight="1" x14ac:dyDescent="0.2">
      <c r="A29" s="2231" t="s">
        <v>603</v>
      </c>
      <c r="B29" s="2232"/>
      <c r="C29" s="729"/>
      <c r="D29" s="729"/>
      <c r="E29" s="729"/>
      <c r="F29" s="729"/>
      <c r="G29" s="729"/>
      <c r="H29" s="729"/>
      <c r="I29" s="729"/>
      <c r="J29" s="729"/>
    </row>
    <row r="30" spans="1:11" ht="33.75" x14ac:dyDescent="0.2">
      <c r="A30" s="1545" t="s">
        <v>1131</v>
      </c>
      <c r="B30" s="730" t="s">
        <v>1186</v>
      </c>
      <c r="C30" s="1903" t="s">
        <v>604</v>
      </c>
      <c r="D30" s="1903" t="s">
        <v>1772</v>
      </c>
      <c r="E30" s="1903" t="s">
        <v>2038</v>
      </c>
      <c r="F30" s="1903" t="s">
        <v>2039</v>
      </c>
      <c r="G30" s="1903" t="s">
        <v>2042</v>
      </c>
      <c r="H30" s="1903" t="s">
        <v>2040</v>
      </c>
      <c r="I30" s="1903" t="s">
        <v>2041</v>
      </c>
      <c r="J30" s="1904" t="s">
        <v>2</v>
      </c>
      <c r="K30" s="731"/>
    </row>
    <row r="31" spans="1:11" ht="12" customHeight="1" x14ac:dyDescent="0.2">
      <c r="A31" s="732" t="s">
        <v>2131</v>
      </c>
      <c r="B31" s="733">
        <v>41701</v>
      </c>
      <c r="C31" s="734">
        <v>2100000</v>
      </c>
      <c r="D31" s="735">
        <v>1</v>
      </c>
      <c r="E31" s="734">
        <v>1830000</v>
      </c>
      <c r="F31" s="734"/>
      <c r="G31" s="734"/>
      <c r="H31" s="734">
        <v>190000</v>
      </c>
      <c r="I31" s="1771">
        <f>((E31+F31)-H31)+G31</f>
        <v>1640000</v>
      </c>
      <c r="J31" s="734">
        <v>1556548</v>
      </c>
      <c r="K31" s="736"/>
    </row>
    <row r="32" spans="1:11" ht="12" customHeight="1" x14ac:dyDescent="0.2">
      <c r="A32" s="732" t="s">
        <v>2128</v>
      </c>
      <c r="B32" s="733">
        <v>39264</v>
      </c>
      <c r="C32" s="734">
        <v>1800000</v>
      </c>
      <c r="D32" s="735">
        <v>3</v>
      </c>
      <c r="E32" s="734">
        <v>1800000</v>
      </c>
      <c r="F32" s="734"/>
      <c r="G32" s="734"/>
      <c r="H32" s="734"/>
      <c r="I32" s="1771">
        <f>((E32+F32)-H32)+G32</f>
        <v>1800000</v>
      </c>
      <c r="J32" s="734">
        <v>1800000</v>
      </c>
      <c r="K32" s="736"/>
    </row>
    <row r="33" spans="1:11" ht="12" customHeight="1" x14ac:dyDescent="0.2">
      <c r="A33" s="732" t="s">
        <v>2129</v>
      </c>
      <c r="B33" s="733">
        <v>40483</v>
      </c>
      <c r="C33" s="734">
        <v>1570000</v>
      </c>
      <c r="D33" s="735">
        <v>3</v>
      </c>
      <c r="E33" s="734">
        <v>665000</v>
      </c>
      <c r="F33" s="734"/>
      <c r="G33" s="734"/>
      <c r="H33" s="734">
        <v>200000</v>
      </c>
      <c r="I33" s="1771">
        <f t="shared" ref="I33:I48" si="1">((E33+F33)-H33)+G33</f>
        <v>465000</v>
      </c>
      <c r="J33" s="734">
        <v>465000</v>
      </c>
      <c r="K33" s="736"/>
    </row>
    <row r="34" spans="1:11" ht="12" customHeight="1" x14ac:dyDescent="0.2">
      <c r="A34" s="732" t="s">
        <v>2130</v>
      </c>
      <c r="B34" s="733">
        <v>41791</v>
      </c>
      <c r="C34" s="734">
        <v>585000</v>
      </c>
      <c r="D34" s="735">
        <v>3</v>
      </c>
      <c r="E34" s="734">
        <v>385000</v>
      </c>
      <c r="F34" s="734"/>
      <c r="G34" s="734"/>
      <c r="H34" s="734">
        <v>70000</v>
      </c>
      <c r="I34" s="1771">
        <f t="shared" si="1"/>
        <v>315000</v>
      </c>
      <c r="J34" s="734">
        <v>315000</v>
      </c>
      <c r="K34" s="737"/>
    </row>
    <row r="35" spans="1:11" ht="12" customHeight="1" x14ac:dyDescent="0.2">
      <c r="A35" s="732" t="s">
        <v>2096</v>
      </c>
      <c r="B35" s="733">
        <v>41816</v>
      </c>
      <c r="C35" s="738">
        <v>95490</v>
      </c>
      <c r="D35" s="735">
        <v>7</v>
      </c>
      <c r="E35" s="738">
        <v>46349</v>
      </c>
      <c r="F35" s="738"/>
      <c r="G35" s="738"/>
      <c r="H35" s="738">
        <v>19868</v>
      </c>
      <c r="I35" s="1771">
        <f t="shared" si="1"/>
        <v>26481</v>
      </c>
      <c r="J35" s="738">
        <v>26481</v>
      </c>
      <c r="K35" s="737"/>
    </row>
    <row r="36" spans="1:11" ht="12" customHeight="1" x14ac:dyDescent="0.2">
      <c r="A36" s="732"/>
      <c r="B36" s="733"/>
      <c r="C36" s="734"/>
      <c r="D36" s="735"/>
      <c r="E36" s="734"/>
      <c r="F36" s="734"/>
      <c r="G36" s="734"/>
      <c r="H36" s="734"/>
      <c r="I36" s="1771">
        <f t="shared" si="1"/>
        <v>0</v>
      </c>
      <c r="J36" s="734"/>
      <c r="K36" s="739"/>
    </row>
    <row r="37" spans="1:11" ht="12" customHeight="1" x14ac:dyDescent="0.2">
      <c r="A37" s="732"/>
      <c r="B37" s="733"/>
      <c r="C37" s="467"/>
      <c r="D37" s="740"/>
      <c r="E37" s="467"/>
      <c r="F37" s="467"/>
      <c r="G37" s="467"/>
      <c r="H37" s="467"/>
      <c r="I37" s="1771">
        <f t="shared" si="1"/>
        <v>0</v>
      </c>
      <c r="J37" s="467"/>
      <c r="K37" s="737"/>
    </row>
    <row r="38" spans="1:11" ht="12" customHeight="1" x14ac:dyDescent="0.2">
      <c r="A38" s="732"/>
      <c r="B38" s="733"/>
      <c r="C38" s="734"/>
      <c r="D38" s="741"/>
      <c r="E38" s="742"/>
      <c r="F38" s="742"/>
      <c r="G38" s="742"/>
      <c r="H38" s="742"/>
      <c r="I38" s="1771">
        <f t="shared" si="1"/>
        <v>0</v>
      </c>
      <c r="J38" s="743" t="s">
        <v>282</v>
      </c>
      <c r="K38" s="744"/>
    </row>
    <row r="39" spans="1:11" ht="12" customHeight="1" x14ac:dyDescent="0.2">
      <c r="A39" s="732"/>
      <c r="B39" s="733"/>
      <c r="C39" s="734"/>
      <c r="D39" s="741"/>
      <c r="E39" s="742"/>
      <c r="F39" s="742"/>
      <c r="G39" s="742"/>
      <c r="H39" s="742"/>
      <c r="I39" s="1771">
        <f t="shared" si="1"/>
        <v>0</v>
      </c>
      <c r="J39" s="743"/>
      <c r="K39" s="744"/>
    </row>
    <row r="40" spans="1:11" ht="12" customHeight="1" x14ac:dyDescent="0.2">
      <c r="A40" s="732"/>
      <c r="B40" s="733"/>
      <c r="C40" s="734"/>
      <c r="D40" s="741"/>
      <c r="E40" s="742"/>
      <c r="F40" s="742"/>
      <c r="G40" s="742"/>
      <c r="H40" s="742"/>
      <c r="I40" s="1771">
        <f t="shared" si="1"/>
        <v>0</v>
      </c>
      <c r="J40" s="743"/>
      <c r="K40" s="744"/>
    </row>
    <row r="41" spans="1:11" ht="12" customHeight="1" x14ac:dyDescent="0.2">
      <c r="A41" s="732"/>
      <c r="B41" s="733"/>
      <c r="C41" s="734"/>
      <c r="D41" s="741"/>
      <c r="E41" s="742"/>
      <c r="F41" s="742"/>
      <c r="G41" s="742"/>
      <c r="H41" s="742"/>
      <c r="I41" s="1771">
        <f t="shared" si="1"/>
        <v>0</v>
      </c>
      <c r="J41" s="743"/>
      <c r="K41" s="744"/>
    </row>
    <row r="42" spans="1:11" ht="12" customHeight="1" x14ac:dyDescent="0.2">
      <c r="A42" s="732"/>
      <c r="B42" s="733"/>
      <c r="C42" s="734"/>
      <c r="D42" s="741"/>
      <c r="E42" s="742"/>
      <c r="F42" s="742"/>
      <c r="G42" s="742"/>
      <c r="H42" s="742"/>
      <c r="I42" s="1771">
        <f t="shared" si="1"/>
        <v>0</v>
      </c>
      <c r="J42" s="743"/>
      <c r="K42" s="744"/>
    </row>
    <row r="43" spans="1:11" ht="12" customHeight="1" x14ac:dyDescent="0.2">
      <c r="A43" s="732"/>
      <c r="B43" s="733"/>
      <c r="C43" s="734"/>
      <c r="D43" s="741"/>
      <c r="E43" s="742"/>
      <c r="F43" s="742"/>
      <c r="G43" s="742"/>
      <c r="H43" s="742"/>
      <c r="I43" s="1771">
        <f t="shared" si="1"/>
        <v>0</v>
      </c>
      <c r="J43" s="743"/>
      <c r="K43" s="744"/>
    </row>
    <row r="44" spans="1:11" ht="12" customHeight="1" x14ac:dyDescent="0.2">
      <c r="A44" s="732"/>
      <c r="B44" s="733"/>
      <c r="C44" s="734"/>
      <c r="D44" s="735"/>
      <c r="E44" s="734"/>
      <c r="F44" s="734"/>
      <c r="G44" s="734"/>
      <c r="H44" s="734"/>
      <c r="I44" s="1771">
        <f t="shared" si="1"/>
        <v>0</v>
      </c>
      <c r="J44" s="734"/>
      <c r="K44" s="737"/>
    </row>
    <row r="45" spans="1:11" ht="12" customHeight="1" x14ac:dyDescent="0.2">
      <c r="A45" s="732"/>
      <c r="B45" s="733"/>
      <c r="C45" s="734"/>
      <c r="D45" s="735"/>
      <c r="E45" s="734"/>
      <c r="F45" s="734"/>
      <c r="G45" s="734"/>
      <c r="H45" s="734"/>
      <c r="I45" s="1771">
        <f t="shared" si="1"/>
        <v>0</v>
      </c>
      <c r="J45" s="734"/>
      <c r="K45" s="737"/>
    </row>
    <row r="46" spans="1:11" ht="12" customHeight="1" x14ac:dyDescent="0.2">
      <c r="A46" s="732"/>
      <c r="B46" s="733"/>
      <c r="C46" s="734"/>
      <c r="D46" s="735"/>
      <c r="E46" s="734"/>
      <c r="F46" s="734"/>
      <c r="G46" s="734"/>
      <c r="H46" s="734"/>
      <c r="I46" s="1771">
        <f t="shared" si="1"/>
        <v>0</v>
      </c>
      <c r="J46" s="734"/>
      <c r="K46" s="737"/>
    </row>
    <row r="47" spans="1:11" ht="12" customHeight="1" x14ac:dyDescent="0.2">
      <c r="A47" s="732"/>
      <c r="B47" s="733"/>
      <c r="C47" s="738"/>
      <c r="D47" s="735"/>
      <c r="E47" s="738"/>
      <c r="F47" s="738"/>
      <c r="G47" s="738"/>
      <c r="H47" s="738"/>
      <c r="I47" s="1771">
        <f t="shared" si="1"/>
        <v>0</v>
      </c>
      <c r="J47" s="738"/>
      <c r="K47" s="737"/>
    </row>
    <row r="48" spans="1:11" ht="12" customHeight="1" x14ac:dyDescent="0.2">
      <c r="A48" s="732"/>
      <c r="B48" s="733"/>
      <c r="C48" s="734"/>
      <c r="D48" s="735"/>
      <c r="E48" s="734"/>
      <c r="F48" s="734"/>
      <c r="G48" s="734"/>
      <c r="H48" s="734"/>
      <c r="I48" s="1771">
        <f t="shared" si="1"/>
        <v>0</v>
      </c>
      <c r="J48" s="734"/>
      <c r="K48" s="737"/>
    </row>
    <row r="49" spans="1:11" ht="12" customHeight="1" x14ac:dyDescent="0.2">
      <c r="A49" s="732"/>
      <c r="B49" s="733"/>
      <c r="C49" s="1771">
        <f>SUM(C31:C48)</f>
        <v>6150490</v>
      </c>
      <c r="D49" s="745"/>
      <c r="E49" s="1771">
        <f t="shared" ref="E49:J49" si="2">SUM(E31:E48)</f>
        <v>4726349</v>
      </c>
      <c r="F49" s="1771">
        <f t="shared" si="2"/>
        <v>0</v>
      </c>
      <c r="G49" s="1771">
        <f t="shared" si="2"/>
        <v>0</v>
      </c>
      <c r="H49" s="1771">
        <f t="shared" si="2"/>
        <v>479868</v>
      </c>
      <c r="I49" s="1771">
        <f t="shared" si="2"/>
        <v>4246481</v>
      </c>
      <c r="J49" s="1771">
        <f t="shared" si="2"/>
        <v>4163029</v>
      </c>
      <c r="K49" s="737"/>
    </row>
    <row r="50" spans="1:11" ht="6" customHeight="1" x14ac:dyDescent="0.2">
      <c r="A50" s="746"/>
      <c r="B50" s="736"/>
      <c r="C50" s="736"/>
      <c r="D50" s="736"/>
      <c r="E50" s="736"/>
      <c r="F50" s="736"/>
      <c r="G50" s="736"/>
      <c r="H50" s="736"/>
      <c r="I50" s="736"/>
      <c r="J50" s="746"/>
    </row>
    <row r="51" spans="1:11" x14ac:dyDescent="0.2">
      <c r="A51" s="747" t="s">
        <v>1912</v>
      </c>
      <c r="B51" s="746"/>
      <c r="C51" s="737"/>
      <c r="D51" s="737"/>
      <c r="E51" s="737"/>
      <c r="F51" s="737"/>
      <c r="G51" s="737"/>
      <c r="H51" s="736"/>
      <c r="I51" s="736"/>
      <c r="J51" s="746"/>
    </row>
    <row r="52" spans="1:11" ht="11.25" customHeight="1" x14ac:dyDescent="0.2">
      <c r="A52" s="748" t="s">
        <v>968</v>
      </c>
      <c r="B52" s="2214" t="s">
        <v>605</v>
      </c>
      <c r="C52" s="2215"/>
      <c r="D52" s="2215"/>
      <c r="E52" s="749" t="s">
        <v>900</v>
      </c>
      <c r="F52" s="2216" t="s">
        <v>2097</v>
      </c>
      <c r="G52" s="2217"/>
      <c r="H52" s="736"/>
      <c r="I52" s="736"/>
      <c r="J52" s="746"/>
    </row>
    <row r="53" spans="1:11" ht="11.25" customHeight="1" x14ac:dyDescent="0.2">
      <c r="A53" s="750" t="s">
        <v>969</v>
      </c>
      <c r="B53" s="751" t="s">
        <v>1008</v>
      </c>
      <c r="C53" s="746"/>
      <c r="D53" s="737"/>
      <c r="E53" s="749" t="s">
        <v>518</v>
      </c>
      <c r="F53" s="2218"/>
      <c r="G53" s="2219"/>
      <c r="H53" s="736"/>
      <c r="I53" s="736"/>
      <c r="J53" s="746"/>
    </row>
    <row r="54" spans="1:11" ht="11.25" customHeight="1" x14ac:dyDescent="0.2">
      <c r="A54" s="752" t="s">
        <v>970</v>
      </c>
      <c r="B54" s="747" t="s">
        <v>1009</v>
      </c>
      <c r="C54" s="746"/>
      <c r="D54" s="737"/>
      <c r="E54" s="749" t="s">
        <v>519</v>
      </c>
      <c r="F54" s="2218"/>
      <c r="G54" s="221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B29" sqref="B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46"/>
      <c r="I1" s="760"/>
      <c r="J1" s="433"/>
    </row>
    <row r="2" spans="1:11" ht="26.25" x14ac:dyDescent="0.2">
      <c r="A2" s="2262" t="s">
        <v>1776</v>
      </c>
      <c r="B2" s="2263"/>
      <c r="C2" s="2263"/>
      <c r="D2" s="2263"/>
      <c r="E2" s="2264"/>
      <c r="F2" s="761" t="s">
        <v>960</v>
      </c>
      <c r="G2" s="762" t="s">
        <v>1773</v>
      </c>
      <c r="H2" s="762" t="s">
        <v>430</v>
      </c>
      <c r="I2" s="762" t="s">
        <v>1220</v>
      </c>
      <c r="J2" s="762" t="s">
        <v>1917</v>
      </c>
      <c r="K2" s="762" t="s">
        <v>140</v>
      </c>
    </row>
    <row r="3" spans="1:11" x14ac:dyDescent="0.2">
      <c r="A3" s="2265" t="s">
        <v>1698</v>
      </c>
      <c r="B3" s="2266"/>
      <c r="C3" s="2266"/>
      <c r="D3" s="2266"/>
      <c r="E3" s="2267"/>
      <c r="F3" s="763"/>
      <c r="G3" s="764"/>
      <c r="H3" s="764">
        <v>0</v>
      </c>
      <c r="I3" s="764"/>
      <c r="J3" s="765">
        <v>228901</v>
      </c>
      <c r="K3" s="765">
        <v>49019</v>
      </c>
    </row>
    <row r="4" spans="1:11" x14ac:dyDescent="0.2">
      <c r="A4" s="2268" t="s">
        <v>387</v>
      </c>
      <c r="B4" s="2269"/>
      <c r="C4" s="2269"/>
      <c r="D4" s="2269"/>
      <c r="E4" s="2215"/>
      <c r="F4" s="766"/>
      <c r="G4" s="767"/>
      <c r="H4" s="768"/>
      <c r="I4" s="767"/>
      <c r="J4" s="769"/>
      <c r="K4" s="769"/>
    </row>
    <row r="5" spans="1:11" x14ac:dyDescent="0.2">
      <c r="A5" s="2246" t="s">
        <v>1129</v>
      </c>
      <c r="B5" s="2247"/>
      <c r="C5" s="2247"/>
      <c r="D5" s="2247"/>
      <c r="E5" s="2248"/>
      <c r="F5" s="770" t="s">
        <v>903</v>
      </c>
      <c r="G5" s="771"/>
      <c r="H5" s="764">
        <v>82109</v>
      </c>
      <c r="I5" s="772"/>
      <c r="J5" s="773"/>
      <c r="K5" s="773"/>
    </row>
    <row r="6" spans="1:11" x14ac:dyDescent="0.2">
      <c r="A6" s="774" t="s">
        <v>744</v>
      </c>
      <c r="B6" s="775"/>
      <c r="C6" s="775"/>
      <c r="D6" s="775"/>
      <c r="E6" s="776"/>
      <c r="F6" s="777" t="s">
        <v>904</v>
      </c>
      <c r="G6" s="764"/>
      <c r="H6" s="764"/>
      <c r="I6" s="764"/>
      <c r="J6" s="765">
        <v>73</v>
      </c>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v>148093</v>
      </c>
      <c r="K8" s="769"/>
    </row>
    <row r="9" spans="1:11" x14ac:dyDescent="0.2">
      <c r="A9" s="778" t="s">
        <v>140</v>
      </c>
      <c r="B9" s="779"/>
      <c r="C9" s="779"/>
      <c r="D9" s="779"/>
      <c r="E9" s="780"/>
      <c r="F9" s="777" t="s">
        <v>908</v>
      </c>
      <c r="G9" s="782"/>
      <c r="H9" s="771"/>
      <c r="I9" s="771"/>
      <c r="J9" s="781"/>
      <c r="K9" s="765">
        <v>18292</v>
      </c>
    </row>
    <row r="10" spans="1:11" x14ac:dyDescent="0.2">
      <c r="A10" s="2246" t="s">
        <v>1918</v>
      </c>
      <c r="B10" s="2247"/>
      <c r="C10" s="2247"/>
      <c r="D10" s="2247"/>
      <c r="E10" s="2249"/>
      <c r="F10" s="783" t="s">
        <v>917</v>
      </c>
      <c r="G10" s="782"/>
      <c r="H10" s="784"/>
      <c r="I10" s="764"/>
      <c r="J10" s="765"/>
      <c r="K10" s="765"/>
    </row>
    <row r="11" spans="1:11" x14ac:dyDescent="0.2">
      <c r="A11" s="2246" t="s">
        <v>162</v>
      </c>
      <c r="B11" s="2247"/>
      <c r="C11" s="2247"/>
      <c r="D11" s="2247"/>
      <c r="E11" s="2248"/>
      <c r="F11" s="770" t="s">
        <v>907</v>
      </c>
      <c r="G11" s="771"/>
      <c r="H11" s="764"/>
      <c r="I11" s="764"/>
      <c r="J11" s="765"/>
      <c r="K11" s="773"/>
    </row>
    <row r="12" spans="1:11" ht="13.5" thickBot="1" x14ac:dyDescent="0.25">
      <c r="A12" s="2273" t="s">
        <v>961</v>
      </c>
      <c r="B12" s="2274"/>
      <c r="C12" s="2274"/>
      <c r="D12" s="2274"/>
      <c r="E12" s="2275"/>
      <c r="F12" s="1772"/>
      <c r="G12" s="1773">
        <f>SUM(G5:G11)</f>
        <v>0</v>
      </c>
      <c r="H12" s="1773">
        <f>SUM(H5:H11)</f>
        <v>82109</v>
      </c>
      <c r="I12" s="1773">
        <f>SUM(I5:I11)</f>
        <v>0</v>
      </c>
      <c r="J12" s="1773">
        <f>SUM(J5:J11)</f>
        <v>148166</v>
      </c>
      <c r="K12" s="1773">
        <f>SUM(K5:K11)</f>
        <v>18292</v>
      </c>
    </row>
    <row r="13" spans="1:11" ht="13.5" thickTop="1" x14ac:dyDescent="0.2">
      <c r="A13" s="2270" t="s">
        <v>388</v>
      </c>
      <c r="B13" s="2271"/>
      <c r="C13" s="2271"/>
      <c r="D13" s="2271"/>
      <c r="E13" s="2272"/>
      <c r="F13" s="785"/>
      <c r="G13" s="786"/>
      <c r="H13" s="787"/>
      <c r="I13" s="788"/>
      <c r="J13" s="788"/>
      <c r="K13" s="788"/>
    </row>
    <row r="14" spans="1:11" x14ac:dyDescent="0.2">
      <c r="A14" s="2253" t="s">
        <v>476</v>
      </c>
      <c r="B14" s="2253"/>
      <c r="C14" s="2253"/>
      <c r="D14" s="2253"/>
      <c r="E14" s="2254"/>
      <c r="F14" s="789" t="s">
        <v>909</v>
      </c>
      <c r="G14" s="782"/>
      <c r="H14" s="764">
        <v>82109</v>
      </c>
      <c r="I14" s="771"/>
      <c r="J14" s="773"/>
      <c r="K14" s="765">
        <v>10193</v>
      </c>
    </row>
    <row r="15" spans="1:11" x14ac:dyDescent="0.2">
      <c r="A15" s="2247" t="s">
        <v>4</v>
      </c>
      <c r="B15" s="2247"/>
      <c r="C15" s="2247"/>
      <c r="D15" s="2247"/>
      <c r="E15" s="2248"/>
      <c r="F15" s="789" t="s">
        <v>910</v>
      </c>
      <c r="G15" s="771"/>
      <c r="H15" s="764"/>
      <c r="I15" s="764"/>
      <c r="J15" s="765">
        <v>190224</v>
      </c>
      <c r="K15" s="765"/>
    </row>
    <row r="16" spans="1:11" x14ac:dyDescent="0.2">
      <c r="A16" s="2247" t="s">
        <v>316</v>
      </c>
      <c r="B16" s="2247"/>
      <c r="C16" s="2247"/>
      <c r="D16" s="2247"/>
      <c r="E16" s="2248"/>
      <c r="F16" s="789" t="s">
        <v>980</v>
      </c>
      <c r="G16" s="772"/>
      <c r="H16" s="767"/>
      <c r="I16" s="767"/>
      <c r="J16" s="769"/>
      <c r="K16" s="769"/>
    </row>
    <row r="17" spans="1:11" x14ac:dyDescent="0.2">
      <c r="A17" s="2278" t="s">
        <v>992</v>
      </c>
      <c r="B17" s="2278"/>
      <c r="C17" s="2278"/>
      <c r="D17" s="2278"/>
      <c r="E17" s="2279"/>
      <c r="F17" s="790"/>
      <c r="G17" s="791"/>
      <c r="H17" s="792"/>
      <c r="I17" s="792"/>
      <c r="J17" s="793"/>
      <c r="K17" s="794"/>
    </row>
    <row r="18" spans="1:11" x14ac:dyDescent="0.2">
      <c r="A18" s="2257" t="s">
        <v>386</v>
      </c>
      <c r="B18" s="2258"/>
      <c r="C18" s="2258"/>
      <c r="D18" s="2258"/>
      <c r="E18" s="2259"/>
      <c r="F18" s="789" t="s">
        <v>989</v>
      </c>
      <c r="G18" s="782"/>
      <c r="H18" s="782"/>
      <c r="I18" s="782"/>
      <c r="J18" s="765"/>
      <c r="K18" s="795"/>
    </row>
    <row r="19" spans="1:11" ht="21.75" customHeight="1" x14ac:dyDescent="0.2">
      <c r="A19" s="2255" t="s">
        <v>1914</v>
      </c>
      <c r="B19" s="2255"/>
      <c r="C19" s="2255"/>
      <c r="D19" s="2255"/>
      <c r="E19" s="2256"/>
      <c r="F19" s="789" t="s">
        <v>990</v>
      </c>
      <c r="G19" s="782"/>
      <c r="H19" s="782"/>
      <c r="I19" s="782"/>
      <c r="J19" s="765"/>
      <c r="K19" s="795"/>
    </row>
    <row r="20" spans="1:11" x14ac:dyDescent="0.2">
      <c r="A20" s="2257" t="s">
        <v>1919</v>
      </c>
      <c r="B20" s="2258"/>
      <c r="C20" s="2258"/>
      <c r="D20" s="2258"/>
      <c r="E20" s="2259"/>
      <c r="F20" s="789" t="s">
        <v>991</v>
      </c>
      <c r="G20" s="782"/>
      <c r="H20" s="782"/>
      <c r="I20" s="782"/>
      <c r="J20" s="765"/>
      <c r="K20" s="795"/>
    </row>
    <row r="21" spans="1:11" ht="13.5" thickBot="1" x14ac:dyDescent="0.25">
      <c r="A21" s="2276" t="s">
        <v>659</v>
      </c>
      <c r="B21" s="2276"/>
      <c r="C21" s="2276"/>
      <c r="D21" s="2276"/>
      <c r="E21" s="2276"/>
      <c r="F21" s="1774"/>
      <c r="G21" s="792"/>
      <c r="H21" s="796"/>
      <c r="I21" s="796"/>
      <c r="J21" s="1775">
        <f>SUM(J18:J20)</f>
        <v>0</v>
      </c>
      <c r="K21" s="793"/>
    </row>
    <row r="22" spans="1:11" ht="13.5" thickTop="1" x14ac:dyDescent="0.2">
      <c r="A22" s="2247" t="s">
        <v>1920</v>
      </c>
      <c r="B22" s="2247"/>
      <c r="C22" s="2247"/>
      <c r="D22" s="2247"/>
      <c r="E22" s="2248"/>
      <c r="F22" s="789" t="s">
        <v>917</v>
      </c>
      <c r="G22" s="782"/>
      <c r="H22" s="764"/>
      <c r="I22" s="764"/>
      <c r="J22" s="797"/>
      <c r="K22" s="765"/>
    </row>
    <row r="23" spans="1:11" ht="13.5" thickBot="1" x14ac:dyDescent="0.25">
      <c r="A23" s="2277" t="s">
        <v>962</v>
      </c>
      <c r="B23" s="2276"/>
      <c r="C23" s="2276"/>
      <c r="D23" s="2276"/>
      <c r="E23" s="2276"/>
      <c r="F23" s="1776"/>
      <c r="G23" s="1773">
        <f>SUM(G14:G16,G21,G22)</f>
        <v>0</v>
      </c>
      <c r="H23" s="1773">
        <f>SUM(H14:H16,H21,H22)</f>
        <v>82109</v>
      </c>
      <c r="I23" s="1773">
        <f>SUM(I14:I16,I21,I22)</f>
        <v>0</v>
      </c>
      <c r="J23" s="1773">
        <f>SUM(J14:J16,J21,J22)</f>
        <v>190224</v>
      </c>
      <c r="K23" s="1773">
        <f>SUM(K14:K16,K21,K22)</f>
        <v>10193</v>
      </c>
    </row>
    <row r="24" spans="1:11" ht="14.25" thickTop="1" thickBot="1" x14ac:dyDescent="0.25">
      <c r="A24" s="2277" t="s">
        <v>2024</v>
      </c>
      <c r="B24" s="2276"/>
      <c r="C24" s="2276"/>
      <c r="D24" s="2276"/>
      <c r="E24" s="2276"/>
      <c r="F24" s="1777"/>
      <c r="G24" s="1778">
        <f>SUM(G3,G12)-G23</f>
        <v>0</v>
      </c>
      <c r="H24" s="1778">
        <f>SUM(H3,H12)-H23</f>
        <v>0</v>
      </c>
      <c r="I24" s="1778">
        <f>SUM(I3,I12)-I23</f>
        <v>0</v>
      </c>
      <c r="J24" s="1778">
        <f>SUM(J3,J12)-J23</f>
        <v>186843</v>
      </c>
      <c r="K24" s="1778">
        <f>SUM(K3,K12)-K23</f>
        <v>57118</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3">
        <f>G24-G25</f>
        <v>0</v>
      </c>
      <c r="H26" s="1773">
        <f>H24-H25</f>
        <v>0</v>
      </c>
      <c r="I26" s="1773">
        <f>I24-I25</f>
        <v>0</v>
      </c>
      <c r="J26" s="1773">
        <f>J24-J25</f>
        <v>186843</v>
      </c>
      <c r="K26" s="1773">
        <f>K24-K25</f>
        <v>57118</v>
      </c>
    </row>
    <row r="27" spans="1:11" ht="5.25" customHeight="1" thickTop="1" x14ac:dyDescent="0.2">
      <c r="I27" s="202"/>
      <c r="J27" s="202"/>
    </row>
    <row r="28" spans="1:11" ht="29.25" customHeight="1" x14ac:dyDescent="0.2">
      <c r="A28" s="1898" t="s">
        <v>2034</v>
      </c>
      <c r="B28" s="1899"/>
      <c r="C28" s="1899"/>
      <c r="D28" s="1899"/>
      <c r="E28" s="1900"/>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50"/>
      <c r="I31" s="2251"/>
      <c r="J31" s="2251"/>
      <c r="K31" s="2251"/>
    </row>
    <row r="32" spans="1:11" x14ac:dyDescent="0.2">
      <c r="A32" s="809"/>
      <c r="B32" s="237"/>
      <c r="C32" s="237"/>
      <c r="D32" s="237"/>
      <c r="E32" s="805"/>
      <c r="F32" s="811" t="s">
        <v>561</v>
      </c>
      <c r="G32" s="764"/>
      <c r="H32" s="2252"/>
      <c r="I32" s="2251"/>
      <c r="J32" s="2251"/>
      <c r="K32" s="2251"/>
    </row>
    <row r="33" spans="1:11" ht="1.5" customHeight="1" x14ac:dyDescent="0.2">
      <c r="A33" s="812" t="s">
        <v>1231</v>
      </c>
      <c r="B33" s="364"/>
      <c r="C33" s="364"/>
      <c r="D33" s="364"/>
      <c r="E33" s="364"/>
      <c r="F33" s="364"/>
      <c r="G33" s="813"/>
      <c r="H33" s="2252"/>
      <c r="I33" s="2251"/>
      <c r="J33" s="2251"/>
      <c r="K33" s="2251"/>
    </row>
    <row r="34" spans="1:11" x14ac:dyDescent="0.2">
      <c r="A34" s="814" t="s">
        <v>1921</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47" t="s">
        <v>562</v>
      </c>
      <c r="B41" s="2260"/>
      <c r="C41" s="2260"/>
      <c r="D41" s="2260"/>
      <c r="E41" s="2260"/>
      <c r="F41" s="2261"/>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47" t="s">
        <v>1915</v>
      </c>
      <c r="B46" s="408" t="s">
        <v>1774</v>
      </c>
    </row>
    <row r="47" spans="1:11" s="823" customFormat="1" ht="12.75" customHeight="1" x14ac:dyDescent="0.2">
      <c r="A47" s="821"/>
      <c r="B47" s="822" t="s">
        <v>1775</v>
      </c>
      <c r="E47" s="822"/>
      <c r="K47" s="824"/>
    </row>
    <row r="48" spans="1:11" ht="12.75" customHeight="1" x14ac:dyDescent="0.2">
      <c r="A48" s="1548"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topLeftCell="A2" colorId="8" zoomScaleNormal="110" workbookViewId="0">
      <selection activeCell="B29" sqref="B2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2033</v>
      </c>
      <c r="B1" s="2283"/>
      <c r="C1" s="2284"/>
      <c r="D1" s="826"/>
      <c r="E1" s="827"/>
      <c r="F1" s="827"/>
      <c r="G1" s="828"/>
      <c r="H1" s="829"/>
      <c r="I1" s="830"/>
      <c r="J1" s="2280"/>
      <c r="K1" s="2281"/>
      <c r="L1" s="2281"/>
    </row>
    <row r="2" spans="1:14" ht="69.75" customHeight="1" x14ac:dyDescent="0.2">
      <c r="A2" s="831" t="s">
        <v>1777</v>
      </c>
      <c r="B2" s="832" t="s">
        <v>396</v>
      </c>
      <c r="C2" s="833" t="s">
        <v>2028</v>
      </c>
      <c r="D2" s="833" t="s">
        <v>2025</v>
      </c>
      <c r="E2" s="833" t="s">
        <v>2026</v>
      </c>
      <c r="F2" s="833" t="s">
        <v>2027</v>
      </c>
      <c r="G2" s="833" t="s">
        <v>626</v>
      </c>
      <c r="H2" s="833" t="s">
        <v>2029</v>
      </c>
      <c r="I2" s="833" t="s">
        <v>2030</v>
      </c>
      <c r="J2" s="833" t="s">
        <v>2045</v>
      </c>
      <c r="K2" s="833" t="s">
        <v>2031</v>
      </c>
      <c r="L2" s="833" t="s">
        <v>2032</v>
      </c>
      <c r="M2" s="834"/>
      <c r="N2" s="834"/>
    </row>
    <row r="3" spans="1:14" ht="13.5" thickBot="1" x14ac:dyDescent="0.25">
      <c r="A3" s="1645" t="s">
        <v>948</v>
      </c>
      <c r="B3" s="1646">
        <v>210</v>
      </c>
      <c r="C3" s="835"/>
      <c r="D3" s="835"/>
      <c r="E3" s="835"/>
      <c r="F3" s="1775">
        <f>(C3+D3)-E3</f>
        <v>0</v>
      </c>
      <c r="G3" s="836"/>
      <c r="H3" s="835"/>
      <c r="I3" s="835"/>
      <c r="J3" s="835"/>
      <c r="K3" s="1784">
        <f>(H3+I3)-J3</f>
        <v>0</v>
      </c>
      <c r="L3" s="1784">
        <f>F3-K3</f>
        <v>0</v>
      </c>
      <c r="M3" s="834"/>
      <c r="N3" s="834"/>
    </row>
    <row r="4" spans="1:14" ht="15" customHeight="1" thickTop="1" x14ac:dyDescent="0.2">
      <c r="A4" s="1647" t="s">
        <v>160</v>
      </c>
      <c r="B4" s="1646">
        <v>220</v>
      </c>
      <c r="C4" s="781"/>
      <c r="D4" s="781"/>
      <c r="E4" s="781"/>
      <c r="F4" s="773"/>
      <c r="G4" s="837"/>
      <c r="H4" s="838"/>
      <c r="I4" s="838"/>
      <c r="J4" s="838"/>
      <c r="K4" s="839"/>
      <c r="L4" s="773"/>
    </row>
    <row r="5" spans="1:14" ht="13.5" thickBot="1" x14ac:dyDescent="0.25">
      <c r="A5" s="778" t="s">
        <v>949</v>
      </c>
      <c r="B5" s="840">
        <v>221</v>
      </c>
      <c r="C5" s="841">
        <v>160054</v>
      </c>
      <c r="D5" s="841"/>
      <c r="E5" s="841"/>
      <c r="F5" s="1775">
        <f>(C5+D5)-E5</f>
        <v>160054</v>
      </c>
      <c r="G5" s="837"/>
      <c r="H5" s="842"/>
      <c r="I5" s="842"/>
      <c r="J5" s="842"/>
      <c r="K5" s="793"/>
      <c r="L5" s="1784">
        <f>F5-K5</f>
        <v>160054</v>
      </c>
    </row>
    <row r="6" spans="1:14" ht="14.25" thickTop="1" thickBot="1" x14ac:dyDescent="0.25">
      <c r="A6" s="778" t="s">
        <v>1179</v>
      </c>
      <c r="B6" s="840">
        <v>222</v>
      </c>
      <c r="C6" s="765">
        <v>0</v>
      </c>
      <c r="D6" s="765"/>
      <c r="E6" s="765"/>
      <c r="F6" s="1775">
        <f>(C6+D6)-E6</f>
        <v>0</v>
      </c>
      <c r="G6" s="837">
        <v>50</v>
      </c>
      <c r="H6" s="765"/>
      <c r="I6" s="765"/>
      <c r="J6" s="765"/>
      <c r="K6" s="1784">
        <f>(H6+I6)-J6</f>
        <v>0</v>
      </c>
      <c r="L6" s="1784">
        <f>F6-K6</f>
        <v>0</v>
      </c>
    </row>
    <row r="7" spans="1:14" ht="15" customHeight="1" thickTop="1" x14ac:dyDescent="0.2">
      <c r="A7" s="1647" t="s">
        <v>161</v>
      </c>
      <c r="B7" s="1646">
        <v>230</v>
      </c>
      <c r="C7" s="781"/>
      <c r="D7" s="781"/>
      <c r="E7" s="781"/>
      <c r="F7" s="773"/>
      <c r="G7" s="843"/>
      <c r="H7" s="781"/>
      <c r="I7" s="781"/>
      <c r="J7" s="781"/>
      <c r="K7" s="773"/>
      <c r="L7" s="773"/>
    </row>
    <row r="8" spans="1:14" ht="13.5" thickBot="1" x14ac:dyDescent="0.25">
      <c r="A8" s="778" t="s">
        <v>1180</v>
      </c>
      <c r="B8" s="840">
        <v>231</v>
      </c>
      <c r="C8" s="844">
        <v>15740511</v>
      </c>
      <c r="D8" s="844">
        <v>143224</v>
      </c>
      <c r="E8" s="844"/>
      <c r="F8" s="1775">
        <f>(C8+D8)-E8</f>
        <v>15883735</v>
      </c>
      <c r="G8" s="843">
        <v>50</v>
      </c>
      <c r="H8" s="765">
        <v>7842890</v>
      </c>
      <c r="I8" s="765">
        <v>263107</v>
      </c>
      <c r="J8" s="765"/>
      <c r="K8" s="1784">
        <f>(H8+I8)-J8</f>
        <v>8105997</v>
      </c>
      <c r="L8" s="1784">
        <f>F8-K8</f>
        <v>7777738</v>
      </c>
    </row>
    <row r="9" spans="1:14" ht="14.25" thickTop="1" thickBot="1" x14ac:dyDescent="0.25">
      <c r="A9" s="778" t="s">
        <v>1181</v>
      </c>
      <c r="B9" s="840">
        <v>232</v>
      </c>
      <c r="C9" s="765">
        <v>0</v>
      </c>
      <c r="D9" s="765"/>
      <c r="E9" s="765"/>
      <c r="F9" s="1775">
        <f>(C9+D9)-E9</f>
        <v>0</v>
      </c>
      <c r="G9" s="843">
        <v>20</v>
      </c>
      <c r="H9" s="765">
        <v>0</v>
      </c>
      <c r="I9" s="765"/>
      <c r="J9" s="765"/>
      <c r="K9" s="1784">
        <f>(H9+I9)-J9</f>
        <v>0</v>
      </c>
      <c r="L9" s="1784">
        <f>F9-K9</f>
        <v>0</v>
      </c>
    </row>
    <row r="10" spans="1:14" ht="24" thickTop="1" thickBot="1" x14ac:dyDescent="0.25">
      <c r="A10" s="845" t="s">
        <v>1182</v>
      </c>
      <c r="B10" s="840">
        <v>240</v>
      </c>
      <c r="C10" s="846">
        <v>762361</v>
      </c>
      <c r="D10" s="846">
        <v>47000</v>
      </c>
      <c r="E10" s="846"/>
      <c r="F10" s="1779">
        <f>(C10+D10)-E10</f>
        <v>809361</v>
      </c>
      <c r="G10" s="843">
        <v>20</v>
      </c>
      <c r="H10" s="847">
        <v>596286</v>
      </c>
      <c r="I10" s="847">
        <v>14196</v>
      </c>
      <c r="J10" s="847"/>
      <c r="K10" s="1784">
        <f>(H10+I10)-J10</f>
        <v>610482</v>
      </c>
      <c r="L10" s="1784">
        <f>F10-K10</f>
        <v>198879</v>
      </c>
    </row>
    <row r="11" spans="1:14" ht="13.5" thickTop="1" x14ac:dyDescent="0.2">
      <c r="A11" s="1648" t="s">
        <v>1198</v>
      </c>
      <c r="B11" s="1646">
        <v>250</v>
      </c>
      <c r="C11" s="781"/>
      <c r="D11" s="781"/>
      <c r="E11" s="781"/>
      <c r="F11" s="773"/>
      <c r="G11" s="843"/>
      <c r="H11" s="781"/>
      <c r="I11" s="781"/>
      <c r="J11" s="781"/>
      <c r="K11" s="773"/>
      <c r="L11" s="773"/>
    </row>
    <row r="12" spans="1:14" ht="13.5" thickBot="1" x14ac:dyDescent="0.25">
      <c r="A12" s="848" t="s">
        <v>1183</v>
      </c>
      <c r="B12" s="840">
        <v>251</v>
      </c>
      <c r="C12" s="844">
        <v>3525592</v>
      </c>
      <c r="D12" s="844">
        <v>118093</v>
      </c>
      <c r="E12" s="844">
        <v>1860476</v>
      </c>
      <c r="F12" s="1775">
        <f>(C12+D12)-E12</f>
        <v>1783209</v>
      </c>
      <c r="G12" s="843">
        <v>10</v>
      </c>
      <c r="H12" s="765">
        <v>2405989</v>
      </c>
      <c r="I12" s="765">
        <v>178276</v>
      </c>
      <c r="J12" s="765">
        <v>1860476</v>
      </c>
      <c r="K12" s="1784">
        <f>(H12+I12)-J12</f>
        <v>723789</v>
      </c>
      <c r="L12" s="1784">
        <f>F12-K12</f>
        <v>1059420</v>
      </c>
    </row>
    <row r="13" spans="1:14" ht="14.25" thickTop="1" thickBot="1" x14ac:dyDescent="0.25">
      <c r="A13" s="848" t="s">
        <v>1184</v>
      </c>
      <c r="B13" s="840">
        <v>252</v>
      </c>
      <c r="C13" s="844">
        <v>81809</v>
      </c>
      <c r="D13" s="844">
        <v>52950</v>
      </c>
      <c r="E13" s="844">
        <v>19900</v>
      </c>
      <c r="F13" s="1775">
        <f>(C13+D13)-E13</f>
        <v>114859</v>
      </c>
      <c r="G13" s="843">
        <v>5</v>
      </c>
      <c r="H13" s="765">
        <v>54891</v>
      </c>
      <c r="I13" s="765">
        <v>16572</v>
      </c>
      <c r="J13" s="765">
        <v>19900</v>
      </c>
      <c r="K13" s="1784">
        <f>(H13+I13)-J13</f>
        <v>51563</v>
      </c>
      <c r="L13" s="1784">
        <f>F13-K13</f>
        <v>63296</v>
      </c>
    </row>
    <row r="14" spans="1:14" ht="14.25" thickTop="1" thickBot="1" x14ac:dyDescent="0.25">
      <c r="A14" s="848" t="s">
        <v>1185</v>
      </c>
      <c r="B14" s="840">
        <v>253</v>
      </c>
      <c r="C14" s="765">
        <v>50857</v>
      </c>
      <c r="D14" s="765"/>
      <c r="E14" s="765">
        <v>50857</v>
      </c>
      <c r="F14" s="1775">
        <f>(C14+D14)-E14</f>
        <v>0</v>
      </c>
      <c r="G14" s="843">
        <v>3</v>
      </c>
      <c r="H14" s="765">
        <v>50857</v>
      </c>
      <c r="I14" s="765">
        <v>0</v>
      </c>
      <c r="J14" s="765">
        <v>50857</v>
      </c>
      <c r="K14" s="1784">
        <f>(H14+I14)-J14</f>
        <v>0</v>
      </c>
      <c r="L14" s="1784">
        <f>F14-K14</f>
        <v>0</v>
      </c>
    </row>
    <row r="15" spans="1:14" ht="15" customHeight="1" thickTop="1" thickBot="1" x14ac:dyDescent="0.25">
      <c r="A15" s="1647" t="s">
        <v>549</v>
      </c>
      <c r="B15" s="1646">
        <v>260</v>
      </c>
      <c r="C15" s="844"/>
      <c r="D15" s="844"/>
      <c r="E15" s="844"/>
      <c r="F15" s="1775">
        <f>(C15+D15)-E15</f>
        <v>0</v>
      </c>
      <c r="G15" s="849" t="s">
        <v>917</v>
      </c>
      <c r="H15" s="781"/>
      <c r="I15" s="781"/>
      <c r="J15" s="781"/>
      <c r="K15" s="781"/>
      <c r="L15" s="1784">
        <f>F15-K15</f>
        <v>0</v>
      </c>
    </row>
    <row r="16" spans="1:14" ht="15" customHeight="1" thickTop="1" thickBot="1" x14ac:dyDescent="0.25">
      <c r="A16" s="1780" t="s">
        <v>664</v>
      </c>
      <c r="B16" s="1781">
        <v>200</v>
      </c>
      <c r="C16" s="1775">
        <f>SUM(C3,C5:C6,C8:C10,C12:C15)</f>
        <v>20321184</v>
      </c>
      <c r="D16" s="1775">
        <f>SUM(D3,D5:D6,D8:D10,D12:D15)</f>
        <v>361267</v>
      </c>
      <c r="E16" s="1775">
        <f>SUM(E3,E5:E6,E8:E10,E12:E15)</f>
        <v>1931233</v>
      </c>
      <c r="F16" s="1775">
        <f>SUM(F3,F5:F6,F8:F10,F12:F15)</f>
        <v>18751218</v>
      </c>
      <c r="G16" s="843"/>
      <c r="H16" s="1775">
        <f>SUM(H3,H6,H8:H10,H12:H14,)</f>
        <v>10950913</v>
      </c>
      <c r="I16" s="1775">
        <f>SUM(I3,I6,I8:I10,I12:I14,)</f>
        <v>472151</v>
      </c>
      <c r="J16" s="1775">
        <f>SUM(J3,J6,J8:J10,J12:J14,)</f>
        <v>1931233</v>
      </c>
      <c r="K16" s="1775">
        <f>(H16+I16)-J16</f>
        <v>9491831</v>
      </c>
      <c r="L16" s="1775">
        <f>F16-K16</f>
        <v>9259387</v>
      </c>
    </row>
    <row r="17" spans="1:12" ht="15" customHeight="1" thickTop="1" thickBot="1" x14ac:dyDescent="0.25">
      <c r="A17" s="1649" t="s">
        <v>309</v>
      </c>
      <c r="B17" s="1646">
        <v>700</v>
      </c>
      <c r="C17" s="769"/>
      <c r="D17" s="769"/>
      <c r="E17" s="769"/>
      <c r="F17" s="1775">
        <f>SUM('Expenditures 15-22'!I114,'Expenditures 15-22'!I151,'Expenditures 15-22'!I210,'Expenditures 15-22'!I312,'Expenditures 15-22'!I342,'Expenditures 15-22'!I367)</f>
        <v>0</v>
      </c>
      <c r="G17" s="837">
        <v>10</v>
      </c>
      <c r="H17" s="769"/>
      <c r="I17" s="1784">
        <f>F17/G17</f>
        <v>0</v>
      </c>
      <c r="J17" s="769"/>
      <c r="K17" s="795"/>
      <c r="L17" s="795"/>
    </row>
    <row r="18" spans="1:12" ht="14.25" thickTop="1" thickBot="1" x14ac:dyDescent="0.25">
      <c r="A18" s="1782" t="s">
        <v>706</v>
      </c>
      <c r="B18" s="1783"/>
      <c r="C18" s="771"/>
      <c r="D18" s="771"/>
      <c r="E18" s="771"/>
      <c r="F18" s="850"/>
      <c r="G18" s="851"/>
      <c r="H18" s="773"/>
      <c r="I18" s="1775">
        <f>SUM(I16,I17)</f>
        <v>472151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161" activePane="bottomLeft" state="frozen"/>
      <selection activeCell="B29" sqref="B29"/>
      <selection pane="bottomLeft" activeCell="B29" sqref="B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8" t="s">
        <v>1699</v>
      </c>
      <c r="B1" s="2289"/>
      <c r="C1" s="2289"/>
      <c r="D1" s="2289"/>
      <c r="E1" s="2289"/>
      <c r="F1" s="2290"/>
      <c r="G1" s="855"/>
    </row>
    <row r="2" spans="1:7" ht="15" customHeight="1" thickBot="1" x14ac:dyDescent="0.25">
      <c r="A2" s="2291" t="s">
        <v>498</v>
      </c>
      <c r="B2" s="2292"/>
      <c r="C2" s="2292"/>
      <c r="D2" s="2292"/>
      <c r="E2" s="2292"/>
      <c r="F2" s="2293"/>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7">
        <f>'Expenditures 15-22'!K114</f>
        <v>9196011</v>
      </c>
      <c r="G8" s="865"/>
    </row>
    <row r="9" spans="1:7" x14ac:dyDescent="0.2">
      <c r="A9" s="869" t="s">
        <v>480</v>
      </c>
      <c r="B9" s="870" t="s">
        <v>1987</v>
      </c>
      <c r="C9" s="871"/>
      <c r="D9" s="869" t="s">
        <v>522</v>
      </c>
      <c r="E9" s="868"/>
      <c r="F9" s="1928">
        <f>'Expenditures 15-22'!K151</f>
        <v>973079</v>
      </c>
      <c r="G9" s="872"/>
    </row>
    <row r="10" spans="1:7" x14ac:dyDescent="0.2">
      <c r="A10" s="869" t="s">
        <v>520</v>
      </c>
      <c r="B10" s="870" t="s">
        <v>1988</v>
      </c>
      <c r="C10" s="871"/>
      <c r="D10" s="869" t="s">
        <v>522</v>
      </c>
      <c r="E10" s="868"/>
      <c r="F10" s="1928">
        <f>'Expenditures 15-22'!K174</f>
        <v>665989</v>
      </c>
      <c r="G10" s="872"/>
    </row>
    <row r="11" spans="1:7" x14ac:dyDescent="0.2">
      <c r="A11" s="869" t="s">
        <v>481</v>
      </c>
      <c r="B11" s="870" t="s">
        <v>1989</v>
      </c>
      <c r="C11" s="871"/>
      <c r="D11" s="869" t="s">
        <v>522</v>
      </c>
      <c r="E11" s="868"/>
      <c r="F11" s="1928">
        <f>'Expenditures 15-22'!K210</f>
        <v>1055788</v>
      </c>
      <c r="G11" s="872"/>
    </row>
    <row r="12" spans="1:7" x14ac:dyDescent="0.2">
      <c r="A12" s="869" t="s">
        <v>482</v>
      </c>
      <c r="B12" s="870" t="s">
        <v>1990</v>
      </c>
      <c r="C12" s="871"/>
      <c r="D12" s="869" t="s">
        <v>522</v>
      </c>
      <c r="E12" s="868"/>
      <c r="F12" s="1928">
        <f>'Expenditures 15-22'!K295</f>
        <v>323425</v>
      </c>
      <c r="G12" s="872"/>
    </row>
    <row r="13" spans="1:7" x14ac:dyDescent="0.2">
      <c r="A13" s="869" t="s">
        <v>108</v>
      </c>
      <c r="B13" s="870" t="s">
        <v>1991</v>
      </c>
      <c r="C13" s="871"/>
      <c r="D13" s="869" t="s">
        <v>522</v>
      </c>
      <c r="E13" s="868"/>
      <c r="F13" s="1928">
        <f>'Expenditures 15-22'!K342</f>
        <v>294071</v>
      </c>
      <c r="G13" s="873"/>
    </row>
    <row r="14" spans="1:7" ht="12" customHeight="1" thickBot="1" x14ac:dyDescent="0.25">
      <c r="A14" s="1785"/>
      <c r="B14" s="1786"/>
      <c r="C14" s="1787"/>
      <c r="D14" s="1788" t="s">
        <v>522</v>
      </c>
      <c r="E14" s="1789" t="s">
        <v>1015</v>
      </c>
      <c r="F14" s="1790">
        <f>SUM(F8:F13)</f>
        <v>12508363</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29">
        <f>'Revenues 9-14'!F43</f>
        <v>0</v>
      </c>
      <c r="G18" s="865"/>
    </row>
    <row r="19" spans="1:7" x14ac:dyDescent="0.2">
      <c r="A19" s="869" t="s">
        <v>481</v>
      </c>
      <c r="B19" s="870" t="s">
        <v>1069</v>
      </c>
      <c r="C19" s="877">
        <f>'Revenues 9-14'!B47</f>
        <v>1421</v>
      </c>
      <c r="D19" s="878" t="str">
        <f>'Revenues 9-14'!A47</f>
        <v>Summer Sch - Transp. Fees from Pupils or Parents (In State)</v>
      </c>
      <c r="E19" s="879"/>
      <c r="F19" s="1930">
        <f>'Revenues 9-14'!F47</f>
        <v>0</v>
      </c>
      <c r="G19" s="865"/>
    </row>
    <row r="20" spans="1:7" x14ac:dyDescent="0.2">
      <c r="A20" s="869" t="s">
        <v>481</v>
      </c>
      <c r="B20" s="870" t="s">
        <v>1070</v>
      </c>
      <c r="C20" s="875">
        <f>'Revenues 9-14'!B48</f>
        <v>1422</v>
      </c>
      <c r="D20" s="876" t="str">
        <f>'Revenues 9-14'!A48</f>
        <v>Summer Sch - Transp. Fees from Other Districts (In State)</v>
      </c>
      <c r="E20" s="868"/>
      <c r="F20" s="1931">
        <f>'Revenues 9-14'!F48</f>
        <v>0</v>
      </c>
      <c r="G20" s="865"/>
    </row>
    <row r="21" spans="1:7" x14ac:dyDescent="0.2">
      <c r="A21" s="869" t="s">
        <v>481</v>
      </c>
      <c r="B21" s="870" t="s">
        <v>1071</v>
      </c>
      <c r="C21" s="877">
        <f>'Revenues 9-14'!B49</f>
        <v>1423</v>
      </c>
      <c r="D21" s="876" t="str">
        <f>'Revenues 9-14'!A49</f>
        <v>Summer Sch - Transp. Fees from Other Sources (In State)</v>
      </c>
      <c r="E21" s="868"/>
      <c r="F21" s="1932">
        <f>'Revenues 9-14'!F49</f>
        <v>0</v>
      </c>
      <c r="G21" s="865"/>
    </row>
    <row r="22" spans="1:7" x14ac:dyDescent="0.2">
      <c r="A22" s="869" t="s">
        <v>481</v>
      </c>
      <c r="B22" s="870" t="s">
        <v>1072</v>
      </c>
      <c r="C22" s="877">
        <f>'Revenues 9-14'!B50</f>
        <v>1424</v>
      </c>
      <c r="D22" s="876" t="str">
        <f>'Revenues 9-14'!A50</f>
        <v>Summer Sch - Transp. Fees from Other Sources (Out of State)</v>
      </c>
      <c r="E22" s="868"/>
      <c r="F22" s="1932">
        <f>'Revenues 9-14'!F50</f>
        <v>0</v>
      </c>
      <c r="G22" s="865"/>
    </row>
    <row r="23" spans="1:7" x14ac:dyDescent="0.2">
      <c r="A23" s="869" t="s">
        <v>481</v>
      </c>
      <c r="B23" s="870" t="s">
        <v>1073</v>
      </c>
      <c r="C23" s="875">
        <f>'Revenues 9-14'!B52</f>
        <v>1432</v>
      </c>
      <c r="D23" s="876" t="str">
        <f>'Revenues 9-14'!A52</f>
        <v>CTE - Transp Fees from Other Districts (In State)</v>
      </c>
      <c r="E23" s="868"/>
      <c r="F23" s="1932">
        <f>'Revenues 9-14'!F52</f>
        <v>0</v>
      </c>
      <c r="G23" s="865"/>
    </row>
    <row r="24" spans="1:7" x14ac:dyDescent="0.2">
      <c r="A24" s="869" t="s">
        <v>481</v>
      </c>
      <c r="B24" s="870" t="s">
        <v>1074</v>
      </c>
      <c r="C24" s="875">
        <f>'Revenues 9-14'!B56</f>
        <v>1442</v>
      </c>
      <c r="D24" s="876" t="str">
        <f>'Revenues 9-14'!A56</f>
        <v>Special Ed - Transp Fees from Other Districts (In State)</v>
      </c>
      <c r="E24" s="868"/>
      <c r="F24" s="1932">
        <f>'Revenues 9-14'!F56</f>
        <v>0</v>
      </c>
      <c r="G24" s="865"/>
    </row>
    <row r="25" spans="1:7" x14ac:dyDescent="0.2">
      <c r="A25" s="869" t="s">
        <v>481</v>
      </c>
      <c r="B25" s="870" t="s">
        <v>1075</v>
      </c>
      <c r="C25" s="875">
        <f>'Revenues 9-14'!B59</f>
        <v>1451</v>
      </c>
      <c r="D25" s="876" t="str">
        <f>'Revenues 9-14'!A59</f>
        <v>Adult - Transp Fees from Pupils or Parents (In State)</v>
      </c>
      <c r="E25" s="868"/>
      <c r="F25" s="1932">
        <f>'Revenues 9-14'!F59</f>
        <v>0</v>
      </c>
      <c r="G25" s="865"/>
    </row>
    <row r="26" spans="1:7" x14ac:dyDescent="0.2">
      <c r="A26" s="869" t="s">
        <v>481</v>
      </c>
      <c r="B26" s="870" t="s">
        <v>1076</v>
      </c>
      <c r="C26" s="875">
        <f>'Revenues 9-14'!B60</f>
        <v>1452</v>
      </c>
      <c r="D26" s="876" t="str">
        <f>'Revenues 9-14'!A60</f>
        <v>Adult - Transp Fees from Other Districts (In State)</v>
      </c>
      <c r="E26" s="868"/>
      <c r="F26" s="1932">
        <f>'Revenues 9-14'!F60</f>
        <v>0</v>
      </c>
      <c r="G26" s="865"/>
    </row>
    <row r="27" spans="1:7" x14ac:dyDescent="0.2">
      <c r="A27" s="869" t="s">
        <v>481</v>
      </c>
      <c r="B27" s="870" t="s">
        <v>1077</v>
      </c>
      <c r="C27" s="875">
        <f>'Revenues 9-14'!B61</f>
        <v>1453</v>
      </c>
      <c r="D27" s="876" t="str">
        <f>'Revenues 9-14'!A61</f>
        <v>Adult - Transp Fees from Other Sources (In State)</v>
      </c>
      <c r="E27" s="868"/>
      <c r="F27" s="1932">
        <f>'Revenues 9-14'!F61</f>
        <v>0</v>
      </c>
      <c r="G27" s="865"/>
    </row>
    <row r="28" spans="1:7" x14ac:dyDescent="0.2">
      <c r="A28" s="869" t="s">
        <v>481</v>
      </c>
      <c r="B28" s="870" t="s">
        <v>1078</v>
      </c>
      <c r="C28" s="875">
        <f>'Revenues 9-14'!B62</f>
        <v>1454</v>
      </c>
      <c r="D28" s="876" t="str">
        <f>'Revenues 9-14'!A62</f>
        <v>Adult - Transp Fees from Other Sources (Out of State)</v>
      </c>
      <c r="E28" s="868"/>
      <c r="F28" s="1932">
        <f>'Revenues 9-14'!F62</f>
        <v>0</v>
      </c>
      <c r="G28" s="865"/>
    </row>
    <row r="29" spans="1:7" x14ac:dyDescent="0.2">
      <c r="A29" s="869" t="s">
        <v>1159</v>
      </c>
      <c r="B29" s="870" t="s">
        <v>1683</v>
      </c>
      <c r="C29" s="880">
        <f>'Revenues 9-14'!B148</f>
        <v>3410</v>
      </c>
      <c r="D29" s="881" t="str">
        <f>'Revenues 9-14'!A148</f>
        <v>Adult Ed (from ICCB)</v>
      </c>
      <c r="E29" s="868"/>
      <c r="F29" s="1932">
        <f>SUM('Revenues 9-14'!D148,F149)</f>
        <v>0</v>
      </c>
      <c r="G29" s="865"/>
    </row>
    <row r="30" spans="1:7" x14ac:dyDescent="0.2">
      <c r="A30" s="869" t="s">
        <v>1159</v>
      </c>
      <c r="B30" s="870" t="s">
        <v>861</v>
      </c>
      <c r="C30" s="880">
        <f>'Revenues 9-14'!B149</f>
        <v>3499</v>
      </c>
      <c r="D30" s="881" t="str">
        <f>'Revenues 9-14'!A149</f>
        <v>Adult Ed - Other (Describe &amp; Itemize)</v>
      </c>
      <c r="E30" s="868"/>
      <c r="F30" s="1933">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2">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2">
        <f>SUM('Revenues 9-14'!D219,'Revenues 9-14'!F219)</f>
        <v>0</v>
      </c>
      <c r="G32" s="865"/>
    </row>
    <row r="33" spans="1:7" x14ac:dyDescent="0.2">
      <c r="A33" s="869" t="s">
        <v>480</v>
      </c>
      <c r="B33" s="870" t="s">
        <v>801</v>
      </c>
      <c r="C33" s="875">
        <f>'Revenues 9-14'!B229</f>
        <v>4810</v>
      </c>
      <c r="D33" s="883" t="str">
        <f>'Revenues 9-14'!A229</f>
        <v>Federal - Adult Education</v>
      </c>
      <c r="E33" s="868"/>
      <c r="F33" s="1932">
        <f>'Revenues 9-14'!D229</f>
        <v>0</v>
      </c>
      <c r="G33" s="865"/>
    </row>
    <row r="34" spans="1:7" x14ac:dyDescent="0.2">
      <c r="A34" s="869" t="s">
        <v>479</v>
      </c>
      <c r="B34" s="869" t="s">
        <v>1545</v>
      </c>
      <c r="C34" s="886" t="str">
        <f>'Expenditures 15-22'!B7</f>
        <v>1125</v>
      </c>
      <c r="D34" s="887" t="str">
        <f>'Expenditures 15-22'!A7</f>
        <v>Pre-K Programs</v>
      </c>
      <c r="E34" s="868"/>
      <c r="F34" s="1932">
        <f>'Expenditures 15-22'!K7-SUM('Expenditures 15-22'!G7,'Expenditures 15-22'!I7)</f>
        <v>213613</v>
      </c>
      <c r="G34" s="865"/>
    </row>
    <row r="35" spans="1:7" x14ac:dyDescent="0.2">
      <c r="A35" s="869" t="s">
        <v>479</v>
      </c>
      <c r="B35" s="869" t="s">
        <v>1546</v>
      </c>
      <c r="C35" s="886" t="str">
        <f>'Expenditures 15-22'!B9</f>
        <v>1225</v>
      </c>
      <c r="D35" s="887" t="str">
        <f>'Expenditures 15-22'!A9</f>
        <v>Special Education Programs Pre-K</v>
      </c>
      <c r="E35" s="868"/>
      <c r="F35" s="1932">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2">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2">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2">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2">
        <f>'Expenditures 15-22'!K20</f>
        <v>0</v>
      </c>
      <c r="G39" s="865"/>
    </row>
    <row r="40" spans="1:7" x14ac:dyDescent="0.2">
      <c r="A40" s="869" t="s">
        <v>479</v>
      </c>
      <c r="B40" s="869" t="s">
        <v>120</v>
      </c>
      <c r="C40" s="886" t="str">
        <f>'Expenditures 15-22'!B21</f>
        <v>1911</v>
      </c>
      <c r="D40" s="888" t="str">
        <f>'Expenditures 15-22'!A21</f>
        <v>Regular K-12 Programs - Private Tuition</v>
      </c>
      <c r="E40" s="868"/>
      <c r="F40" s="1932">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2">
        <f>'Expenditures 15-22'!K22</f>
        <v>0</v>
      </c>
      <c r="G41" s="865"/>
    </row>
    <row r="42" spans="1:7" x14ac:dyDescent="0.2">
      <c r="A42" s="869" t="s">
        <v>479</v>
      </c>
      <c r="B42" s="869" t="s">
        <v>122</v>
      </c>
      <c r="C42" s="889" t="str">
        <f>'Expenditures 15-22'!B23</f>
        <v>1913</v>
      </c>
      <c r="D42" s="888" t="str">
        <f>'Expenditures 15-22'!A23</f>
        <v>Special Education Programs Pre-K - Tuition</v>
      </c>
      <c r="E42" s="868"/>
      <c r="F42" s="1932">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2">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2">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2">
        <f>'Expenditures 15-22'!K26</f>
        <v>0</v>
      </c>
      <c r="G45" s="865"/>
    </row>
    <row r="46" spans="1:7" x14ac:dyDescent="0.2">
      <c r="A46" s="869" t="s">
        <v>479</v>
      </c>
      <c r="B46" s="869" t="s">
        <v>126</v>
      </c>
      <c r="C46" s="886" t="str">
        <f>'Expenditures 15-22'!B27</f>
        <v>1917</v>
      </c>
      <c r="D46" s="888" t="str">
        <f>'Expenditures 15-22'!A27</f>
        <v>CTE Programs - Private Tuition</v>
      </c>
      <c r="E46" s="868"/>
      <c r="F46" s="1932">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2">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2">
        <f>'Expenditures 15-22'!K29</f>
        <v>0</v>
      </c>
      <c r="G48" s="865"/>
    </row>
    <row r="49" spans="1:7" x14ac:dyDescent="0.2">
      <c r="A49" s="869" t="s">
        <v>479</v>
      </c>
      <c r="B49" s="869" t="s">
        <v>129</v>
      </c>
      <c r="C49" s="886" t="str">
        <f>'Expenditures 15-22'!B30</f>
        <v>1920</v>
      </c>
      <c r="D49" s="888" t="str">
        <f>'Expenditures 15-22'!A30</f>
        <v>Gifted Programs - Private Tuition</v>
      </c>
      <c r="E49" s="868"/>
      <c r="F49" s="1932">
        <f>'Expenditures 15-22'!K30</f>
        <v>0</v>
      </c>
      <c r="G49" s="865"/>
    </row>
    <row r="50" spans="1:7" x14ac:dyDescent="0.2">
      <c r="A50" s="869" t="s">
        <v>479</v>
      </c>
      <c r="B50" s="869" t="s">
        <v>130</v>
      </c>
      <c r="C50" s="886" t="str">
        <f>'Expenditures 15-22'!B31</f>
        <v>1921</v>
      </c>
      <c r="D50" s="888" t="str">
        <f>'Expenditures 15-22'!A31</f>
        <v>Bilingual Programs - Private Tuition</v>
      </c>
      <c r="E50" s="868"/>
      <c r="F50" s="1932">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2">
        <f>'Expenditures 15-22'!K32</f>
        <v>0</v>
      </c>
      <c r="G51" s="865"/>
    </row>
    <row r="52" spans="1:7" x14ac:dyDescent="0.2">
      <c r="A52" s="869" t="s">
        <v>479</v>
      </c>
      <c r="B52" s="869" t="s">
        <v>1550</v>
      </c>
      <c r="C52" s="889" t="str">
        <f>'Expenditures 15-22'!B75</f>
        <v>3000</v>
      </c>
      <c r="D52" s="888" t="s">
        <v>469</v>
      </c>
      <c r="E52" s="868"/>
      <c r="F52" s="1932">
        <f>'Expenditures 15-22'!K75-SUM('Expenditures 15-22'!G75,'Expenditures 15-22'!I75)</f>
        <v>7329</v>
      </c>
      <c r="G52" s="865"/>
    </row>
    <row r="53" spans="1:7" x14ac:dyDescent="0.2">
      <c r="A53" s="869" t="s">
        <v>479</v>
      </c>
      <c r="B53" s="869" t="s">
        <v>1551</v>
      </c>
      <c r="C53" s="889">
        <f>'Expenditures 15-22'!B102</f>
        <v>4000</v>
      </c>
      <c r="D53" s="888" t="str">
        <f>'Expenditures 15-22'!A102</f>
        <v>Total Payments to Other Govt Units</v>
      </c>
      <c r="E53" s="868"/>
      <c r="F53" s="1932">
        <f>'Expenditures 15-22'!K102</f>
        <v>253259</v>
      </c>
      <c r="G53" s="865"/>
    </row>
    <row r="54" spans="1:7" x14ac:dyDescent="0.2">
      <c r="A54" s="869" t="s">
        <v>479</v>
      </c>
      <c r="B54" s="869" t="s">
        <v>1552</v>
      </c>
      <c r="C54" s="889" t="s">
        <v>1039</v>
      </c>
      <c r="D54" s="885" t="s">
        <v>1157</v>
      </c>
      <c r="E54" s="868"/>
      <c r="F54" s="1932">
        <f>'Expenditures 15-22'!G114</f>
        <v>98100</v>
      </c>
      <c r="G54" s="865"/>
    </row>
    <row r="55" spans="1:7" x14ac:dyDescent="0.2">
      <c r="A55" s="869" t="s">
        <v>479</v>
      </c>
      <c r="B55" s="869" t="s">
        <v>1553</v>
      </c>
      <c r="C55" s="889" t="s">
        <v>1039</v>
      </c>
      <c r="D55" s="885" t="s">
        <v>309</v>
      </c>
      <c r="E55" s="868"/>
      <c r="F55" s="1932">
        <f>'Expenditures 15-22'!I114</f>
        <v>0</v>
      </c>
      <c r="G55" s="865"/>
    </row>
    <row r="56" spans="1:7" x14ac:dyDescent="0.2">
      <c r="A56" s="869" t="s">
        <v>480</v>
      </c>
      <c r="B56" s="869" t="s">
        <v>1554</v>
      </c>
      <c r="C56" s="886" t="str">
        <f>'Expenditures 15-22'!B130</f>
        <v>3000</v>
      </c>
      <c r="D56" s="892" t="s">
        <v>469</v>
      </c>
      <c r="E56" s="868"/>
      <c r="F56" s="1932">
        <f>'Expenditures 15-22'!K130-SUM('Expenditures 15-22'!G130+'Expenditures 15-22'!I130)</f>
        <v>0</v>
      </c>
      <c r="G56" s="865"/>
    </row>
    <row r="57" spans="1:7" x14ac:dyDescent="0.2">
      <c r="A57" s="869" t="s">
        <v>480</v>
      </c>
      <c r="B57" s="869" t="s">
        <v>1992</v>
      </c>
      <c r="C57" s="889">
        <f>'Expenditures 15-22'!B139</f>
        <v>4000</v>
      </c>
      <c r="D57" s="887" t="str">
        <f>'Expenditures 15-22'!A139</f>
        <v>Total Payments to Other Govt Units</v>
      </c>
      <c r="E57" s="868"/>
      <c r="F57" s="1932">
        <f>'Expenditures 15-22'!K139</f>
        <v>0</v>
      </c>
      <c r="G57" s="865"/>
    </row>
    <row r="58" spans="1:7" x14ac:dyDescent="0.2">
      <c r="A58" s="869" t="s">
        <v>480</v>
      </c>
      <c r="B58" s="869" t="s">
        <v>1993</v>
      </c>
      <c r="C58" s="886" t="s">
        <v>1039</v>
      </c>
      <c r="D58" s="885" t="s">
        <v>1157</v>
      </c>
      <c r="E58" s="868"/>
      <c r="F58" s="1934">
        <f>'Expenditures 15-22'!G151</f>
        <v>19993</v>
      </c>
      <c r="G58" s="865"/>
    </row>
    <row r="59" spans="1:7" x14ac:dyDescent="0.2">
      <c r="A59" s="893" t="s">
        <v>480</v>
      </c>
      <c r="B59" s="856" t="s">
        <v>1994</v>
      </c>
      <c r="C59" s="894" t="s">
        <v>1039</v>
      </c>
      <c r="D59" s="856" t="s">
        <v>309</v>
      </c>
      <c r="F59" s="1935">
        <f>'Expenditures 15-22'!I151</f>
        <v>0</v>
      </c>
      <c r="G59" s="865"/>
    </row>
    <row r="60" spans="1:7" x14ac:dyDescent="0.2">
      <c r="A60" s="893" t="s">
        <v>520</v>
      </c>
      <c r="B60" s="856" t="s">
        <v>1995</v>
      </c>
      <c r="C60" s="894">
        <v>4000</v>
      </c>
      <c r="D60" s="856" t="s">
        <v>330</v>
      </c>
      <c r="F60" s="1933">
        <f>'Expenditures 15-22'!K160</f>
        <v>0</v>
      </c>
      <c r="G60" s="865"/>
    </row>
    <row r="61" spans="1:7" x14ac:dyDescent="0.2">
      <c r="A61" s="895" t="s">
        <v>520</v>
      </c>
      <c r="B61" s="895" t="s">
        <v>1996</v>
      </c>
      <c r="C61" s="896" t="str">
        <f>'Expenditures 15-22'!B170</f>
        <v>5300</v>
      </c>
      <c r="D61" s="897" t="s">
        <v>329</v>
      </c>
      <c r="E61" s="879"/>
      <c r="F61" s="1932">
        <f>'Expenditures 15-22'!K170</f>
        <v>479868</v>
      </c>
      <c r="G61" s="865"/>
    </row>
    <row r="62" spans="1:7" x14ac:dyDescent="0.2">
      <c r="A62" s="869" t="s">
        <v>481</v>
      </c>
      <c r="B62" s="869" t="s">
        <v>1997</v>
      </c>
      <c r="C62" s="886">
        <f>'Expenditures 15-22'!B185</f>
        <v>3000</v>
      </c>
      <c r="D62" s="876" t="s">
        <v>469</v>
      </c>
      <c r="E62" s="868"/>
      <c r="F62" s="1932">
        <f>'Expenditures 15-22'!K185-SUM('Expenditures 15-22'!G185,'Expenditures 15-22'!I185)</f>
        <v>0</v>
      </c>
      <c r="G62" s="865"/>
    </row>
    <row r="63" spans="1:7" x14ac:dyDescent="0.2">
      <c r="A63" s="869" t="s">
        <v>481</v>
      </c>
      <c r="B63" s="869" t="s">
        <v>1998</v>
      </c>
      <c r="C63" s="886" t="str">
        <f>'Expenditures 15-22'!B196</f>
        <v>4000</v>
      </c>
      <c r="D63" s="887" t="str">
        <f>'Expenditures 15-22'!A196</f>
        <v>Total Payments to Other Govt Units</v>
      </c>
      <c r="E63" s="868"/>
      <c r="F63" s="1932">
        <f>'Expenditures 15-22'!K196</f>
        <v>0</v>
      </c>
      <c r="G63" s="865"/>
    </row>
    <row r="64" spans="1:7" x14ac:dyDescent="0.2">
      <c r="A64" s="895" t="s">
        <v>481</v>
      </c>
      <c r="B64" s="895" t="s">
        <v>1999</v>
      </c>
      <c r="C64" s="896" t="str">
        <f>'Expenditures 15-22'!B206</f>
        <v>5300</v>
      </c>
      <c r="D64" s="892" t="s">
        <v>329</v>
      </c>
      <c r="E64" s="868"/>
      <c r="F64" s="1932">
        <f>'Expenditures 15-22'!K206</f>
        <v>0</v>
      </c>
      <c r="G64" s="865"/>
    </row>
    <row r="65" spans="1:8" x14ac:dyDescent="0.2">
      <c r="A65" s="869" t="s">
        <v>481</v>
      </c>
      <c r="B65" s="869" t="s">
        <v>2000</v>
      </c>
      <c r="C65" s="886" t="s">
        <v>1039</v>
      </c>
      <c r="D65" s="885" t="s">
        <v>1157</v>
      </c>
      <c r="E65" s="868"/>
      <c r="F65" s="1932">
        <f>'Expenditures 15-22'!G210</f>
        <v>52950</v>
      </c>
      <c r="G65" s="865"/>
    </row>
    <row r="66" spans="1:8" x14ac:dyDescent="0.2">
      <c r="A66" s="869" t="s">
        <v>481</v>
      </c>
      <c r="B66" s="869" t="s">
        <v>2001</v>
      </c>
      <c r="C66" s="886" t="s">
        <v>1039</v>
      </c>
      <c r="D66" s="885" t="s">
        <v>309</v>
      </c>
      <c r="E66" s="868"/>
      <c r="F66" s="1932">
        <f>'Expenditures 15-22'!I210</f>
        <v>0</v>
      </c>
      <c r="G66" s="865"/>
    </row>
    <row r="67" spans="1:8" x14ac:dyDescent="0.2">
      <c r="A67" s="869" t="s">
        <v>482</v>
      </c>
      <c r="B67" s="869" t="s">
        <v>2002</v>
      </c>
      <c r="C67" s="886" t="str">
        <f>'Expenditures 15-22'!B216</f>
        <v>1125</v>
      </c>
      <c r="D67" s="892" t="str">
        <f>'Expenditures 15-22'!A216</f>
        <v>Pre-K Programs</v>
      </c>
      <c r="E67" s="868"/>
      <c r="F67" s="1932">
        <f>'Expenditures 15-22'!K216</f>
        <v>11720</v>
      </c>
      <c r="G67" s="865"/>
    </row>
    <row r="68" spans="1:8" x14ac:dyDescent="0.2">
      <c r="A68" s="869" t="s">
        <v>482</v>
      </c>
      <c r="B68" s="869" t="s">
        <v>1555</v>
      </c>
      <c r="C68" s="886" t="str">
        <f>'Expenditures 15-22'!B218</f>
        <v>1225</v>
      </c>
      <c r="D68" s="892" t="str">
        <f>'Expenditures 15-22'!A218</f>
        <v>Special Education Programs - Pre-K</v>
      </c>
      <c r="E68" s="868"/>
      <c r="F68" s="1932">
        <f>'Expenditures 15-22'!K218</f>
        <v>0</v>
      </c>
      <c r="G68" s="865"/>
    </row>
    <row r="69" spans="1:8" x14ac:dyDescent="0.2">
      <c r="A69" s="869" t="s">
        <v>482</v>
      </c>
      <c r="B69" s="869" t="s">
        <v>2003</v>
      </c>
      <c r="C69" s="886" t="str">
        <f>'Expenditures 15-22'!B220</f>
        <v>1275</v>
      </c>
      <c r="D69" s="892" t="str">
        <f>'Expenditures 15-22'!A220</f>
        <v>Remedial and Supplemental Programs - Pre-K</v>
      </c>
      <c r="E69" s="868"/>
      <c r="F69" s="1932">
        <f>'Expenditures 15-22'!K220</f>
        <v>0</v>
      </c>
      <c r="G69" s="865"/>
    </row>
    <row r="70" spans="1:8" x14ac:dyDescent="0.2">
      <c r="A70" s="869" t="s">
        <v>482</v>
      </c>
      <c r="B70" s="869" t="s">
        <v>2004</v>
      </c>
      <c r="C70" s="886">
        <f>'Expenditures 15-22'!B221</f>
        <v>1300</v>
      </c>
      <c r="D70" s="887" t="str">
        <f>'Expenditures 15-22'!A221</f>
        <v>Adult/Continuing Education Programs</v>
      </c>
      <c r="E70" s="868"/>
      <c r="F70" s="1932">
        <f>'Expenditures 15-22'!K221</f>
        <v>0</v>
      </c>
      <c r="G70" s="865"/>
    </row>
    <row r="71" spans="1:8" x14ac:dyDescent="0.2">
      <c r="A71" s="869" t="s">
        <v>482</v>
      </c>
      <c r="B71" s="869" t="s">
        <v>2005</v>
      </c>
      <c r="C71" s="886">
        <f>'Expenditures 15-22'!B224</f>
        <v>1600</v>
      </c>
      <c r="D71" s="887" t="str">
        <f>'Expenditures 15-22'!A224</f>
        <v>Summer School Programs</v>
      </c>
      <c r="E71" s="868"/>
      <c r="F71" s="1932">
        <f>'Expenditures 15-22'!K224</f>
        <v>0</v>
      </c>
      <c r="G71" s="865"/>
    </row>
    <row r="72" spans="1:8" x14ac:dyDescent="0.2">
      <c r="A72" s="869" t="s">
        <v>482</v>
      </c>
      <c r="B72" s="869" t="s">
        <v>2006</v>
      </c>
      <c r="C72" s="886">
        <f>'Expenditures 15-22'!B280</f>
        <v>3000</v>
      </c>
      <c r="D72" s="876" t="s">
        <v>469</v>
      </c>
      <c r="E72" s="868"/>
      <c r="F72" s="1932">
        <f>'Expenditures 15-22'!K280</f>
        <v>0</v>
      </c>
      <c r="G72" s="865"/>
    </row>
    <row r="73" spans="1:8" x14ac:dyDescent="0.2">
      <c r="A73" s="869" t="s">
        <v>482</v>
      </c>
      <c r="B73" s="869" t="s">
        <v>2007</v>
      </c>
      <c r="C73" s="886" t="str">
        <f>'Expenditures 15-22'!B285</f>
        <v>4000</v>
      </c>
      <c r="D73" s="887" t="str">
        <f>'Expenditures 15-22'!A285</f>
        <v>Total Payments to Other Govt Units</v>
      </c>
      <c r="E73" s="868"/>
      <c r="F73" s="1932">
        <f>'Expenditures 15-22'!K285</f>
        <v>0</v>
      </c>
      <c r="G73" s="865"/>
    </row>
    <row r="74" spans="1:8" x14ac:dyDescent="0.2">
      <c r="A74" s="869" t="s">
        <v>456</v>
      </c>
      <c r="B74" s="869" t="s">
        <v>2008</v>
      </c>
      <c r="C74" s="886" t="s">
        <v>915</v>
      </c>
      <c r="D74" s="887" t="s">
        <v>1567</v>
      </c>
      <c r="E74" s="868"/>
      <c r="F74" s="1936">
        <f>'Expenditures 15-22'!K334</f>
        <v>0</v>
      </c>
      <c r="G74" s="865"/>
    </row>
    <row r="75" spans="1:8" ht="5.25" customHeight="1" x14ac:dyDescent="0.2">
      <c r="A75" s="865"/>
      <c r="B75" s="875"/>
      <c r="C75" s="875"/>
      <c r="D75" s="865"/>
      <c r="E75" s="868"/>
      <c r="F75" s="882"/>
      <c r="G75" s="867"/>
    </row>
    <row r="76" spans="1:8" ht="12" thickBot="1" x14ac:dyDescent="0.25">
      <c r="A76" s="1785"/>
      <c r="B76" s="1791"/>
      <c r="C76" s="1787"/>
      <c r="D76" s="1792" t="s">
        <v>2009</v>
      </c>
      <c r="E76" s="1789" t="s">
        <v>1015</v>
      </c>
      <c r="F76" s="1793">
        <f>SUM(F18:F74)</f>
        <v>1136832</v>
      </c>
      <c r="G76" s="865"/>
    </row>
    <row r="77" spans="1:8" s="893" customFormat="1" ht="12" customHeight="1" thickTop="1" thickBot="1" x14ac:dyDescent="0.25">
      <c r="A77" s="1794"/>
      <c r="B77" s="1791"/>
      <c r="C77" s="1787"/>
      <c r="D77" s="1792" t="s">
        <v>2010</v>
      </c>
      <c r="E77" s="1789"/>
      <c r="F77" s="1795">
        <f>(F14-F76)</f>
        <v>11371531</v>
      </c>
      <c r="G77" s="869"/>
    </row>
    <row r="78" spans="1:8" s="893" customFormat="1" ht="12" customHeight="1" thickTop="1" x14ac:dyDescent="0.2">
      <c r="A78" s="1796"/>
      <c r="B78" s="1791"/>
      <c r="C78" s="1787"/>
      <c r="D78" s="1792" t="s">
        <v>2057</v>
      </c>
      <c r="E78" s="1789"/>
      <c r="F78" s="898">
        <v>1186</v>
      </c>
      <c r="G78" s="899"/>
      <c r="H78" s="869"/>
    </row>
    <row r="79" spans="1:8" s="893" customFormat="1" ht="12" customHeight="1" thickBot="1" x14ac:dyDescent="0.25">
      <c r="A79" s="1797"/>
      <c r="B79" s="1791"/>
      <c r="C79" s="1787"/>
      <c r="D79" s="1792" t="s">
        <v>2011</v>
      </c>
      <c r="E79" s="1789" t="s">
        <v>1015</v>
      </c>
      <c r="F79" s="1798">
        <f>IF(F78&gt;0,F77/F78," Complete Line 78")</f>
        <v>9588.1374367622266</v>
      </c>
      <c r="G79" s="869"/>
    </row>
    <row r="80" spans="1:8" s="893" customFormat="1" ht="8.25" customHeight="1" thickTop="1" x14ac:dyDescent="0.2">
      <c r="A80" s="900"/>
      <c r="B80" s="869"/>
      <c r="C80" s="871"/>
      <c r="D80" s="901"/>
      <c r="E80" s="868"/>
      <c r="F80" s="902"/>
      <c r="G80" s="869"/>
    </row>
    <row r="81" spans="1:7" s="893" customFormat="1" ht="12" thickBot="1" x14ac:dyDescent="0.25">
      <c r="A81" s="2285" t="s">
        <v>1167</v>
      </c>
      <c r="B81" s="2286"/>
      <c r="C81" s="2286"/>
      <c r="D81" s="2286"/>
      <c r="E81" s="2286"/>
      <c r="F81" s="2287"/>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6">
        <f>'Revenues 9-14'!F42</f>
        <v>0</v>
      </c>
      <c r="G84" s="912"/>
    </row>
    <row r="85" spans="1:7" x14ac:dyDescent="0.2">
      <c r="A85" s="908" t="s">
        <v>481</v>
      </c>
      <c r="B85" s="908" t="s">
        <v>192</v>
      </c>
      <c r="C85" s="913">
        <f>'Revenues 9-14'!B44</f>
        <v>1413</v>
      </c>
      <c r="D85" s="911" t="str">
        <f>'Revenues 9-14'!A44</f>
        <v>Regular - Transp Fees from Other Sources (In State)</v>
      </c>
      <c r="E85" s="906"/>
      <c r="F85" s="1804">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4">
        <f>'Revenues 9-14'!F45</f>
        <v>0</v>
      </c>
      <c r="G86" s="914"/>
    </row>
    <row r="87" spans="1:7" x14ac:dyDescent="0.2">
      <c r="A87" s="908" t="s">
        <v>481</v>
      </c>
      <c r="B87" s="908" t="s">
        <v>169</v>
      </c>
      <c r="C87" s="910">
        <v>1416</v>
      </c>
      <c r="D87" s="911" t="str">
        <f>'Revenues 9-14'!A46</f>
        <v>Regular Transp Fees from Other Sources (Out of State)</v>
      </c>
      <c r="E87" s="906"/>
      <c r="F87" s="1804">
        <f>'Revenues 9-14'!F46</f>
        <v>0</v>
      </c>
      <c r="G87" s="914"/>
    </row>
    <row r="88" spans="1:7" x14ac:dyDescent="0.2">
      <c r="A88" s="908" t="s">
        <v>481</v>
      </c>
      <c r="B88" s="908" t="s">
        <v>170</v>
      </c>
      <c r="C88" s="910">
        <f>'Revenues 9-14'!B51</f>
        <v>1431</v>
      </c>
      <c r="D88" s="911" t="str">
        <f>'Revenues 9-14'!A51</f>
        <v>CTE - Transp Fees from Pupils or Parents (In State)</v>
      </c>
      <c r="E88" s="906"/>
      <c r="F88" s="1804">
        <f>'Revenues 9-14'!F51</f>
        <v>0</v>
      </c>
      <c r="G88" s="914"/>
    </row>
    <row r="89" spans="1:7" x14ac:dyDescent="0.2">
      <c r="A89" s="908" t="s">
        <v>481</v>
      </c>
      <c r="B89" s="908" t="s">
        <v>171</v>
      </c>
      <c r="C89" s="910">
        <f>'Revenues 9-14'!B53</f>
        <v>1433</v>
      </c>
      <c r="D89" s="911" t="str">
        <f>'Revenues 9-14'!A53</f>
        <v>CTE - Transp Fees from Other Sources (In State)</v>
      </c>
      <c r="E89" s="906"/>
      <c r="F89" s="1804">
        <f>'Revenues 9-14'!F53</f>
        <v>0</v>
      </c>
      <c r="G89" s="914"/>
    </row>
    <row r="90" spans="1:7" x14ac:dyDescent="0.2">
      <c r="A90" s="908" t="s">
        <v>481</v>
      </c>
      <c r="B90" s="908" t="s">
        <v>172</v>
      </c>
      <c r="C90" s="910">
        <f>'Revenues 9-14'!B54</f>
        <v>1434</v>
      </c>
      <c r="D90" s="911" t="str">
        <f>'Revenues 9-14'!A54</f>
        <v>CTE - Transp Fees from Other Sources (Out of State)</v>
      </c>
      <c r="E90" s="906"/>
      <c r="F90" s="1804">
        <f>'Revenues 9-14'!F54</f>
        <v>0</v>
      </c>
      <c r="G90" s="914"/>
    </row>
    <row r="91" spans="1:7" x14ac:dyDescent="0.2">
      <c r="A91" s="908" t="s">
        <v>481</v>
      </c>
      <c r="B91" s="908" t="s">
        <v>173</v>
      </c>
      <c r="C91" s="915">
        <f>'Revenues 9-14'!B55</f>
        <v>1441</v>
      </c>
      <c r="D91" s="911" t="str">
        <f>'Revenues 9-14'!A55</f>
        <v>Special Ed - Transp Fees from Pupils or Parents (In State)</v>
      </c>
      <c r="E91" s="906"/>
      <c r="F91" s="1804">
        <f>'Revenues 9-14'!F55</f>
        <v>0</v>
      </c>
      <c r="G91" s="914"/>
    </row>
    <row r="92" spans="1:7" x14ac:dyDescent="0.2">
      <c r="A92" s="908" t="s">
        <v>481</v>
      </c>
      <c r="B92" s="908" t="s">
        <v>174</v>
      </c>
      <c r="C92" s="910">
        <f>'Revenues 9-14'!B57</f>
        <v>1443</v>
      </c>
      <c r="D92" s="911" t="str">
        <f>'Revenues 9-14'!A57</f>
        <v>Special Ed - Transp Fees from Other Sources (In State)</v>
      </c>
      <c r="E92" s="906"/>
      <c r="F92" s="1804">
        <f>'Revenues 9-14'!F57</f>
        <v>0</v>
      </c>
      <c r="G92" s="916"/>
    </row>
    <row r="93" spans="1:7" x14ac:dyDescent="0.2">
      <c r="A93" s="908" t="s">
        <v>481</v>
      </c>
      <c r="B93" s="908" t="s">
        <v>175</v>
      </c>
      <c r="C93" s="910">
        <f>'Revenues 9-14'!B58</f>
        <v>1444</v>
      </c>
      <c r="D93" s="911" t="str">
        <f>'Revenues 9-14'!A58</f>
        <v>Special Ed - Transp Fees from Other Sources (Out of State)</v>
      </c>
      <c r="E93" s="906"/>
      <c r="F93" s="1804">
        <f>'Revenues 9-14'!F58</f>
        <v>0</v>
      </c>
      <c r="G93" s="916"/>
    </row>
    <row r="94" spans="1:7" x14ac:dyDescent="0.2">
      <c r="A94" s="908" t="s">
        <v>479</v>
      </c>
      <c r="B94" s="908" t="s">
        <v>176</v>
      </c>
      <c r="C94" s="910">
        <v>1600</v>
      </c>
      <c r="D94" s="917" t="str">
        <f>'Revenues 9-14'!A75</f>
        <v>Total Food Service</v>
      </c>
      <c r="E94" s="906"/>
      <c r="F94" s="1804">
        <f>'Revenues 9-14'!C75</f>
        <v>139515</v>
      </c>
      <c r="G94" s="912"/>
    </row>
    <row r="95" spans="1:7" x14ac:dyDescent="0.2">
      <c r="A95" s="908" t="s">
        <v>142</v>
      </c>
      <c r="B95" s="908" t="s">
        <v>177</v>
      </c>
      <c r="C95" s="910">
        <v>1700</v>
      </c>
      <c r="D95" s="918" t="str">
        <f>'Revenues 9-14'!A82</f>
        <v>Total District/School Activity Income</v>
      </c>
      <c r="E95" s="906"/>
      <c r="F95" s="1804">
        <f>SUM('Revenues 9-14'!C82,'Revenues 9-14'!D82)</f>
        <v>33182</v>
      </c>
      <c r="G95" s="912"/>
    </row>
    <row r="96" spans="1:7" x14ac:dyDescent="0.2">
      <c r="A96" s="908" t="s">
        <v>479</v>
      </c>
      <c r="B96" s="908" t="s">
        <v>178</v>
      </c>
      <c r="C96" s="910">
        <f>'Revenues 9-14'!B84</f>
        <v>1811</v>
      </c>
      <c r="D96" s="911" t="str">
        <f>'Revenues 9-14'!A84</f>
        <v>Rentals - Regular Textbooks</v>
      </c>
      <c r="E96" s="906"/>
      <c r="F96" s="1804">
        <f>'Revenues 9-14'!C84</f>
        <v>34324</v>
      </c>
      <c r="G96" s="912"/>
    </row>
    <row r="97" spans="1:7" x14ac:dyDescent="0.2">
      <c r="A97" s="908" t="s">
        <v>479</v>
      </c>
      <c r="B97" s="908" t="s">
        <v>179</v>
      </c>
      <c r="C97" s="910">
        <f>'Revenues 9-14'!B87</f>
        <v>1819</v>
      </c>
      <c r="D97" s="911" t="str">
        <f>'Revenues 9-14'!A87</f>
        <v>Rentals - Other (Describe &amp; Itemize)</v>
      </c>
      <c r="E97" s="906"/>
      <c r="F97" s="1804">
        <f>'Revenues 9-14'!C87</f>
        <v>0</v>
      </c>
      <c r="G97" s="912"/>
    </row>
    <row r="98" spans="1:7" x14ac:dyDescent="0.2">
      <c r="A98" s="908" t="s">
        <v>479</v>
      </c>
      <c r="B98" s="908" t="s">
        <v>180</v>
      </c>
      <c r="C98" s="910">
        <f>'Revenues 9-14'!B88</f>
        <v>1821</v>
      </c>
      <c r="D98" s="911" t="str">
        <f>'Revenues 9-14'!A88</f>
        <v>Sales - Regular Textbooks</v>
      </c>
      <c r="E98" s="906"/>
      <c r="F98" s="1804">
        <f>'Revenues 9-14'!C88</f>
        <v>0</v>
      </c>
      <c r="G98" s="912"/>
    </row>
    <row r="99" spans="1:7" x14ac:dyDescent="0.2">
      <c r="A99" s="908" t="s">
        <v>479</v>
      </c>
      <c r="B99" s="908" t="s">
        <v>181</v>
      </c>
      <c r="C99" s="910">
        <f>'Revenues 9-14'!B91</f>
        <v>1829</v>
      </c>
      <c r="D99" s="911" t="str">
        <f>'Revenues 9-14'!A91</f>
        <v>Sales - Other (Describe &amp; Itemize)</v>
      </c>
      <c r="E99" s="906"/>
      <c r="F99" s="1804">
        <f>'Revenues 9-14'!C91</f>
        <v>0</v>
      </c>
      <c r="G99" s="912"/>
    </row>
    <row r="100" spans="1:7" x14ac:dyDescent="0.2">
      <c r="A100" s="908" t="s">
        <v>479</v>
      </c>
      <c r="B100" s="908" t="s">
        <v>182</v>
      </c>
      <c r="C100" s="910">
        <f>'Revenues 9-14'!B92</f>
        <v>1890</v>
      </c>
      <c r="D100" s="911" t="str">
        <f>'Revenues 9-14'!A92</f>
        <v>Other (Describe &amp; Itemize)</v>
      </c>
      <c r="E100" s="906"/>
      <c r="F100" s="1804">
        <f>'Revenues 9-14'!C92</f>
        <v>0</v>
      </c>
      <c r="G100" s="912"/>
    </row>
    <row r="101" spans="1:7" x14ac:dyDescent="0.2">
      <c r="A101" s="908" t="s">
        <v>142</v>
      </c>
      <c r="B101" s="908" t="s">
        <v>183</v>
      </c>
      <c r="C101" s="910">
        <f>'Revenues 9-14'!B95</f>
        <v>1910</v>
      </c>
      <c r="D101" s="911" t="str">
        <f>'Revenues 9-14'!A95</f>
        <v>Rentals</v>
      </c>
      <c r="E101" s="906"/>
      <c r="F101" s="1804">
        <f>SUM('Revenues 9-14'!C95:D95)</f>
        <v>0</v>
      </c>
      <c r="G101" s="912"/>
    </row>
    <row r="102" spans="1:7" x14ac:dyDescent="0.2">
      <c r="A102" s="908" t="s">
        <v>524</v>
      </c>
      <c r="B102" s="908" t="s">
        <v>184</v>
      </c>
      <c r="C102" s="910">
        <f>'Revenues 9-14'!B98</f>
        <v>1940</v>
      </c>
      <c r="D102" s="911" t="str">
        <f>'Revenues 9-14'!A98</f>
        <v>Services Provided Other Districts</v>
      </c>
      <c r="E102" s="906"/>
      <c r="F102" s="1804">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4">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4">
        <f>('Revenues 9-14'!C106)</f>
        <v>0</v>
      </c>
      <c r="G104" s="912"/>
    </row>
    <row r="105" spans="1:7" x14ac:dyDescent="0.2">
      <c r="A105" s="908" t="s">
        <v>524</v>
      </c>
      <c r="B105" s="908" t="s">
        <v>842</v>
      </c>
      <c r="C105" s="913">
        <v>3100</v>
      </c>
      <c r="D105" s="919" t="str">
        <f>'Revenues 9-14'!A131</f>
        <v>Total Special Education</v>
      </c>
      <c r="E105" s="906"/>
      <c r="F105" s="1804">
        <f>SUM('Revenues 9-14'!C131:D131,'Revenues 9-14'!F131)</f>
        <v>203104</v>
      </c>
      <c r="G105" s="912"/>
    </row>
    <row r="106" spans="1:7" x14ac:dyDescent="0.2">
      <c r="A106" s="908" t="s">
        <v>694</v>
      </c>
      <c r="B106" s="908" t="s">
        <v>1483</v>
      </c>
      <c r="C106" s="920">
        <v>3200</v>
      </c>
      <c r="D106" s="911" t="str">
        <f>'Revenues 9-14'!A140</f>
        <v>Total Career and Technical Education</v>
      </c>
      <c r="E106" s="906"/>
      <c r="F106" s="1804">
        <f>SUM('Revenues 9-14'!C140,'Revenues 9-14'!D140,'Revenues 9-14'!G140)</f>
        <v>12968</v>
      </c>
      <c r="G106" s="912"/>
    </row>
    <row r="107" spans="1:7" x14ac:dyDescent="0.2">
      <c r="A107" s="921" t="s">
        <v>685</v>
      </c>
      <c r="B107" s="908" t="s">
        <v>843</v>
      </c>
      <c r="C107" s="920">
        <v>3300</v>
      </c>
      <c r="D107" s="911" t="str">
        <f>'Revenues 9-14'!A144</f>
        <v>Total Bilingual Ed</v>
      </c>
      <c r="E107" s="906"/>
      <c r="F107" s="1804">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4">
        <f>'Revenues 9-14'!C145</f>
        <v>3796</v>
      </c>
      <c r="G108" s="912"/>
    </row>
    <row r="109" spans="1:7" x14ac:dyDescent="0.2">
      <c r="A109" s="908" t="s">
        <v>694</v>
      </c>
      <c r="B109" s="908" t="s">
        <v>845</v>
      </c>
      <c r="C109" s="920">
        <f>'Revenues 9-14'!B146</f>
        <v>3365</v>
      </c>
      <c r="D109" s="911" t="str">
        <f>'Revenues 9-14'!A146</f>
        <v>School Breakfast Initiative</v>
      </c>
      <c r="E109" s="906"/>
      <c r="F109" s="1804">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4">
        <f>SUM('Revenues 9-14'!C147,'Revenues 9-14'!D147)</f>
        <v>18292</v>
      </c>
      <c r="G110" s="912"/>
    </row>
    <row r="111" spans="1:7" x14ac:dyDescent="0.2">
      <c r="A111" s="908" t="s">
        <v>689</v>
      </c>
      <c r="B111" s="908" t="s">
        <v>802</v>
      </c>
      <c r="C111" s="922">
        <v>3500</v>
      </c>
      <c r="D111" s="911" t="str">
        <f>'Revenues 9-14'!A154</f>
        <v>Total Transportation</v>
      </c>
      <c r="E111" s="906"/>
      <c r="F111" s="1804">
        <f>SUM('Revenues 9-14'!C154,'Revenues 9-14'!D154,'Revenues 9-14'!F154,'Revenues 9-14'!G154)</f>
        <v>610379</v>
      </c>
      <c r="G111" s="912"/>
    </row>
    <row r="112" spans="1:7" x14ac:dyDescent="0.2">
      <c r="A112" s="908" t="s">
        <v>479</v>
      </c>
      <c r="B112" s="908" t="s">
        <v>847</v>
      </c>
      <c r="C112" s="920">
        <f>'Revenues 9-14'!B155</f>
        <v>3610</v>
      </c>
      <c r="D112" s="911" t="str">
        <f>'Revenues 9-14'!A155</f>
        <v>Learning Improvement - Change Grants</v>
      </c>
      <c r="E112" s="906"/>
      <c r="F112" s="1804">
        <f>'Revenues 9-14'!C155</f>
        <v>0</v>
      </c>
      <c r="G112" s="912"/>
    </row>
    <row r="113" spans="1:7" x14ac:dyDescent="0.2">
      <c r="A113" s="908" t="s">
        <v>689</v>
      </c>
      <c r="B113" s="908" t="s">
        <v>848</v>
      </c>
      <c r="C113" s="920">
        <f>'Revenues 9-14'!B156</f>
        <v>3660</v>
      </c>
      <c r="D113" s="911" t="str">
        <f>'Revenues 9-14'!A156</f>
        <v>Scientific Literacy</v>
      </c>
      <c r="E113" s="906"/>
      <c r="F113" s="1804">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4">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4">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4">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4">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5">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4">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4">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6">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6">
        <f>SUM('Revenues 9-14'!C166:G166)</f>
        <v>0</v>
      </c>
      <c r="G122" s="912"/>
    </row>
    <row r="123" spans="1:7" x14ac:dyDescent="0.2">
      <c r="A123" s="923" t="s">
        <v>525</v>
      </c>
      <c r="B123" s="923" t="s">
        <v>853</v>
      </c>
      <c r="C123" s="924">
        <f>'Revenues 9-14'!B167</f>
        <v>3815</v>
      </c>
      <c r="D123" s="925" t="str">
        <f>'Revenues 9-14'!A167</f>
        <v>State Charter Schools</v>
      </c>
      <c r="E123" s="906"/>
      <c r="F123" s="1926">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4">
        <f>'Revenues 9-14'!D170</f>
        <v>0</v>
      </c>
      <c r="G124" s="930"/>
    </row>
    <row r="125" spans="1:7" x14ac:dyDescent="0.2">
      <c r="A125" s="927" t="s">
        <v>521</v>
      </c>
      <c r="B125" s="927" t="s">
        <v>855</v>
      </c>
      <c r="C125" s="928">
        <f>'Revenues 9-14'!B171</f>
        <v>3999</v>
      </c>
      <c r="D125" s="929" t="s">
        <v>564</v>
      </c>
      <c r="E125" s="931"/>
      <c r="F125" s="1804">
        <f>SUM('Revenues 9-14'!C171:G171,'Revenues 9-14'!J171)</f>
        <v>1578</v>
      </c>
      <c r="G125" s="930"/>
    </row>
    <row r="126" spans="1:7" x14ac:dyDescent="0.2">
      <c r="A126" s="927" t="s">
        <v>479</v>
      </c>
      <c r="B126" s="927" t="s">
        <v>856</v>
      </c>
      <c r="C126" s="932">
        <f>'Revenues 9-14'!B180</f>
        <v>4045</v>
      </c>
      <c r="D126" s="929" t="str">
        <f>'Revenues 9-14'!A180 &amp; " (Subtract)"</f>
        <v>Head Start (Subtract)</v>
      </c>
      <c r="E126" s="906"/>
      <c r="F126" s="1804">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4">
        <f>SUM('Revenues 9-14'!C184,'Revenues 9-14'!D184,'Revenues 9-14'!F184,'Revenues 9-14'!G184)</f>
        <v>0</v>
      </c>
      <c r="G127" s="930"/>
    </row>
    <row r="128" spans="1:7" x14ac:dyDescent="0.2">
      <c r="A128" s="927" t="s">
        <v>689</v>
      </c>
      <c r="B128" s="927" t="s">
        <v>858</v>
      </c>
      <c r="C128" s="932">
        <v>4100</v>
      </c>
      <c r="D128" s="933" t="str">
        <f>'Revenues 9-14'!A191</f>
        <v>Total Title V</v>
      </c>
      <c r="E128" s="906"/>
      <c r="F128" s="1804">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4">
        <f>SUM('Revenues 9-14'!C201,'Revenues 9-14'!G201)</f>
        <v>289425</v>
      </c>
      <c r="G129" s="930"/>
    </row>
    <row r="130" spans="1:7" x14ac:dyDescent="0.2">
      <c r="A130" s="927" t="s">
        <v>689</v>
      </c>
      <c r="B130" s="927" t="s">
        <v>804</v>
      </c>
      <c r="C130" s="932">
        <v>4300</v>
      </c>
      <c r="D130" s="933" t="str">
        <f>'Revenues 9-14'!A211</f>
        <v>Total Title I</v>
      </c>
      <c r="E130" s="906"/>
      <c r="F130" s="1804">
        <f>SUM('Revenues 9-14'!C211,'Revenues 9-14'!D211,'Revenues 9-14'!F211,'Revenues 9-14'!G211)</f>
        <v>406906</v>
      </c>
      <c r="G130" s="930"/>
    </row>
    <row r="131" spans="1:7" x14ac:dyDescent="0.2">
      <c r="A131" s="927" t="s">
        <v>689</v>
      </c>
      <c r="B131" s="927" t="s">
        <v>805</v>
      </c>
      <c r="C131" s="932">
        <v>4400</v>
      </c>
      <c r="D131" s="933" t="str">
        <f>'Revenues 9-14'!A216</f>
        <v>Total Title IV</v>
      </c>
      <c r="E131" s="906"/>
      <c r="F131" s="1804">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4">
        <f>SUM('Revenues 9-14'!C220:D220,'Revenues 9-14'!F220:G220)</f>
        <v>7329</v>
      </c>
      <c r="G132" s="930"/>
    </row>
    <row r="133" spans="1:7" x14ac:dyDescent="0.2">
      <c r="A133" s="927" t="s">
        <v>689</v>
      </c>
      <c r="B133" s="927" t="s">
        <v>191</v>
      </c>
      <c r="C133" s="932">
        <f>'Revenues 9-14'!B221</f>
        <v>4625</v>
      </c>
      <c r="D133" s="933" t="str">
        <f>'Revenues 9-14'!A221</f>
        <v>Fed - Spec Education - IDEA - Room &amp; Board</v>
      </c>
      <c r="E133" s="906"/>
      <c r="F133" s="1804">
        <f>SUM('Revenues 9-14'!C221,'Revenues 9-14'!D221,'Revenues 9-14'!F221,'Revenues 9-14'!G221)</f>
        <v>4171</v>
      </c>
      <c r="G133" s="930"/>
    </row>
    <row r="134" spans="1:7" x14ac:dyDescent="0.2">
      <c r="A134" s="927" t="s">
        <v>689</v>
      </c>
      <c r="B134" s="927" t="s">
        <v>859</v>
      </c>
      <c r="C134" s="932">
        <f>'Revenues 9-14'!B222</f>
        <v>4630</v>
      </c>
      <c r="D134" s="933" t="str">
        <f>'Revenues 9-14'!A222</f>
        <v>Fed - Spec Education - IDEA - Discretionary</v>
      </c>
      <c r="E134" s="906"/>
      <c r="F134" s="1804">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4">
        <f>SUM('Revenues 9-14'!C223:D223,'Revenues 9-14'!F223:G223)</f>
        <v>0</v>
      </c>
      <c r="G135" s="930"/>
    </row>
    <row r="136" spans="1:7" x14ac:dyDescent="0.2">
      <c r="A136" s="927" t="s">
        <v>694</v>
      </c>
      <c r="B136" s="927" t="s">
        <v>807</v>
      </c>
      <c r="C136" s="932">
        <v>4700</v>
      </c>
      <c r="D136" s="929" t="str">
        <f>'Revenues 9-14'!A228</f>
        <v>Total CTE - Perkins</v>
      </c>
      <c r="E136" s="906"/>
      <c r="F136" s="1804">
        <f>SUM('Revenues 9-14'!C228,'Revenues 9-14'!D228,'Revenues 9-14'!G228)</f>
        <v>3139</v>
      </c>
      <c r="G136" s="930">
        <v>6303</v>
      </c>
    </row>
    <row r="137" spans="1:7" s="867" customFormat="1" hidden="1" x14ac:dyDescent="0.2">
      <c r="A137" s="934" t="s">
        <v>215</v>
      </c>
      <c r="B137" s="934" t="s">
        <v>1484</v>
      </c>
      <c r="C137" s="935" t="s">
        <v>216</v>
      </c>
      <c r="D137" s="936" t="str">
        <f>'Revenues 9-14'!A231</f>
        <v>ARRA - Title I - Low Income</v>
      </c>
      <c r="E137" s="937"/>
      <c r="F137" s="1926">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4">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4">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4">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4">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4">
        <v>0</v>
      </c>
      <c r="G142" s="905"/>
    </row>
    <row r="143" spans="1:7" s="867" customFormat="1" hidden="1" x14ac:dyDescent="0.2">
      <c r="A143" s="934" t="s">
        <v>215</v>
      </c>
      <c r="B143" s="934" t="s">
        <v>228</v>
      </c>
      <c r="C143" s="935" t="s">
        <v>225</v>
      </c>
      <c r="D143" s="936" t="str">
        <f>'Revenues 9-14'!A237</f>
        <v>ARRA - IDEA - Part B - Flow-Through</v>
      </c>
      <c r="E143" s="937"/>
      <c r="F143" s="1804">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4">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4">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4">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4">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4">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4">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4">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4">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4">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4">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4">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4">
        <v>0</v>
      </c>
      <c r="G155" s="905"/>
    </row>
    <row r="156" spans="1:7" s="867" customFormat="1" hidden="1" x14ac:dyDescent="0.2">
      <c r="A156" s="934" t="s">
        <v>215</v>
      </c>
      <c r="B156" s="934" t="s">
        <v>250</v>
      </c>
      <c r="C156" s="935" t="s">
        <v>247</v>
      </c>
      <c r="D156" s="936" t="str">
        <f>'Revenues 9-14'!A254</f>
        <v>Other ARRA Funds VII</v>
      </c>
      <c r="E156" s="937"/>
      <c r="F156" s="1804">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4">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4">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4">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4">
        <f>SUM('Revenues 9-14'!C258:G258,'Revenues 9-14'!J258)</f>
        <v>0</v>
      </c>
      <c r="G160" s="905"/>
    </row>
    <row r="161" spans="1:7" s="867" customFormat="1" x14ac:dyDescent="0.2">
      <c r="A161" s="938" t="s">
        <v>521</v>
      </c>
      <c r="B161" s="939" t="s">
        <v>1564</v>
      </c>
      <c r="C161" s="940" t="s">
        <v>896</v>
      </c>
      <c r="D161" s="941" t="s">
        <v>808</v>
      </c>
      <c r="E161" s="942"/>
      <c r="F161" s="1804">
        <f>SUM(F137:F160)</f>
        <v>0</v>
      </c>
      <c r="G161" s="905"/>
    </row>
    <row r="162" spans="1:7" s="867" customFormat="1" x14ac:dyDescent="0.2">
      <c r="A162" s="938" t="s">
        <v>479</v>
      </c>
      <c r="B162" s="939" t="s">
        <v>1501</v>
      </c>
      <c r="C162" s="940" t="s">
        <v>1499</v>
      </c>
      <c r="D162" s="941" t="s">
        <v>1500</v>
      </c>
      <c r="E162" s="942"/>
      <c r="F162" s="1804">
        <f>SUM('Revenues 9-14'!C260)</f>
        <v>0</v>
      </c>
      <c r="G162" s="905"/>
    </row>
    <row r="163" spans="1:7" s="867" customFormat="1" x14ac:dyDescent="0.2">
      <c r="A163" s="938" t="s">
        <v>521</v>
      </c>
      <c r="B163" s="939" t="s">
        <v>1541</v>
      </c>
      <c r="C163" s="940" t="s">
        <v>1542</v>
      </c>
      <c r="D163" s="941" t="s">
        <v>1543</v>
      </c>
      <c r="E163" s="942"/>
      <c r="F163" s="1804">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4">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4">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4">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4">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4">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6">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6">
        <f>SUM('Revenues 9-14'!C268,'Revenues 9-14'!D268,'Revenues 9-14'!F268,'Revenues 9-14'!G268)</f>
        <v>48011</v>
      </c>
      <c r="G170" s="930"/>
    </row>
    <row r="171" spans="1:7" x14ac:dyDescent="0.2">
      <c r="A171" s="927" t="s">
        <v>689</v>
      </c>
      <c r="B171" s="927" t="s">
        <v>864</v>
      </c>
      <c r="C171" s="932">
        <f>'Revenues 9-14'!B269</f>
        <v>4960</v>
      </c>
      <c r="D171" s="929" t="str">
        <f>'Revenues 9-14'!A269</f>
        <v>Federal Charter Schools</v>
      </c>
      <c r="E171" s="906"/>
      <c r="F171" s="1804">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4">
        <f>SUM('Revenues 9-14'!C270:D270,'Revenues 9-14'!F270:G270)</f>
        <v>5641</v>
      </c>
      <c r="G172" s="947">
        <v>6320</v>
      </c>
    </row>
    <row r="173" spans="1:7" x14ac:dyDescent="0.2">
      <c r="A173" s="927" t="s">
        <v>689</v>
      </c>
      <c r="B173" s="927" t="s">
        <v>1503</v>
      </c>
      <c r="C173" s="932">
        <f>'Revenues 9-14'!B271</f>
        <v>4992</v>
      </c>
      <c r="D173" s="933" t="str">
        <f>'Revenues 9-14'!A271</f>
        <v>Medicaid Matching Funds - Fee-for-Service Program</v>
      </c>
      <c r="E173" s="906"/>
      <c r="F173" s="1804">
        <f>SUM('Revenues 9-14'!C271:D271,'Revenues 9-14'!F271:G271)</f>
        <v>47210</v>
      </c>
      <c r="G173" s="947"/>
    </row>
    <row r="174" spans="1:7" x14ac:dyDescent="0.2">
      <c r="A174" s="948" t="s">
        <v>689</v>
      </c>
      <c r="B174" s="944" t="s">
        <v>1558</v>
      </c>
      <c r="C174" s="945">
        <f>'Revenues 9-14'!B272</f>
        <v>4999</v>
      </c>
      <c r="D174" s="946" t="str">
        <f>'Revenues 9-14'!A272</f>
        <v>Other Restricted Revenue from Federal Sources (Describe &amp; Itemize)</v>
      </c>
      <c r="E174" s="906"/>
      <c r="F174" s="1804">
        <f>SUM('Revenues 9-14'!C272:D272,'Revenues 9-14'!F272:G272)</f>
        <v>0</v>
      </c>
      <c r="G174" s="927"/>
    </row>
    <row r="175" spans="1:7" x14ac:dyDescent="0.2">
      <c r="A175" s="1937" t="s">
        <v>5</v>
      </c>
      <c r="B175" s="1938" t="s">
        <v>2056</v>
      </c>
      <c r="C175" s="1939">
        <v>3100</v>
      </c>
      <c r="D175" s="1940" t="s">
        <v>2059</v>
      </c>
      <c r="E175" s="906"/>
      <c r="F175" s="1924">
        <v>367445</v>
      </c>
      <c r="G175" s="927"/>
    </row>
    <row r="176" spans="1:7" x14ac:dyDescent="0.2">
      <c r="A176" s="1937" t="s">
        <v>685</v>
      </c>
      <c r="B176" s="1938" t="s">
        <v>2056</v>
      </c>
      <c r="C176" s="1939">
        <v>3300</v>
      </c>
      <c r="D176" s="1940" t="s">
        <v>2060</v>
      </c>
      <c r="E176" s="906"/>
      <c r="F176" s="1924">
        <v>158</v>
      </c>
      <c r="G176" s="927"/>
    </row>
    <row r="177" spans="1:7" ht="6" customHeight="1" x14ac:dyDescent="0.2">
      <c r="A177" s="927"/>
      <c r="B177" s="927"/>
      <c r="C177" s="949"/>
      <c r="D177" s="927"/>
      <c r="E177" s="906"/>
      <c r="F177" s="950"/>
      <c r="G177" s="947"/>
    </row>
    <row r="178" spans="1:7" x14ac:dyDescent="0.2">
      <c r="A178" s="1785"/>
      <c r="B178" s="1799"/>
      <c r="C178" s="1800"/>
      <c r="D178" s="1801" t="s">
        <v>2012</v>
      </c>
      <c r="E178" s="1802" t="s">
        <v>1015</v>
      </c>
      <c r="F178" s="1803">
        <f>SUM(F84:F136,F161:F176)</f>
        <v>2236573</v>
      </c>
    </row>
    <row r="179" spans="1:7" ht="12" customHeight="1" x14ac:dyDescent="0.2">
      <c r="A179" s="1785"/>
      <c r="B179" s="1799"/>
      <c r="C179" s="1800"/>
      <c r="D179" s="1801" t="s">
        <v>2013</v>
      </c>
      <c r="E179" s="1802"/>
      <c r="F179" s="1804">
        <f>'PCTC-OEPP 27-28'!F77-F178</f>
        <v>9134958</v>
      </c>
    </row>
    <row r="180" spans="1:7" ht="12" customHeight="1" x14ac:dyDescent="0.2">
      <c r="A180" s="1785"/>
      <c r="B180" s="1799"/>
      <c r="C180" s="1800"/>
      <c r="D180" s="1801" t="s">
        <v>1922</v>
      </c>
      <c r="E180" s="1802"/>
      <c r="F180" s="1804">
        <f>'Cap Outlay Deprec 26'!I18</f>
        <v>472151</v>
      </c>
    </row>
    <row r="181" spans="1:7" ht="12" customHeight="1" x14ac:dyDescent="0.2">
      <c r="A181" s="1785"/>
      <c r="B181" s="1799"/>
      <c r="C181" s="1800"/>
      <c r="D181" s="1801" t="s">
        <v>2014</v>
      </c>
      <c r="E181" s="1802"/>
      <c r="F181" s="1804">
        <f>F179+F180</f>
        <v>9607109</v>
      </c>
    </row>
    <row r="182" spans="1:7" ht="12" customHeight="1" x14ac:dyDescent="0.2">
      <c r="A182" s="1785"/>
      <c r="B182" s="1805"/>
      <c r="C182" s="1800"/>
      <c r="D182" s="1801" t="str">
        <f>D78</f>
        <v>9 Month ADA from District Average Daily Attendance/Prior General State Aid Inquiry 2017-2018</v>
      </c>
      <c r="E182" s="1802"/>
      <c r="F182" s="1806">
        <f>'PCTC-OEPP 27-28'!F78</f>
        <v>1186</v>
      </c>
      <c r="G182" s="930"/>
    </row>
    <row r="183" spans="1:7" ht="12" customHeight="1" thickBot="1" x14ac:dyDescent="0.25">
      <c r="A183" s="1785"/>
      <c r="B183" s="1805"/>
      <c r="C183" s="1800"/>
      <c r="D183" s="1801" t="s">
        <v>2015</v>
      </c>
      <c r="E183" s="1802" t="s">
        <v>1626</v>
      </c>
      <c r="F183" s="1807">
        <f>F181/F182</f>
        <v>8100.4291736930863</v>
      </c>
      <c r="G183" s="856">
        <v>6323</v>
      </c>
    </row>
    <row r="184" spans="1:7" ht="12" thickTop="1" x14ac:dyDescent="0.2">
      <c r="B184" s="930"/>
      <c r="C184" s="949"/>
      <c r="D184" s="930"/>
      <c r="E184" s="949"/>
      <c r="F184" s="930"/>
      <c r="G184" s="951">
        <v>6326</v>
      </c>
    </row>
    <row r="185" spans="1:7" ht="12.2" customHeight="1" x14ac:dyDescent="0.2">
      <c r="A185" s="930" t="s">
        <v>2058</v>
      </c>
      <c r="B185" s="930"/>
      <c r="C185" s="949"/>
      <c r="D185" s="930"/>
      <c r="E185" s="949"/>
      <c r="F185" s="930"/>
      <c r="G185" s="930"/>
    </row>
    <row r="186" spans="1:7" s="1941" customFormat="1" ht="12.2" customHeight="1" x14ac:dyDescent="0.2">
      <c r="A186" s="1941" t="s">
        <v>2063</v>
      </c>
      <c r="B186" s="1942"/>
      <c r="C186" s="1943"/>
      <c r="D186" s="1942"/>
      <c r="E186" s="1943"/>
      <c r="F186" s="1942"/>
      <c r="G186" s="1942"/>
    </row>
    <row r="187" spans="1:7" s="1941" customFormat="1" ht="12.2" customHeight="1" x14ac:dyDescent="0.2">
      <c r="A187" s="1944" t="s">
        <v>2064</v>
      </c>
      <c r="C187" s="1943"/>
      <c r="D187" s="1942"/>
      <c r="E187" s="1943"/>
      <c r="F187" s="1942"/>
      <c r="G187" s="1942"/>
    </row>
    <row r="188" spans="1:7" ht="12" customHeight="1" x14ac:dyDescent="0.2">
      <c r="C188" s="949"/>
      <c r="D188" s="930"/>
      <c r="E188" s="949"/>
      <c r="F188" s="930"/>
      <c r="G188" s="930"/>
    </row>
    <row r="189" spans="1:7" x14ac:dyDescent="0.2">
      <c r="A189" s="1945" t="s">
        <v>2062</v>
      </c>
      <c r="B189" s="1946" t="s">
        <v>2061</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selection activeCell="B20" sqref="B20"/>
    </sheetView>
  </sheetViews>
  <sheetFormatPr defaultColWidth="9.140625" defaultRowHeight="15" x14ac:dyDescent="0.25"/>
  <cols>
    <col min="1" max="1" width="52" style="1558" customWidth="1"/>
    <col min="2" max="2" width="16.42578125" style="1559" bestFit="1" customWidth="1"/>
    <col min="3" max="3" width="33.7109375" style="1559" customWidth="1"/>
    <col min="4" max="4" width="16.28515625" style="1560" customWidth="1"/>
    <col min="5" max="5" width="0.140625" style="1560" hidden="1" customWidth="1"/>
    <col min="6" max="6" width="23.5703125" style="1560" customWidth="1"/>
    <col min="7" max="7" width="23.28515625" style="1559" customWidth="1"/>
    <col min="8" max="16384" width="9.140625" style="1549"/>
  </cols>
  <sheetData>
    <row r="1" spans="1:7" ht="15" customHeight="1" x14ac:dyDescent="0.25">
      <c r="A1" s="1674" t="s">
        <v>1938</v>
      </c>
      <c r="B1" s="1675"/>
      <c r="C1" s="1675"/>
      <c r="D1" s="1675"/>
      <c r="E1" s="1675"/>
      <c r="F1" s="1675"/>
      <c r="G1" s="1675"/>
    </row>
    <row r="2" spans="1:7" x14ac:dyDescent="0.25">
      <c r="A2" s="1673"/>
      <c r="B2" s="1673"/>
      <c r="C2" s="1961" t="s">
        <v>1036</v>
      </c>
      <c r="D2" s="1673"/>
      <c r="E2" s="1673"/>
      <c r="F2" s="1673"/>
      <c r="G2" s="1673"/>
    </row>
    <row r="3" spans="1:7" ht="5.25" customHeight="1" x14ac:dyDescent="0.25">
      <c r="A3" s="1561"/>
      <c r="B3" s="1561"/>
      <c r="C3" s="1561"/>
      <c r="D3" s="1561"/>
      <c r="E3" s="1561"/>
      <c r="F3" s="1561"/>
      <c r="G3" s="1561"/>
    </row>
    <row r="4" spans="1:7" ht="18.75" customHeight="1" x14ac:dyDescent="0.25">
      <c r="A4" s="2299" t="s">
        <v>1923</v>
      </c>
      <c r="B4" s="2300"/>
      <c r="C4" s="2300"/>
      <c r="D4" s="2300"/>
      <c r="E4" s="2300"/>
      <c r="F4" s="2300"/>
      <c r="G4" s="2301"/>
    </row>
    <row r="5" spans="1:7" x14ac:dyDescent="0.25">
      <c r="A5" s="2302"/>
      <c r="B5" s="2303"/>
      <c r="C5" s="2303"/>
      <c r="D5" s="2303"/>
      <c r="E5" s="2303"/>
      <c r="F5" s="2303"/>
      <c r="G5" s="2304"/>
    </row>
    <row r="6" spans="1:7" ht="18.75" x14ac:dyDescent="0.25">
      <c r="A6" s="1550" t="s">
        <v>1924</v>
      </c>
      <c r="B6" s="1551"/>
      <c r="C6" s="1551"/>
      <c r="D6" s="1551"/>
      <c r="E6" s="1551"/>
      <c r="F6" s="1551"/>
      <c r="G6" s="1552"/>
    </row>
    <row r="7" spans="1:7" ht="30.75" customHeight="1" x14ac:dyDescent="0.25">
      <c r="A7" s="2305" t="s">
        <v>2073</v>
      </c>
      <c r="B7" s="2306"/>
      <c r="C7" s="2306"/>
      <c r="D7" s="2306"/>
      <c r="E7" s="2306"/>
      <c r="F7" s="2306"/>
      <c r="G7" s="2307"/>
    </row>
    <row r="8" spans="1:7" ht="15.75" customHeight="1" x14ac:dyDescent="0.25">
      <c r="A8" s="2308" t="s">
        <v>2022</v>
      </c>
      <c r="B8" s="2309"/>
      <c r="C8" s="2309"/>
      <c r="D8" s="2309"/>
      <c r="E8" s="2309"/>
      <c r="F8" s="2309"/>
      <c r="G8" s="2310"/>
    </row>
    <row r="9" spans="1:7" ht="35.25" customHeight="1" x14ac:dyDescent="0.25">
      <c r="A9" s="2305" t="s">
        <v>2021</v>
      </c>
      <c r="B9" s="2306"/>
      <c r="C9" s="2306"/>
      <c r="D9" s="2306"/>
      <c r="E9" s="2306"/>
      <c r="F9" s="2306"/>
      <c r="G9" s="2307"/>
    </row>
    <row r="10" spans="1:7" ht="15" customHeight="1" x14ac:dyDescent="0.25">
      <c r="A10" s="1553" t="s">
        <v>1925</v>
      </c>
      <c r="B10" s="1554"/>
      <c r="C10" s="1554"/>
      <c r="D10" s="1554"/>
      <c r="E10" s="1554"/>
      <c r="F10" s="1554"/>
      <c r="G10" s="1555"/>
    </row>
    <row r="11" spans="1:7" ht="17.25" customHeight="1" x14ac:dyDescent="0.25">
      <c r="A11" s="2305" t="s">
        <v>1939</v>
      </c>
      <c r="B11" s="2306"/>
      <c r="C11" s="2306"/>
      <c r="D11" s="2306"/>
      <c r="E11" s="2306"/>
      <c r="F11" s="2306"/>
      <c r="G11" s="2307"/>
    </row>
    <row r="12" spans="1:7" ht="15" customHeight="1" x14ac:dyDescent="0.25">
      <c r="A12" s="1553" t="s">
        <v>1930</v>
      </c>
      <c r="B12" s="1554"/>
      <c r="C12" s="1554"/>
      <c r="D12" s="1554"/>
      <c r="E12" s="1554"/>
      <c r="F12" s="1554"/>
      <c r="G12" s="1555"/>
    </row>
    <row r="13" spans="1:7" ht="32.25" customHeight="1" x14ac:dyDescent="0.25">
      <c r="A13" s="2296" t="s">
        <v>1931</v>
      </c>
      <c r="B13" s="2297"/>
      <c r="C13" s="2297"/>
      <c r="D13" s="2297"/>
      <c r="E13" s="2297"/>
      <c r="F13" s="2297"/>
      <c r="G13" s="2298"/>
    </row>
    <row r="14" spans="1:7" x14ac:dyDescent="0.25">
      <c r="A14" s="1676" t="s">
        <v>1940</v>
      </c>
      <c r="B14" s="1677"/>
      <c r="C14" s="1677"/>
      <c r="D14" s="1677"/>
      <c r="E14" s="1677"/>
      <c r="F14" s="1677"/>
      <c r="G14" s="1678"/>
    </row>
    <row r="15" spans="1:7" ht="61.5" customHeight="1" x14ac:dyDescent="0.25">
      <c r="A15" s="1562" t="s">
        <v>1932</v>
      </c>
      <c r="B15" s="1562" t="s">
        <v>1933</v>
      </c>
      <c r="C15" s="1562" t="s">
        <v>1934</v>
      </c>
      <c r="D15" s="1563" t="s">
        <v>1935</v>
      </c>
      <c r="E15" s="1563" t="s">
        <v>1926</v>
      </c>
      <c r="F15" s="1563" t="s">
        <v>1936</v>
      </c>
      <c r="G15" s="1563" t="s">
        <v>1937</v>
      </c>
    </row>
    <row r="16" spans="1:7" x14ac:dyDescent="0.25">
      <c r="A16" s="1664" t="s">
        <v>1941</v>
      </c>
      <c r="B16" s="1665" t="s">
        <v>1929</v>
      </c>
      <c r="C16" s="1666" t="s">
        <v>1927</v>
      </c>
      <c r="D16" s="1667">
        <v>500000</v>
      </c>
      <c r="E16" s="1667">
        <f>IF(D16&lt;=25000,D16,IF(D16&gt;25000,25000,0))</f>
        <v>25000</v>
      </c>
      <c r="F16" s="1667">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8">
        <f>IF(F16=0,"0",D16-F16)</f>
        <v>475000</v>
      </c>
    </row>
    <row r="17" spans="1:8" x14ac:dyDescent="0.25">
      <c r="A17" s="1949" t="s">
        <v>2098</v>
      </c>
      <c r="B17" s="1950" t="s">
        <v>2102</v>
      </c>
      <c r="C17" s="1951" t="s">
        <v>2104</v>
      </c>
      <c r="D17" s="1860">
        <v>881585</v>
      </c>
      <c r="E17" s="1556">
        <f t="shared" ref="E17:E141" si="1">IF(D17&lt;=25000,D17,IF(D17&gt;25000,25000,0))</f>
        <v>25000</v>
      </c>
      <c r="F17" s="1808">
        <f t="shared" si="0"/>
        <v>25000</v>
      </c>
      <c r="G17" s="1809">
        <f>IF(F17=0,0,D17-F17)</f>
        <v>856585</v>
      </c>
      <c r="H17" s="1663"/>
    </row>
    <row r="18" spans="1:8" x14ac:dyDescent="0.25">
      <c r="A18" s="1949" t="s">
        <v>2099</v>
      </c>
      <c r="B18" s="1950" t="s">
        <v>2217</v>
      </c>
      <c r="C18" s="1951" t="s">
        <v>2105</v>
      </c>
      <c r="D18" s="1860">
        <v>38242</v>
      </c>
      <c r="E18" s="1556">
        <f t="shared" ref="E18:E140" si="2">IF(D18&lt;=25000,D18,IF(D18&gt;25000,25000,0))</f>
        <v>25000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9">
        <f t="shared" ref="G18:G140" si="4">IF(F18=0,0,D18-F18)</f>
        <v>13242</v>
      </c>
    </row>
    <row r="19" spans="1:8" x14ac:dyDescent="0.25">
      <c r="A19" s="1949" t="s">
        <v>2100</v>
      </c>
      <c r="B19" s="1950" t="s">
        <v>2218</v>
      </c>
      <c r="C19" s="1951" t="s">
        <v>2106</v>
      </c>
      <c r="D19" s="1860">
        <v>28981</v>
      </c>
      <c r="E19" s="1556">
        <f t="shared" si="2"/>
        <v>25000</v>
      </c>
      <c r="F19" s="1808">
        <f t="shared" si="3"/>
        <v>25000</v>
      </c>
      <c r="G19" s="1809">
        <f t="shared" si="4"/>
        <v>3981</v>
      </c>
    </row>
    <row r="20" spans="1:8" x14ac:dyDescent="0.25">
      <c r="A20" s="1949" t="s">
        <v>2101</v>
      </c>
      <c r="B20" s="1950" t="s">
        <v>2103</v>
      </c>
      <c r="C20" s="1951" t="s">
        <v>2107</v>
      </c>
      <c r="D20" s="1860">
        <v>330147</v>
      </c>
      <c r="E20" s="1556">
        <f t="shared" si="2"/>
        <v>25000</v>
      </c>
      <c r="F20" s="1808">
        <f t="shared" si="3"/>
        <v>25000</v>
      </c>
      <c r="G20" s="1809">
        <f t="shared" si="4"/>
        <v>305147</v>
      </c>
    </row>
    <row r="21" spans="1:8" x14ac:dyDescent="0.25">
      <c r="A21" s="1669"/>
      <c r="B21" s="1861"/>
      <c r="C21" s="1672"/>
      <c r="D21" s="1860"/>
      <c r="E21" s="1556">
        <f t="shared" si="2"/>
        <v>0</v>
      </c>
      <c r="F21" s="1808">
        <f t="shared" si="3"/>
        <v>0</v>
      </c>
      <c r="G21" s="1809">
        <f t="shared" si="4"/>
        <v>0</v>
      </c>
    </row>
    <row r="22" spans="1:8" hidden="1" x14ac:dyDescent="0.25">
      <c r="A22" s="1669"/>
      <c r="B22" s="1861"/>
      <c r="C22" s="1672"/>
      <c r="D22" s="1860"/>
      <c r="E22" s="1556">
        <f t="shared" si="2"/>
        <v>0</v>
      </c>
      <c r="F22" s="1808">
        <f t="shared" si="3"/>
        <v>0</v>
      </c>
      <c r="G22" s="1809">
        <f t="shared" si="4"/>
        <v>0</v>
      </c>
    </row>
    <row r="23" spans="1:8" hidden="1" x14ac:dyDescent="0.25">
      <c r="A23" s="1669"/>
      <c r="B23" s="1861"/>
      <c r="C23" s="1672"/>
      <c r="D23" s="1860"/>
      <c r="E23" s="1556">
        <f t="shared" si="2"/>
        <v>0</v>
      </c>
      <c r="F23" s="1808">
        <f t="shared" si="3"/>
        <v>0</v>
      </c>
      <c r="G23" s="1809">
        <f t="shared" si="4"/>
        <v>0</v>
      </c>
    </row>
    <row r="24" spans="1:8" hidden="1" x14ac:dyDescent="0.25">
      <c r="A24" s="1669"/>
      <c r="B24" s="1862"/>
      <c r="C24" s="1672"/>
      <c r="D24" s="1860"/>
      <c r="E24" s="1556">
        <f t="shared" si="2"/>
        <v>0</v>
      </c>
      <c r="F24" s="1808">
        <f t="shared" si="3"/>
        <v>0</v>
      </c>
      <c r="G24" s="1809">
        <f t="shared" si="4"/>
        <v>0</v>
      </c>
    </row>
    <row r="25" spans="1:8" hidden="1" x14ac:dyDescent="0.25">
      <c r="A25" s="1669"/>
      <c r="B25" s="1861"/>
      <c r="C25" s="1672"/>
      <c r="D25" s="1860"/>
      <c r="E25" s="1556">
        <f t="shared" si="2"/>
        <v>0</v>
      </c>
      <c r="F25" s="1808">
        <f t="shared" si="3"/>
        <v>0</v>
      </c>
      <c r="G25" s="1809">
        <f t="shared" si="4"/>
        <v>0</v>
      </c>
    </row>
    <row r="26" spans="1:8" hidden="1" x14ac:dyDescent="0.25">
      <c r="A26" s="1669"/>
      <c r="B26" s="1862"/>
      <c r="C26" s="1670"/>
      <c r="D26" s="1860"/>
      <c r="E26" s="1556">
        <f t="shared" si="2"/>
        <v>0</v>
      </c>
      <c r="F26" s="1808">
        <f t="shared" si="3"/>
        <v>0</v>
      </c>
      <c r="G26" s="1809">
        <f t="shared" si="4"/>
        <v>0</v>
      </c>
    </row>
    <row r="27" spans="1:8" hidden="1" x14ac:dyDescent="0.25">
      <c r="A27" s="1669"/>
      <c r="B27" s="1862"/>
      <c r="C27" s="1670"/>
      <c r="D27" s="1860"/>
      <c r="E27" s="1556">
        <f t="shared" si="2"/>
        <v>0</v>
      </c>
      <c r="F27" s="1808">
        <f t="shared" si="3"/>
        <v>0</v>
      </c>
      <c r="G27" s="1809">
        <f t="shared" si="4"/>
        <v>0</v>
      </c>
    </row>
    <row r="28" spans="1:8" hidden="1" x14ac:dyDescent="0.25">
      <c r="A28" s="1669"/>
      <c r="B28" s="1862"/>
      <c r="C28" s="1670"/>
      <c r="D28" s="1860"/>
      <c r="E28" s="1556">
        <f t="shared" si="2"/>
        <v>0</v>
      </c>
      <c r="F28" s="1808">
        <f t="shared" si="3"/>
        <v>0</v>
      </c>
      <c r="G28" s="1809">
        <f t="shared" si="4"/>
        <v>0</v>
      </c>
    </row>
    <row r="29" spans="1:8" hidden="1" x14ac:dyDescent="0.25">
      <c r="A29" s="1669"/>
      <c r="B29" s="1862"/>
      <c r="C29" s="1670"/>
      <c r="D29" s="1860"/>
      <c r="E29" s="1556">
        <f t="shared" si="2"/>
        <v>0</v>
      </c>
      <c r="F29" s="1808">
        <f t="shared" si="3"/>
        <v>0</v>
      </c>
      <c r="G29" s="1809">
        <f t="shared" si="4"/>
        <v>0</v>
      </c>
    </row>
    <row r="30" spans="1:8" hidden="1" x14ac:dyDescent="0.25">
      <c r="A30" s="1669"/>
      <c r="B30" s="1862"/>
      <c r="C30" s="1670"/>
      <c r="D30" s="1860"/>
      <c r="E30" s="1556">
        <f t="shared" si="2"/>
        <v>0</v>
      </c>
      <c r="F30" s="1808">
        <f t="shared" si="3"/>
        <v>0</v>
      </c>
      <c r="G30" s="1809">
        <f t="shared" si="4"/>
        <v>0</v>
      </c>
    </row>
    <row r="31" spans="1:8" hidden="1" x14ac:dyDescent="0.25">
      <c r="A31" s="1669"/>
      <c r="B31" s="1862"/>
      <c r="C31" s="1670"/>
      <c r="D31" s="1860"/>
      <c r="E31" s="1556">
        <f t="shared" si="2"/>
        <v>0</v>
      </c>
      <c r="F31" s="1808">
        <f t="shared" si="3"/>
        <v>0</v>
      </c>
      <c r="G31" s="1809">
        <f t="shared" si="4"/>
        <v>0</v>
      </c>
    </row>
    <row r="32" spans="1:8" hidden="1" x14ac:dyDescent="0.25">
      <c r="A32" s="1669"/>
      <c r="B32" s="1862"/>
      <c r="C32" s="1670"/>
      <c r="D32" s="1860"/>
      <c r="E32" s="1556">
        <f t="shared" si="2"/>
        <v>0</v>
      </c>
      <c r="F32" s="1808">
        <f t="shared" si="3"/>
        <v>0</v>
      </c>
      <c r="G32" s="1809">
        <f t="shared" si="4"/>
        <v>0</v>
      </c>
    </row>
    <row r="33" spans="1:7" hidden="1" x14ac:dyDescent="0.25">
      <c r="A33" s="1669"/>
      <c r="B33" s="1862"/>
      <c r="C33" s="1670"/>
      <c r="D33" s="1860"/>
      <c r="E33" s="1556">
        <f t="shared" si="2"/>
        <v>0</v>
      </c>
      <c r="F33" s="1808">
        <f t="shared" si="3"/>
        <v>0</v>
      </c>
      <c r="G33" s="1809">
        <f t="shared" si="4"/>
        <v>0</v>
      </c>
    </row>
    <row r="34" spans="1:7" hidden="1" x14ac:dyDescent="0.25">
      <c r="A34" s="1669"/>
      <c r="B34" s="1862"/>
      <c r="C34" s="1670"/>
      <c r="D34" s="1860"/>
      <c r="E34" s="1556">
        <f t="shared" si="2"/>
        <v>0</v>
      </c>
      <c r="F34" s="1808">
        <f t="shared" si="3"/>
        <v>0</v>
      </c>
      <c r="G34" s="1809">
        <f t="shared" si="4"/>
        <v>0</v>
      </c>
    </row>
    <row r="35" spans="1:7" hidden="1" x14ac:dyDescent="0.25">
      <c r="A35" s="1669"/>
      <c r="B35" s="1862"/>
      <c r="C35" s="1670"/>
      <c r="D35" s="1860"/>
      <c r="E35" s="1556">
        <f t="shared" si="2"/>
        <v>0</v>
      </c>
      <c r="F35" s="1808">
        <f t="shared" si="3"/>
        <v>0</v>
      </c>
      <c r="G35" s="1809">
        <f t="shared" si="4"/>
        <v>0</v>
      </c>
    </row>
    <row r="36" spans="1:7" hidden="1" x14ac:dyDescent="0.25">
      <c r="A36" s="1669"/>
      <c r="B36" s="1862"/>
      <c r="C36" s="1670"/>
      <c r="D36" s="1860"/>
      <c r="E36" s="1556">
        <f t="shared" si="2"/>
        <v>0</v>
      </c>
      <c r="F36" s="1808">
        <f t="shared" si="3"/>
        <v>0</v>
      </c>
      <c r="G36" s="1809">
        <f t="shared" si="4"/>
        <v>0</v>
      </c>
    </row>
    <row r="37" spans="1:7" hidden="1" x14ac:dyDescent="0.25">
      <c r="A37" s="1669"/>
      <c r="B37" s="1862"/>
      <c r="C37" s="1670"/>
      <c r="D37" s="1860"/>
      <c r="E37" s="1556">
        <f t="shared" si="2"/>
        <v>0</v>
      </c>
      <c r="F37" s="1808">
        <f t="shared" si="3"/>
        <v>0</v>
      </c>
      <c r="G37" s="1809">
        <f t="shared" si="4"/>
        <v>0</v>
      </c>
    </row>
    <row r="38" spans="1:7" hidden="1" x14ac:dyDescent="0.25">
      <c r="A38" s="1669"/>
      <c r="B38" s="1682"/>
      <c r="C38" s="1670"/>
      <c r="D38" s="1860"/>
      <c r="E38" s="1556">
        <f t="shared" si="2"/>
        <v>0</v>
      </c>
      <c r="F38" s="1808">
        <f t="shared" si="3"/>
        <v>0</v>
      </c>
      <c r="G38" s="1809">
        <f t="shared" si="4"/>
        <v>0</v>
      </c>
    </row>
    <row r="39" spans="1:7" hidden="1" x14ac:dyDescent="0.25">
      <c r="A39" s="1669"/>
      <c r="B39" s="1682"/>
      <c r="C39" s="1670"/>
      <c r="D39" s="1860"/>
      <c r="E39" s="1556">
        <f t="shared" si="2"/>
        <v>0</v>
      </c>
      <c r="F39" s="1808">
        <f t="shared" si="3"/>
        <v>0</v>
      </c>
      <c r="G39" s="1809">
        <f t="shared" si="4"/>
        <v>0</v>
      </c>
    </row>
    <row r="40" spans="1:7" hidden="1" x14ac:dyDescent="0.25">
      <c r="A40" s="1669"/>
      <c r="B40" s="1682"/>
      <c r="C40" s="1670"/>
      <c r="D40" s="1860"/>
      <c r="E40" s="1556">
        <f t="shared" si="2"/>
        <v>0</v>
      </c>
      <c r="F40" s="1808">
        <f t="shared" si="3"/>
        <v>0</v>
      </c>
      <c r="G40" s="1809">
        <f t="shared" si="4"/>
        <v>0</v>
      </c>
    </row>
    <row r="41" spans="1:7" hidden="1" x14ac:dyDescent="0.25">
      <c r="A41" s="1669"/>
      <c r="B41" s="1682"/>
      <c r="C41" s="1670"/>
      <c r="D41" s="1860"/>
      <c r="E41" s="1556">
        <f t="shared" si="2"/>
        <v>0</v>
      </c>
      <c r="F41" s="1808">
        <f t="shared" si="3"/>
        <v>0</v>
      </c>
      <c r="G41" s="1809">
        <f t="shared" si="4"/>
        <v>0</v>
      </c>
    </row>
    <row r="42" spans="1:7" hidden="1" x14ac:dyDescent="0.25">
      <c r="A42" s="1669"/>
      <c r="B42" s="1682"/>
      <c r="C42" s="1670"/>
      <c r="D42" s="1860"/>
      <c r="E42" s="1556">
        <f t="shared" si="2"/>
        <v>0</v>
      </c>
      <c r="F42" s="1808">
        <f t="shared" si="3"/>
        <v>0</v>
      </c>
      <c r="G42" s="1809">
        <f t="shared" si="4"/>
        <v>0</v>
      </c>
    </row>
    <row r="43" spans="1:7" hidden="1" x14ac:dyDescent="0.25">
      <c r="A43" s="1669"/>
      <c r="B43" s="1682"/>
      <c r="C43" s="1670"/>
      <c r="D43" s="1860"/>
      <c r="E43" s="1556">
        <f t="shared" si="2"/>
        <v>0</v>
      </c>
      <c r="F43" s="1808">
        <f t="shared" si="3"/>
        <v>0</v>
      </c>
      <c r="G43" s="1809">
        <f t="shared" si="4"/>
        <v>0</v>
      </c>
    </row>
    <row r="44" spans="1:7" hidden="1" x14ac:dyDescent="0.25">
      <c r="A44" s="1669"/>
      <c r="B44" s="1682"/>
      <c r="C44" s="1670"/>
      <c r="D44" s="1860"/>
      <c r="E44" s="1556">
        <f t="shared" si="2"/>
        <v>0</v>
      </c>
      <c r="F44" s="1808">
        <f t="shared" si="3"/>
        <v>0</v>
      </c>
      <c r="G44" s="1809">
        <f t="shared" si="4"/>
        <v>0</v>
      </c>
    </row>
    <row r="45" spans="1:7" hidden="1" x14ac:dyDescent="0.25">
      <c r="A45" s="1669"/>
      <c r="B45" s="1682"/>
      <c r="C45" s="1670"/>
      <c r="D45" s="1860"/>
      <c r="E45" s="1556">
        <f t="shared" si="2"/>
        <v>0</v>
      </c>
      <c r="F45" s="1808">
        <f t="shared" si="3"/>
        <v>0</v>
      </c>
      <c r="G45" s="1809">
        <f t="shared" si="4"/>
        <v>0</v>
      </c>
    </row>
    <row r="46" spans="1:7" hidden="1" x14ac:dyDescent="0.25">
      <c r="A46" s="1669"/>
      <c r="B46" s="1682"/>
      <c r="C46" s="1670"/>
      <c r="D46" s="1860"/>
      <c r="E46" s="1556">
        <f t="shared" si="2"/>
        <v>0</v>
      </c>
      <c r="F46" s="1808">
        <f t="shared" si="3"/>
        <v>0</v>
      </c>
      <c r="G46" s="1809">
        <f t="shared" si="4"/>
        <v>0</v>
      </c>
    </row>
    <row r="47" spans="1:7" hidden="1" x14ac:dyDescent="0.25">
      <c r="A47" s="1669"/>
      <c r="B47" s="1682"/>
      <c r="C47" s="1670"/>
      <c r="D47" s="1860"/>
      <c r="E47" s="1556">
        <f t="shared" si="2"/>
        <v>0</v>
      </c>
      <c r="F47" s="1808">
        <f t="shared" si="3"/>
        <v>0</v>
      </c>
      <c r="G47" s="1809">
        <f t="shared" si="4"/>
        <v>0</v>
      </c>
    </row>
    <row r="48" spans="1:7" hidden="1" x14ac:dyDescent="0.25">
      <c r="A48" s="1669"/>
      <c r="B48" s="1682"/>
      <c r="C48" s="1670"/>
      <c r="D48" s="1860"/>
      <c r="E48" s="1556">
        <f t="shared" si="2"/>
        <v>0</v>
      </c>
      <c r="F48" s="1808">
        <f t="shared" si="3"/>
        <v>0</v>
      </c>
      <c r="G48" s="1809">
        <f t="shared" si="4"/>
        <v>0</v>
      </c>
    </row>
    <row r="49" spans="1:7" hidden="1" x14ac:dyDescent="0.25">
      <c r="A49" s="1669"/>
      <c r="B49" s="1682"/>
      <c r="C49" s="1670"/>
      <c r="D49" s="1860"/>
      <c r="E49" s="1556">
        <f t="shared" si="2"/>
        <v>0</v>
      </c>
      <c r="F49" s="1808">
        <f t="shared" si="3"/>
        <v>0</v>
      </c>
      <c r="G49" s="1809">
        <f t="shared" si="4"/>
        <v>0</v>
      </c>
    </row>
    <row r="50" spans="1:7" hidden="1" x14ac:dyDescent="0.25">
      <c r="A50" s="1669"/>
      <c r="B50" s="1682"/>
      <c r="C50" s="1670"/>
      <c r="D50" s="1860"/>
      <c r="E50" s="1556">
        <f t="shared" si="2"/>
        <v>0</v>
      </c>
      <c r="F50" s="1808">
        <f t="shared" si="3"/>
        <v>0</v>
      </c>
      <c r="G50" s="1809">
        <f t="shared" si="4"/>
        <v>0</v>
      </c>
    </row>
    <row r="51" spans="1:7" hidden="1" x14ac:dyDescent="0.25">
      <c r="A51" s="1669"/>
      <c r="B51" s="1682"/>
      <c r="C51" s="1670"/>
      <c r="D51" s="1860"/>
      <c r="E51" s="1556">
        <f t="shared" si="2"/>
        <v>0</v>
      </c>
      <c r="F51" s="1808">
        <f t="shared" si="3"/>
        <v>0</v>
      </c>
      <c r="G51" s="1809">
        <f t="shared" si="4"/>
        <v>0</v>
      </c>
    </row>
    <row r="52" spans="1:7" hidden="1" x14ac:dyDescent="0.25">
      <c r="A52" s="1669"/>
      <c r="B52" s="1682"/>
      <c r="C52" s="1670"/>
      <c r="D52" s="1860"/>
      <c r="E52" s="1556">
        <f t="shared" si="2"/>
        <v>0</v>
      </c>
      <c r="F52" s="1808">
        <f t="shared" si="3"/>
        <v>0</v>
      </c>
      <c r="G52" s="1809">
        <f t="shared" si="4"/>
        <v>0</v>
      </c>
    </row>
    <row r="53" spans="1:7" hidden="1" x14ac:dyDescent="0.25">
      <c r="A53" s="1669"/>
      <c r="B53" s="1682"/>
      <c r="C53" s="1670"/>
      <c r="D53" s="1860"/>
      <c r="E53" s="1556">
        <f t="shared" si="2"/>
        <v>0</v>
      </c>
      <c r="F53" s="1808">
        <f t="shared" si="3"/>
        <v>0</v>
      </c>
      <c r="G53" s="1809">
        <f t="shared" si="4"/>
        <v>0</v>
      </c>
    </row>
    <row r="54" spans="1:7" hidden="1" x14ac:dyDescent="0.25">
      <c r="A54" s="1669"/>
      <c r="B54" s="1682"/>
      <c r="C54" s="1670"/>
      <c r="D54" s="1860"/>
      <c r="E54" s="1556">
        <f t="shared" si="2"/>
        <v>0</v>
      </c>
      <c r="F54" s="1808">
        <f t="shared" si="3"/>
        <v>0</v>
      </c>
      <c r="G54" s="1809">
        <f t="shared" si="4"/>
        <v>0</v>
      </c>
    </row>
    <row r="55" spans="1:7" hidden="1" x14ac:dyDescent="0.25">
      <c r="A55" s="1669"/>
      <c r="B55" s="1682"/>
      <c r="C55" s="1670"/>
      <c r="D55" s="1860"/>
      <c r="E55" s="1556">
        <f t="shared" si="2"/>
        <v>0</v>
      </c>
      <c r="F55" s="1808">
        <f t="shared" si="3"/>
        <v>0</v>
      </c>
      <c r="G55" s="1809">
        <f t="shared" si="4"/>
        <v>0</v>
      </c>
    </row>
    <row r="56" spans="1:7" hidden="1" x14ac:dyDescent="0.25">
      <c r="A56" s="1669"/>
      <c r="B56" s="1682"/>
      <c r="C56" s="1670"/>
      <c r="D56" s="1860"/>
      <c r="E56" s="1556">
        <f t="shared" si="2"/>
        <v>0</v>
      </c>
      <c r="F56" s="1808">
        <f t="shared" si="3"/>
        <v>0</v>
      </c>
      <c r="G56" s="1809">
        <f t="shared" si="4"/>
        <v>0</v>
      </c>
    </row>
    <row r="57" spans="1:7" hidden="1" x14ac:dyDescent="0.25">
      <c r="A57" s="1669"/>
      <c r="B57" s="1682"/>
      <c r="C57" s="1670"/>
      <c r="D57" s="1860"/>
      <c r="E57" s="1556">
        <f t="shared" si="2"/>
        <v>0</v>
      </c>
      <c r="F57" s="1808">
        <f t="shared" si="3"/>
        <v>0</v>
      </c>
      <c r="G57" s="1809">
        <f t="shared" si="4"/>
        <v>0</v>
      </c>
    </row>
    <row r="58" spans="1:7" hidden="1" x14ac:dyDescent="0.25">
      <c r="A58" s="1669"/>
      <c r="B58" s="1682"/>
      <c r="C58" s="1670"/>
      <c r="D58" s="1860"/>
      <c r="E58" s="1556">
        <f t="shared" si="2"/>
        <v>0</v>
      </c>
      <c r="F58" s="1808">
        <f t="shared" si="3"/>
        <v>0</v>
      </c>
      <c r="G58" s="1809">
        <f t="shared" si="4"/>
        <v>0</v>
      </c>
    </row>
    <row r="59" spans="1:7" hidden="1" x14ac:dyDescent="0.25">
      <c r="A59" s="1669"/>
      <c r="B59" s="1682"/>
      <c r="C59" s="1670"/>
      <c r="D59" s="1860"/>
      <c r="E59" s="1556">
        <f t="shared" si="2"/>
        <v>0</v>
      </c>
      <c r="F59" s="1808">
        <f t="shared" si="3"/>
        <v>0</v>
      </c>
      <c r="G59" s="1809">
        <f t="shared" si="4"/>
        <v>0</v>
      </c>
    </row>
    <row r="60" spans="1:7" hidden="1" x14ac:dyDescent="0.25">
      <c r="A60" s="1669"/>
      <c r="B60" s="1682"/>
      <c r="C60" s="1670"/>
      <c r="D60" s="1860"/>
      <c r="E60" s="1556">
        <f t="shared" si="2"/>
        <v>0</v>
      </c>
      <c r="F60" s="1808">
        <f t="shared" si="3"/>
        <v>0</v>
      </c>
      <c r="G60" s="1809">
        <f t="shared" si="4"/>
        <v>0</v>
      </c>
    </row>
    <row r="61" spans="1:7" hidden="1" x14ac:dyDescent="0.25">
      <c r="A61" s="1669"/>
      <c r="B61" s="1682"/>
      <c r="C61" s="1670"/>
      <c r="D61" s="1860"/>
      <c r="E61" s="1556">
        <f t="shared" si="2"/>
        <v>0</v>
      </c>
      <c r="F61" s="1808">
        <f t="shared" si="3"/>
        <v>0</v>
      </c>
      <c r="G61" s="1809">
        <f t="shared" si="4"/>
        <v>0</v>
      </c>
    </row>
    <row r="62" spans="1:7" hidden="1" x14ac:dyDescent="0.25">
      <c r="A62" s="1669"/>
      <c r="B62" s="1682"/>
      <c r="C62" s="1670"/>
      <c r="D62" s="1860"/>
      <c r="E62" s="1556">
        <f t="shared" si="2"/>
        <v>0</v>
      </c>
      <c r="F62" s="1808">
        <f t="shared" si="3"/>
        <v>0</v>
      </c>
      <c r="G62" s="1809">
        <f t="shared" si="4"/>
        <v>0</v>
      </c>
    </row>
    <row r="63" spans="1:7" hidden="1" x14ac:dyDescent="0.25">
      <c r="A63" s="1669"/>
      <c r="B63" s="1682"/>
      <c r="C63" s="1670"/>
      <c r="D63" s="1860"/>
      <c r="E63" s="1556">
        <f t="shared" si="2"/>
        <v>0</v>
      </c>
      <c r="F63" s="1808">
        <f t="shared" si="3"/>
        <v>0</v>
      </c>
      <c r="G63" s="1809">
        <f t="shared" si="4"/>
        <v>0</v>
      </c>
    </row>
    <row r="64" spans="1:7" hidden="1" x14ac:dyDescent="0.25">
      <c r="A64" s="1671"/>
      <c r="B64" s="1682"/>
      <c r="C64" s="1672"/>
      <c r="D64" s="1860"/>
      <c r="E64" s="1556">
        <f t="shared" si="2"/>
        <v>0</v>
      </c>
      <c r="F64" s="1808">
        <f t="shared" si="3"/>
        <v>0</v>
      </c>
      <c r="G64" s="1809">
        <f t="shared" si="4"/>
        <v>0</v>
      </c>
    </row>
    <row r="65" spans="1:7" hidden="1" x14ac:dyDescent="0.25">
      <c r="A65" s="1669"/>
      <c r="B65" s="1682"/>
      <c r="C65" s="1670"/>
      <c r="D65" s="1860"/>
      <c r="E65" s="1556">
        <f t="shared" si="2"/>
        <v>0</v>
      </c>
      <c r="F65" s="1808">
        <f t="shared" si="3"/>
        <v>0</v>
      </c>
      <c r="G65" s="1809">
        <f t="shared" si="4"/>
        <v>0</v>
      </c>
    </row>
    <row r="66" spans="1:7" hidden="1" x14ac:dyDescent="0.25">
      <c r="A66" s="1669"/>
      <c r="B66" s="1682"/>
      <c r="C66" s="1670"/>
      <c r="D66" s="1860"/>
      <c r="E66" s="1556">
        <f t="shared" si="2"/>
        <v>0</v>
      </c>
      <c r="F66" s="1808">
        <f t="shared" si="3"/>
        <v>0</v>
      </c>
      <c r="G66" s="1809">
        <f t="shared" si="4"/>
        <v>0</v>
      </c>
    </row>
    <row r="67" spans="1:7" hidden="1" x14ac:dyDescent="0.25">
      <c r="A67" s="1669"/>
      <c r="B67" s="1682"/>
      <c r="C67" s="1670"/>
      <c r="D67" s="1860"/>
      <c r="E67" s="1556">
        <f t="shared" si="2"/>
        <v>0</v>
      </c>
      <c r="F67" s="1808">
        <f t="shared" si="3"/>
        <v>0</v>
      </c>
      <c r="G67" s="1809">
        <f t="shared" si="4"/>
        <v>0</v>
      </c>
    </row>
    <row r="68" spans="1:7" hidden="1" x14ac:dyDescent="0.25">
      <c r="A68" s="1669"/>
      <c r="B68" s="1682"/>
      <c r="C68" s="1670"/>
      <c r="D68" s="1860"/>
      <c r="E68" s="1556">
        <f t="shared" si="2"/>
        <v>0</v>
      </c>
      <c r="F68" s="1808">
        <f t="shared" si="3"/>
        <v>0</v>
      </c>
      <c r="G68" s="1809">
        <f t="shared" si="4"/>
        <v>0</v>
      </c>
    </row>
    <row r="69" spans="1:7" hidden="1" x14ac:dyDescent="0.25">
      <c r="A69" s="1669"/>
      <c r="B69" s="1682"/>
      <c r="C69" s="1670"/>
      <c r="D69" s="1860"/>
      <c r="E69" s="1556">
        <f t="shared" si="2"/>
        <v>0</v>
      </c>
      <c r="F69" s="1808">
        <f t="shared" si="3"/>
        <v>0</v>
      </c>
      <c r="G69" s="1809">
        <f t="shared" si="4"/>
        <v>0</v>
      </c>
    </row>
    <row r="70" spans="1:7" hidden="1" x14ac:dyDescent="0.25">
      <c r="A70" s="1669"/>
      <c r="B70" s="1682"/>
      <c r="C70" s="1670"/>
      <c r="D70" s="1860"/>
      <c r="E70" s="1556">
        <f t="shared" si="2"/>
        <v>0</v>
      </c>
      <c r="F70" s="1808">
        <f t="shared" si="3"/>
        <v>0</v>
      </c>
      <c r="G70" s="1809">
        <f t="shared" si="4"/>
        <v>0</v>
      </c>
    </row>
    <row r="71" spans="1:7" hidden="1" x14ac:dyDescent="0.25">
      <c r="A71" s="1669"/>
      <c r="B71" s="1682"/>
      <c r="C71" s="1670"/>
      <c r="D71" s="1860"/>
      <c r="E71" s="1556">
        <f t="shared" si="2"/>
        <v>0</v>
      </c>
      <c r="F71" s="1808">
        <f t="shared" si="3"/>
        <v>0</v>
      </c>
      <c r="G71" s="1809">
        <f t="shared" si="4"/>
        <v>0</v>
      </c>
    </row>
    <row r="72" spans="1:7" hidden="1" x14ac:dyDescent="0.25">
      <c r="A72" s="1669"/>
      <c r="B72" s="1682"/>
      <c r="C72" s="1670"/>
      <c r="D72" s="1860"/>
      <c r="E72" s="1556">
        <f t="shared" si="2"/>
        <v>0</v>
      </c>
      <c r="F72" s="1808">
        <f t="shared" si="3"/>
        <v>0</v>
      </c>
      <c r="G72" s="1809">
        <f t="shared" si="4"/>
        <v>0</v>
      </c>
    </row>
    <row r="73" spans="1:7" hidden="1" x14ac:dyDescent="0.25">
      <c r="A73" s="1669"/>
      <c r="B73" s="1682"/>
      <c r="C73" s="1670"/>
      <c r="D73" s="1860"/>
      <c r="E73" s="1556">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hidden="1" x14ac:dyDescent="0.25">
      <c r="A74" s="1669"/>
      <c r="B74" s="1682"/>
      <c r="C74" s="1670"/>
      <c r="D74" s="1860"/>
      <c r="E74" s="1556">
        <f t="shared" si="5"/>
        <v>0</v>
      </c>
      <c r="F74" s="1808">
        <f t="shared" si="6"/>
        <v>0</v>
      </c>
      <c r="G74" s="1809">
        <f t="shared" si="7"/>
        <v>0</v>
      </c>
    </row>
    <row r="75" spans="1:7" hidden="1" x14ac:dyDescent="0.25">
      <c r="A75" s="1669"/>
      <c r="B75" s="1682"/>
      <c r="C75" s="1670"/>
      <c r="D75" s="1860"/>
      <c r="E75" s="1556">
        <f t="shared" si="5"/>
        <v>0</v>
      </c>
      <c r="F75" s="1808">
        <f t="shared" si="6"/>
        <v>0</v>
      </c>
      <c r="G75" s="1809">
        <f t="shared" si="7"/>
        <v>0</v>
      </c>
    </row>
    <row r="76" spans="1:7" hidden="1" x14ac:dyDescent="0.25">
      <c r="A76" s="1669"/>
      <c r="B76" s="1682"/>
      <c r="C76" s="1670"/>
      <c r="D76" s="1860"/>
      <c r="E76" s="1556">
        <f t="shared" si="5"/>
        <v>0</v>
      </c>
      <c r="F76" s="1808">
        <f t="shared" si="6"/>
        <v>0</v>
      </c>
      <c r="G76" s="1809">
        <f t="shared" si="7"/>
        <v>0</v>
      </c>
    </row>
    <row r="77" spans="1:7" hidden="1" x14ac:dyDescent="0.25">
      <c r="A77" s="1669"/>
      <c r="B77" s="1682"/>
      <c r="C77" s="1670"/>
      <c r="D77" s="1860"/>
      <c r="E77" s="1556">
        <f t="shared" si="5"/>
        <v>0</v>
      </c>
      <c r="F77" s="1808">
        <f t="shared" si="6"/>
        <v>0</v>
      </c>
      <c r="G77" s="1809">
        <f t="shared" si="7"/>
        <v>0</v>
      </c>
    </row>
    <row r="78" spans="1:7" hidden="1" x14ac:dyDescent="0.25">
      <c r="A78" s="1669"/>
      <c r="B78" s="1682"/>
      <c r="C78" s="1670"/>
      <c r="D78" s="1860"/>
      <c r="E78" s="1556">
        <f t="shared" si="5"/>
        <v>0</v>
      </c>
      <c r="F78" s="1808">
        <f t="shared" si="6"/>
        <v>0</v>
      </c>
      <c r="G78" s="1809">
        <f t="shared" si="7"/>
        <v>0</v>
      </c>
    </row>
    <row r="79" spans="1:7" hidden="1" x14ac:dyDescent="0.25">
      <c r="A79" s="1669"/>
      <c r="B79" s="1682"/>
      <c r="C79" s="1670"/>
      <c r="D79" s="1860"/>
      <c r="E79" s="1556">
        <f t="shared" si="5"/>
        <v>0</v>
      </c>
      <c r="F79" s="1808">
        <f t="shared" si="6"/>
        <v>0</v>
      </c>
      <c r="G79" s="1809">
        <f t="shared" si="7"/>
        <v>0</v>
      </c>
    </row>
    <row r="80" spans="1:7" hidden="1" x14ac:dyDescent="0.25">
      <c r="A80" s="1669"/>
      <c r="B80" s="1682"/>
      <c r="C80" s="1670"/>
      <c r="D80" s="1860"/>
      <c r="E80" s="1556">
        <f t="shared" si="5"/>
        <v>0</v>
      </c>
      <c r="F80" s="1808">
        <f t="shared" si="6"/>
        <v>0</v>
      </c>
      <c r="G80" s="1809">
        <f t="shared" si="7"/>
        <v>0</v>
      </c>
    </row>
    <row r="81" spans="1:7" hidden="1" x14ac:dyDescent="0.25">
      <c r="A81" s="1669"/>
      <c r="B81" s="1682"/>
      <c r="C81" s="1670"/>
      <c r="D81" s="1860"/>
      <c r="E81" s="1556">
        <f t="shared" si="5"/>
        <v>0</v>
      </c>
      <c r="F81" s="1808">
        <f t="shared" si="6"/>
        <v>0</v>
      </c>
      <c r="G81" s="1809">
        <f t="shared" si="7"/>
        <v>0</v>
      </c>
    </row>
    <row r="82" spans="1:7" hidden="1" x14ac:dyDescent="0.25">
      <c r="A82" s="1669"/>
      <c r="B82" s="1682"/>
      <c r="C82" s="1670"/>
      <c r="D82" s="1860"/>
      <c r="E82" s="1556">
        <f t="shared" si="5"/>
        <v>0</v>
      </c>
      <c r="F82" s="1808">
        <f t="shared" si="6"/>
        <v>0</v>
      </c>
      <c r="G82" s="1809">
        <f t="shared" si="7"/>
        <v>0</v>
      </c>
    </row>
    <row r="83" spans="1:7" hidden="1" x14ac:dyDescent="0.25">
      <c r="A83" s="1669"/>
      <c r="B83" s="1682"/>
      <c r="C83" s="1670"/>
      <c r="D83" s="1860"/>
      <c r="E83" s="1556">
        <f t="shared" si="5"/>
        <v>0</v>
      </c>
      <c r="F83" s="1808">
        <f t="shared" si="6"/>
        <v>0</v>
      </c>
      <c r="G83" s="1809">
        <f t="shared" si="7"/>
        <v>0</v>
      </c>
    </row>
    <row r="84" spans="1:7" hidden="1" x14ac:dyDescent="0.25">
      <c r="A84" s="1669"/>
      <c r="B84" s="1682"/>
      <c r="C84" s="1670"/>
      <c r="D84" s="1860"/>
      <c r="E84" s="1556">
        <f t="shared" si="5"/>
        <v>0</v>
      </c>
      <c r="F84" s="1808">
        <f t="shared" si="6"/>
        <v>0</v>
      </c>
      <c r="G84" s="1809">
        <f t="shared" si="7"/>
        <v>0</v>
      </c>
    </row>
    <row r="85" spans="1:7" hidden="1" x14ac:dyDescent="0.25">
      <c r="A85" s="1669"/>
      <c r="B85" s="1682"/>
      <c r="C85" s="1670"/>
      <c r="D85" s="1860"/>
      <c r="E85" s="1556">
        <f t="shared" si="2"/>
        <v>0</v>
      </c>
      <c r="F85" s="1808">
        <f t="shared" si="3"/>
        <v>0</v>
      </c>
      <c r="G85" s="1809">
        <f t="shared" si="4"/>
        <v>0</v>
      </c>
    </row>
    <row r="86" spans="1:7" hidden="1" x14ac:dyDescent="0.25">
      <c r="A86" s="1669"/>
      <c r="B86" s="1682"/>
      <c r="C86" s="1670"/>
      <c r="D86" s="1860"/>
      <c r="E86" s="1556">
        <f t="shared" si="2"/>
        <v>0</v>
      </c>
      <c r="F86" s="1808">
        <f t="shared" si="3"/>
        <v>0</v>
      </c>
      <c r="G86" s="1809">
        <f t="shared" si="4"/>
        <v>0</v>
      </c>
    </row>
    <row r="87" spans="1:7" hidden="1" x14ac:dyDescent="0.25">
      <c r="A87" s="1669"/>
      <c r="B87" s="1682"/>
      <c r="C87" s="1670"/>
      <c r="D87" s="1860"/>
      <c r="E87" s="1556">
        <f t="shared" si="2"/>
        <v>0</v>
      </c>
      <c r="F87" s="1808">
        <f t="shared" si="3"/>
        <v>0</v>
      </c>
      <c r="G87" s="1809">
        <f t="shared" si="4"/>
        <v>0</v>
      </c>
    </row>
    <row r="88" spans="1:7" hidden="1" x14ac:dyDescent="0.25">
      <c r="A88" s="1669"/>
      <c r="B88" s="1682"/>
      <c r="C88" s="1670"/>
      <c r="D88" s="1860"/>
      <c r="E88" s="1556">
        <f t="shared" si="2"/>
        <v>0</v>
      </c>
      <c r="F88" s="1808">
        <f t="shared" si="3"/>
        <v>0</v>
      </c>
      <c r="G88" s="1809">
        <f t="shared" si="4"/>
        <v>0</v>
      </c>
    </row>
    <row r="89" spans="1:7" hidden="1" x14ac:dyDescent="0.25">
      <c r="A89" s="1669"/>
      <c r="B89" s="1682"/>
      <c r="C89" s="1670"/>
      <c r="D89" s="1860"/>
      <c r="E89" s="1556">
        <f t="shared" si="2"/>
        <v>0</v>
      </c>
      <c r="F89" s="1808">
        <f t="shared" si="3"/>
        <v>0</v>
      </c>
      <c r="G89" s="1809">
        <f t="shared" si="4"/>
        <v>0</v>
      </c>
    </row>
    <row r="90" spans="1:7" hidden="1" x14ac:dyDescent="0.25">
      <c r="A90" s="1669"/>
      <c r="B90" s="1682"/>
      <c r="C90" s="1670"/>
      <c r="D90" s="1860"/>
      <c r="E90" s="1556">
        <f t="shared" si="2"/>
        <v>0</v>
      </c>
      <c r="F90" s="1808">
        <f t="shared" si="3"/>
        <v>0</v>
      </c>
      <c r="G90" s="1809">
        <f t="shared" si="4"/>
        <v>0</v>
      </c>
    </row>
    <row r="91" spans="1:7" hidden="1" x14ac:dyDescent="0.25">
      <c r="A91" s="1669"/>
      <c r="B91" s="1682"/>
      <c r="C91" s="1670"/>
      <c r="D91" s="1860"/>
      <c r="E91" s="1556">
        <f t="shared" si="2"/>
        <v>0</v>
      </c>
      <c r="F91" s="1808">
        <f t="shared" si="3"/>
        <v>0</v>
      </c>
      <c r="G91" s="1809">
        <f t="shared" si="4"/>
        <v>0</v>
      </c>
    </row>
    <row r="92" spans="1:7" hidden="1" x14ac:dyDescent="0.25">
      <c r="A92" s="1669"/>
      <c r="B92" s="1682"/>
      <c r="C92" s="1670"/>
      <c r="D92" s="1860"/>
      <c r="E92" s="1556">
        <f t="shared" si="2"/>
        <v>0</v>
      </c>
      <c r="F92" s="1808">
        <f t="shared" si="3"/>
        <v>0</v>
      </c>
      <c r="G92" s="1809">
        <f t="shared" si="4"/>
        <v>0</v>
      </c>
    </row>
    <row r="93" spans="1:7" hidden="1" x14ac:dyDescent="0.25">
      <c r="A93" s="1669"/>
      <c r="B93" s="1682"/>
      <c r="C93" s="1670"/>
      <c r="D93" s="1860"/>
      <c r="E93" s="1556">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hidden="1" x14ac:dyDescent="0.25">
      <c r="A94" s="1669"/>
      <c r="B94" s="1682"/>
      <c r="C94" s="1670"/>
      <c r="D94" s="1860"/>
      <c r="E94" s="1556">
        <f t="shared" si="2"/>
        <v>0</v>
      </c>
      <c r="F94" s="1808">
        <f t="shared" si="3"/>
        <v>0</v>
      </c>
      <c r="G94" s="1809">
        <f t="shared" si="4"/>
        <v>0</v>
      </c>
    </row>
    <row r="95" spans="1:7" hidden="1" x14ac:dyDescent="0.25">
      <c r="A95" s="1669"/>
      <c r="B95" s="1682"/>
      <c r="C95" s="1670"/>
      <c r="D95" s="1860"/>
      <c r="E95" s="1556">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hidden="1" x14ac:dyDescent="0.25">
      <c r="A96" s="1669"/>
      <c r="B96" s="1682"/>
      <c r="C96" s="1670"/>
      <c r="D96" s="1860"/>
      <c r="E96" s="1556">
        <f t="shared" si="11"/>
        <v>0</v>
      </c>
      <c r="F96" s="1808">
        <f t="shared" si="12"/>
        <v>0</v>
      </c>
      <c r="G96" s="1809">
        <f t="shared" si="13"/>
        <v>0</v>
      </c>
    </row>
    <row r="97" spans="1:7" hidden="1" x14ac:dyDescent="0.25">
      <c r="A97" s="1669"/>
      <c r="B97" s="1682"/>
      <c r="C97" s="1670"/>
      <c r="D97" s="1860"/>
      <c r="E97" s="1556">
        <f t="shared" si="11"/>
        <v>0</v>
      </c>
      <c r="F97" s="1808">
        <f t="shared" si="12"/>
        <v>0</v>
      </c>
      <c r="G97" s="1809">
        <f t="shared" si="13"/>
        <v>0</v>
      </c>
    </row>
    <row r="98" spans="1:7" hidden="1" x14ac:dyDescent="0.25">
      <c r="A98" s="1669"/>
      <c r="B98" s="1682"/>
      <c r="C98" s="1670"/>
      <c r="D98" s="1860"/>
      <c r="E98" s="1556">
        <f t="shared" si="11"/>
        <v>0</v>
      </c>
      <c r="F98" s="1808">
        <f t="shared" si="12"/>
        <v>0</v>
      </c>
      <c r="G98" s="1809">
        <f t="shared" si="13"/>
        <v>0</v>
      </c>
    </row>
    <row r="99" spans="1:7" hidden="1" x14ac:dyDescent="0.25">
      <c r="A99" s="1669"/>
      <c r="B99" s="1682"/>
      <c r="C99" s="1670"/>
      <c r="D99" s="1860"/>
      <c r="E99" s="1556">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hidden="1" x14ac:dyDescent="0.25">
      <c r="A100" s="1669"/>
      <c r="B100" s="1682"/>
      <c r="C100" s="1670"/>
      <c r="D100" s="1860"/>
      <c r="E100" s="1556">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hidden="1" x14ac:dyDescent="0.25">
      <c r="A101" s="1669"/>
      <c r="B101" s="1682"/>
      <c r="C101" s="1670"/>
      <c r="D101" s="1860"/>
      <c r="E101" s="1556">
        <f t="shared" si="17"/>
        <v>0</v>
      </c>
      <c r="F101" s="1808">
        <f t="shared" si="18"/>
        <v>0</v>
      </c>
      <c r="G101" s="1809">
        <f t="shared" si="19"/>
        <v>0</v>
      </c>
    </row>
    <row r="102" spans="1:7" hidden="1" x14ac:dyDescent="0.25">
      <c r="A102" s="1669"/>
      <c r="B102" s="1682"/>
      <c r="C102" s="1670"/>
      <c r="D102" s="1860"/>
      <c r="E102" s="1556">
        <f t="shared" si="17"/>
        <v>0</v>
      </c>
      <c r="F102" s="1808">
        <f t="shared" si="18"/>
        <v>0</v>
      </c>
      <c r="G102" s="1809">
        <f t="shared" si="19"/>
        <v>0</v>
      </c>
    </row>
    <row r="103" spans="1:7" hidden="1" x14ac:dyDescent="0.25">
      <c r="A103" s="1669"/>
      <c r="B103" s="1682"/>
      <c r="C103" s="1670"/>
      <c r="D103" s="1860"/>
      <c r="E103" s="1556">
        <f t="shared" si="17"/>
        <v>0</v>
      </c>
      <c r="F103" s="1808">
        <f t="shared" si="18"/>
        <v>0</v>
      </c>
      <c r="G103" s="1809">
        <f t="shared" si="19"/>
        <v>0</v>
      </c>
    </row>
    <row r="104" spans="1:7" hidden="1" x14ac:dyDescent="0.25">
      <c r="A104" s="1669"/>
      <c r="B104" s="1682"/>
      <c r="C104" s="1670"/>
      <c r="D104" s="1860"/>
      <c r="E104" s="1556">
        <f t="shared" si="17"/>
        <v>0</v>
      </c>
      <c r="F104" s="1808">
        <f t="shared" si="18"/>
        <v>0</v>
      </c>
      <c r="G104" s="1809">
        <f t="shared" si="19"/>
        <v>0</v>
      </c>
    </row>
    <row r="105" spans="1:7" hidden="1" x14ac:dyDescent="0.25">
      <c r="A105" s="1669"/>
      <c r="B105" s="1682"/>
      <c r="C105" s="1670"/>
      <c r="D105" s="1860"/>
      <c r="E105" s="1556">
        <f t="shared" si="17"/>
        <v>0</v>
      </c>
      <c r="F105" s="1808">
        <f t="shared" si="18"/>
        <v>0</v>
      </c>
      <c r="G105" s="1809">
        <f t="shared" si="19"/>
        <v>0</v>
      </c>
    </row>
    <row r="106" spans="1:7" hidden="1" x14ac:dyDescent="0.25">
      <c r="A106" s="1669"/>
      <c r="B106" s="1682"/>
      <c r="C106" s="1670"/>
      <c r="D106" s="1860"/>
      <c r="E106" s="1556">
        <f t="shared" si="17"/>
        <v>0</v>
      </c>
      <c r="F106" s="1808">
        <f t="shared" si="18"/>
        <v>0</v>
      </c>
      <c r="G106" s="1809">
        <f t="shared" si="19"/>
        <v>0</v>
      </c>
    </row>
    <row r="107" spans="1:7" hidden="1" x14ac:dyDescent="0.25">
      <c r="A107" s="1669"/>
      <c r="B107" s="1682"/>
      <c r="C107" s="1670"/>
      <c r="D107" s="1860"/>
      <c r="E107" s="1556">
        <f t="shared" si="17"/>
        <v>0</v>
      </c>
      <c r="F107" s="1808">
        <f t="shared" si="18"/>
        <v>0</v>
      </c>
      <c r="G107" s="1809">
        <f t="shared" si="19"/>
        <v>0</v>
      </c>
    </row>
    <row r="108" spans="1:7" hidden="1" x14ac:dyDescent="0.25">
      <c r="A108" s="1669"/>
      <c r="B108" s="1682"/>
      <c r="C108" s="1670"/>
      <c r="D108" s="1860"/>
      <c r="E108" s="1556">
        <f t="shared" si="17"/>
        <v>0</v>
      </c>
      <c r="F108" s="1808">
        <f t="shared" si="18"/>
        <v>0</v>
      </c>
      <c r="G108" s="1809">
        <f t="shared" si="19"/>
        <v>0</v>
      </c>
    </row>
    <row r="109" spans="1:7" hidden="1" x14ac:dyDescent="0.25">
      <c r="A109" s="1669"/>
      <c r="B109" s="1682"/>
      <c r="C109" s="1670"/>
      <c r="D109" s="1860"/>
      <c r="E109" s="1556">
        <f t="shared" si="17"/>
        <v>0</v>
      </c>
      <c r="F109" s="1808">
        <f t="shared" si="18"/>
        <v>0</v>
      </c>
      <c r="G109" s="1809">
        <f t="shared" si="19"/>
        <v>0</v>
      </c>
    </row>
    <row r="110" spans="1:7" hidden="1" x14ac:dyDescent="0.25">
      <c r="A110" s="1669"/>
      <c r="B110" s="1682"/>
      <c r="C110" s="1670"/>
      <c r="D110" s="1860"/>
      <c r="E110" s="1556">
        <f t="shared" si="17"/>
        <v>0</v>
      </c>
      <c r="F110" s="1808">
        <f t="shared" si="18"/>
        <v>0</v>
      </c>
      <c r="G110" s="1809">
        <f t="shared" si="19"/>
        <v>0</v>
      </c>
    </row>
    <row r="111" spans="1:7" hidden="1" x14ac:dyDescent="0.25">
      <c r="A111" s="1669"/>
      <c r="B111" s="1682"/>
      <c r="C111" s="1670"/>
      <c r="D111" s="1860"/>
      <c r="E111" s="1556">
        <f t="shared" si="17"/>
        <v>0</v>
      </c>
      <c r="F111" s="1808">
        <f t="shared" si="18"/>
        <v>0</v>
      </c>
      <c r="G111" s="1809">
        <f t="shared" si="19"/>
        <v>0</v>
      </c>
    </row>
    <row r="112" spans="1:7" hidden="1" x14ac:dyDescent="0.25">
      <c r="A112" s="1669"/>
      <c r="B112" s="1682"/>
      <c r="C112" s="1670"/>
      <c r="D112" s="1860"/>
      <c r="E112" s="1556">
        <f t="shared" si="17"/>
        <v>0</v>
      </c>
      <c r="F112" s="1808">
        <f t="shared" si="18"/>
        <v>0</v>
      </c>
      <c r="G112" s="1809">
        <f t="shared" si="19"/>
        <v>0</v>
      </c>
    </row>
    <row r="113" spans="1:7" hidden="1" x14ac:dyDescent="0.25">
      <c r="A113" s="1669"/>
      <c r="B113" s="1682"/>
      <c r="C113" s="1670"/>
      <c r="D113" s="1860"/>
      <c r="E113" s="1556">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hidden="1" x14ac:dyDescent="0.25">
      <c r="A114" s="1669"/>
      <c r="B114" s="1682"/>
      <c r="C114" s="1670"/>
      <c r="D114" s="1860"/>
      <c r="E114" s="1556">
        <f t="shared" si="20"/>
        <v>0</v>
      </c>
      <c r="F114" s="1808">
        <f t="shared" si="21"/>
        <v>0</v>
      </c>
      <c r="G114" s="1809">
        <f t="shared" si="22"/>
        <v>0</v>
      </c>
    </row>
    <row r="115" spans="1:7" hidden="1" x14ac:dyDescent="0.25">
      <c r="A115" s="1669"/>
      <c r="B115" s="1682"/>
      <c r="C115" s="1670"/>
      <c r="D115" s="1860"/>
      <c r="E115" s="1556">
        <f t="shared" si="20"/>
        <v>0</v>
      </c>
      <c r="F115" s="1808">
        <f t="shared" si="21"/>
        <v>0</v>
      </c>
      <c r="G115" s="1809">
        <f t="shared" si="22"/>
        <v>0</v>
      </c>
    </row>
    <row r="116" spans="1:7" hidden="1" x14ac:dyDescent="0.25">
      <c r="A116" s="1669"/>
      <c r="B116" s="1682"/>
      <c r="C116" s="1670"/>
      <c r="D116" s="1860"/>
      <c r="E116" s="1556">
        <f t="shared" si="20"/>
        <v>0</v>
      </c>
      <c r="F116" s="1808">
        <f t="shared" si="21"/>
        <v>0</v>
      </c>
      <c r="G116" s="1809">
        <f t="shared" si="22"/>
        <v>0</v>
      </c>
    </row>
    <row r="117" spans="1:7" hidden="1" x14ac:dyDescent="0.25">
      <c r="A117" s="1669"/>
      <c r="B117" s="1682"/>
      <c r="C117" s="1670"/>
      <c r="D117" s="1860"/>
      <c r="E117" s="1556">
        <f t="shared" si="20"/>
        <v>0</v>
      </c>
      <c r="F117" s="1808">
        <f t="shared" si="21"/>
        <v>0</v>
      </c>
      <c r="G117" s="1809">
        <f t="shared" si="22"/>
        <v>0</v>
      </c>
    </row>
    <row r="118" spans="1:7" hidden="1" x14ac:dyDescent="0.25">
      <c r="A118" s="1669"/>
      <c r="B118" s="1682"/>
      <c r="C118" s="1670"/>
      <c r="D118" s="1860"/>
      <c r="E118" s="1556">
        <f t="shared" si="20"/>
        <v>0</v>
      </c>
      <c r="F118" s="1808">
        <f t="shared" si="21"/>
        <v>0</v>
      </c>
      <c r="G118" s="1809">
        <f t="shared" si="22"/>
        <v>0</v>
      </c>
    </row>
    <row r="119" spans="1:7" hidden="1" x14ac:dyDescent="0.25">
      <c r="A119" s="1669"/>
      <c r="B119" s="1682"/>
      <c r="C119" s="1670"/>
      <c r="D119" s="1860"/>
      <c r="E119" s="1556">
        <f t="shared" si="20"/>
        <v>0</v>
      </c>
      <c r="F119" s="1808">
        <f t="shared" si="21"/>
        <v>0</v>
      </c>
      <c r="G119" s="1809">
        <f t="shared" si="22"/>
        <v>0</v>
      </c>
    </row>
    <row r="120" spans="1:7" hidden="1" x14ac:dyDescent="0.25">
      <c r="A120" s="1669"/>
      <c r="B120" s="1682"/>
      <c r="C120" s="1670"/>
      <c r="D120" s="1860"/>
      <c r="E120" s="1556">
        <f t="shared" si="20"/>
        <v>0</v>
      </c>
      <c r="F120" s="1808">
        <f t="shared" si="21"/>
        <v>0</v>
      </c>
      <c r="G120" s="1809">
        <f t="shared" si="22"/>
        <v>0</v>
      </c>
    </row>
    <row r="121" spans="1:7" hidden="1" x14ac:dyDescent="0.25">
      <c r="A121" s="1669"/>
      <c r="B121" s="1682"/>
      <c r="C121" s="1670"/>
      <c r="D121" s="1860"/>
      <c r="E121" s="1556">
        <f t="shared" si="20"/>
        <v>0</v>
      </c>
      <c r="F121" s="1808">
        <f t="shared" si="21"/>
        <v>0</v>
      </c>
      <c r="G121" s="1809">
        <f t="shared" si="22"/>
        <v>0</v>
      </c>
    </row>
    <row r="122" spans="1:7" hidden="1" x14ac:dyDescent="0.25">
      <c r="A122" s="1669"/>
      <c r="B122" s="1682"/>
      <c r="C122" s="1670"/>
      <c r="D122" s="1860"/>
      <c r="E122" s="1556">
        <f t="shared" si="20"/>
        <v>0</v>
      </c>
      <c r="F122" s="1808">
        <f t="shared" si="21"/>
        <v>0</v>
      </c>
      <c r="G122" s="1809">
        <f t="shared" si="22"/>
        <v>0</v>
      </c>
    </row>
    <row r="123" spans="1:7" hidden="1" x14ac:dyDescent="0.25">
      <c r="A123" s="1669"/>
      <c r="B123" s="1682"/>
      <c r="C123" s="1670"/>
      <c r="D123" s="1860"/>
      <c r="E123" s="1556">
        <f t="shared" si="20"/>
        <v>0</v>
      </c>
      <c r="F123" s="1808">
        <f t="shared" si="21"/>
        <v>0</v>
      </c>
      <c r="G123" s="1809">
        <f t="shared" si="22"/>
        <v>0</v>
      </c>
    </row>
    <row r="124" spans="1:7" hidden="1" x14ac:dyDescent="0.25">
      <c r="A124" s="1669"/>
      <c r="B124" s="1682"/>
      <c r="C124" s="1670"/>
      <c r="D124" s="1860"/>
      <c r="E124" s="1556">
        <f t="shared" si="20"/>
        <v>0</v>
      </c>
      <c r="F124" s="1808">
        <f t="shared" si="21"/>
        <v>0</v>
      </c>
      <c r="G124" s="1809">
        <f t="shared" si="22"/>
        <v>0</v>
      </c>
    </row>
    <row r="125" spans="1:7" hidden="1" x14ac:dyDescent="0.25">
      <c r="A125" s="1669"/>
      <c r="B125" s="1682"/>
      <c r="C125" s="1670"/>
      <c r="D125" s="1860"/>
      <c r="E125" s="1556">
        <f t="shared" si="20"/>
        <v>0</v>
      </c>
      <c r="F125" s="1808">
        <f t="shared" si="21"/>
        <v>0</v>
      </c>
      <c r="G125" s="1809">
        <f t="shared" si="22"/>
        <v>0</v>
      </c>
    </row>
    <row r="126" spans="1:7" hidden="1" x14ac:dyDescent="0.25">
      <c r="A126" s="1669"/>
      <c r="B126" s="1682"/>
      <c r="C126" s="1670"/>
      <c r="D126" s="1860"/>
      <c r="E126" s="1556">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hidden="1" x14ac:dyDescent="0.25">
      <c r="A127" s="1669"/>
      <c r="B127" s="1682"/>
      <c r="C127" s="1670"/>
      <c r="D127" s="1860"/>
      <c r="E127" s="1556">
        <f t="shared" si="23"/>
        <v>0</v>
      </c>
      <c r="F127" s="1808">
        <f t="shared" si="24"/>
        <v>0</v>
      </c>
      <c r="G127" s="1809">
        <f t="shared" si="25"/>
        <v>0</v>
      </c>
    </row>
    <row r="128" spans="1:7" hidden="1" x14ac:dyDescent="0.25">
      <c r="A128" s="1669"/>
      <c r="B128" s="1682"/>
      <c r="C128" s="1670"/>
      <c r="D128" s="1860"/>
      <c r="E128" s="1556">
        <f t="shared" si="23"/>
        <v>0</v>
      </c>
      <c r="F128" s="1808">
        <f t="shared" si="24"/>
        <v>0</v>
      </c>
      <c r="G128" s="1809">
        <f t="shared" si="25"/>
        <v>0</v>
      </c>
    </row>
    <row r="129" spans="1:7" hidden="1" x14ac:dyDescent="0.25">
      <c r="A129" s="1669"/>
      <c r="B129" s="1682"/>
      <c r="C129" s="1670"/>
      <c r="D129" s="1860"/>
      <c r="E129" s="1556">
        <f t="shared" si="23"/>
        <v>0</v>
      </c>
      <c r="F129" s="1808">
        <f t="shared" si="24"/>
        <v>0</v>
      </c>
      <c r="G129" s="1809">
        <f t="shared" si="25"/>
        <v>0</v>
      </c>
    </row>
    <row r="130" spans="1:7" hidden="1" x14ac:dyDescent="0.25">
      <c r="A130" s="1669"/>
      <c r="B130" s="1682"/>
      <c r="C130" s="1670"/>
      <c r="D130" s="1860"/>
      <c r="E130" s="1556">
        <f t="shared" si="23"/>
        <v>0</v>
      </c>
      <c r="F130" s="1808">
        <f t="shared" si="24"/>
        <v>0</v>
      </c>
      <c r="G130" s="1809">
        <f t="shared" si="25"/>
        <v>0</v>
      </c>
    </row>
    <row r="131" spans="1:7" hidden="1" x14ac:dyDescent="0.25">
      <c r="A131" s="1669"/>
      <c r="B131" s="1853"/>
      <c r="C131" s="1670"/>
      <c r="D131" s="1860"/>
      <c r="E131" s="1556">
        <f t="shared" si="23"/>
        <v>0</v>
      </c>
      <c r="F131" s="1808">
        <f t="shared" si="24"/>
        <v>0</v>
      </c>
      <c r="G131" s="1809">
        <f t="shared" si="25"/>
        <v>0</v>
      </c>
    </row>
    <row r="132" spans="1:7" hidden="1" x14ac:dyDescent="0.25">
      <c r="A132" s="1669"/>
      <c r="B132" s="1853"/>
      <c r="C132" s="1670"/>
      <c r="D132" s="1860"/>
      <c r="E132" s="1556">
        <f t="shared" si="23"/>
        <v>0</v>
      </c>
      <c r="F132" s="1808">
        <f t="shared" si="24"/>
        <v>0</v>
      </c>
      <c r="G132" s="1809">
        <f t="shared" si="25"/>
        <v>0</v>
      </c>
    </row>
    <row r="133" spans="1:7" hidden="1" x14ac:dyDescent="0.25">
      <c r="A133" s="1669"/>
      <c r="B133" s="1682"/>
      <c r="C133" s="1670"/>
      <c r="D133" s="1860"/>
      <c r="E133" s="1556">
        <f t="shared" si="23"/>
        <v>0</v>
      </c>
      <c r="F133" s="1808">
        <f t="shared" si="24"/>
        <v>0</v>
      </c>
      <c r="G133" s="1809">
        <f t="shared" si="25"/>
        <v>0</v>
      </c>
    </row>
    <row r="134" spans="1:7" hidden="1" x14ac:dyDescent="0.25">
      <c r="A134" s="1669"/>
      <c r="B134" s="1682"/>
      <c r="C134" s="1670"/>
      <c r="D134" s="1860"/>
      <c r="E134" s="1556">
        <f t="shared" si="23"/>
        <v>0</v>
      </c>
      <c r="F134" s="1808">
        <f t="shared" si="24"/>
        <v>0</v>
      </c>
      <c r="G134" s="1809">
        <f t="shared" si="25"/>
        <v>0</v>
      </c>
    </row>
    <row r="135" spans="1:7" hidden="1" x14ac:dyDescent="0.25">
      <c r="A135" s="1669"/>
      <c r="B135" s="1682"/>
      <c r="C135" s="1670"/>
      <c r="D135" s="1860"/>
      <c r="E135" s="1556">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hidden="1" x14ac:dyDescent="0.25">
      <c r="A136" s="1669"/>
      <c r="B136" s="1682"/>
      <c r="C136" s="1670"/>
      <c r="D136" s="1860"/>
      <c r="E136" s="1556">
        <f t="shared" si="26"/>
        <v>0</v>
      </c>
      <c r="F136" s="1808">
        <f t="shared" si="27"/>
        <v>0</v>
      </c>
      <c r="G136" s="1809">
        <f t="shared" si="28"/>
        <v>0</v>
      </c>
    </row>
    <row r="137" spans="1:7" hidden="1" x14ac:dyDescent="0.25">
      <c r="A137" s="1669"/>
      <c r="B137" s="1682"/>
      <c r="C137" s="1670"/>
      <c r="D137" s="1860"/>
      <c r="E137" s="1556">
        <f t="shared" si="26"/>
        <v>0</v>
      </c>
      <c r="F137" s="1808">
        <f t="shared" si="27"/>
        <v>0</v>
      </c>
      <c r="G137" s="1809">
        <f t="shared" si="28"/>
        <v>0</v>
      </c>
    </row>
    <row r="138" spans="1:7" hidden="1" x14ac:dyDescent="0.25">
      <c r="A138" s="1669"/>
      <c r="B138" s="1682"/>
      <c r="C138" s="1670"/>
      <c r="D138" s="1860"/>
      <c r="E138" s="1556">
        <f t="shared" si="26"/>
        <v>0</v>
      </c>
      <c r="F138" s="1808">
        <f t="shared" si="27"/>
        <v>0</v>
      </c>
      <c r="G138" s="1809">
        <f t="shared" si="28"/>
        <v>0</v>
      </c>
    </row>
    <row r="139" spans="1:7" x14ac:dyDescent="0.25">
      <c r="A139" s="1669"/>
      <c r="B139" s="1682"/>
      <c r="C139" s="1670"/>
      <c r="D139" s="1860"/>
      <c r="E139" s="1556">
        <f t="shared" si="26"/>
        <v>0</v>
      </c>
      <c r="F139" s="1808">
        <f t="shared" si="27"/>
        <v>0</v>
      </c>
      <c r="G139" s="1809">
        <f t="shared" si="28"/>
        <v>0</v>
      </c>
    </row>
    <row r="140" spans="1:7" x14ac:dyDescent="0.25">
      <c r="A140" s="1669"/>
      <c r="B140" s="1681"/>
      <c r="C140" s="1670"/>
      <c r="D140" s="1860"/>
      <c r="E140" s="1556">
        <f t="shared" si="2"/>
        <v>0</v>
      </c>
      <c r="F140" s="1808">
        <f t="shared" si="3"/>
        <v>0</v>
      </c>
      <c r="G140" s="1809">
        <f t="shared" si="4"/>
        <v>0</v>
      </c>
    </row>
    <row r="141" spans="1:7" x14ac:dyDescent="0.25">
      <c r="A141" s="1812" t="s">
        <v>158</v>
      </c>
      <c r="B141" s="1813"/>
      <c r="C141" s="1814"/>
      <c r="D141" s="1810">
        <f>SUM(D17:D140)</f>
        <v>1278955</v>
      </c>
      <c r="E141" s="1557">
        <f t="shared" si="1"/>
        <v>25000</v>
      </c>
      <c r="F141" s="1810">
        <f>SUM(F17:F140)</f>
        <v>100000</v>
      </c>
      <c r="G141" s="1811">
        <f>SUM(G17:G140)</f>
        <v>1178955</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Normal="100" workbookViewId="0">
      <selection activeCell="B29" sqref="B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0" t="s">
        <v>1177</v>
      </c>
      <c r="B1" s="1651"/>
      <c r="C1" s="1652"/>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11" t="s">
        <v>1778</v>
      </c>
      <c r="B5" s="2312"/>
      <c r="C5" s="2312"/>
      <c r="D5" s="2312"/>
      <c r="E5" s="2312"/>
      <c r="F5" s="2312"/>
      <c r="G5" s="2313"/>
      <c r="H5" s="252"/>
      <c r="I5" s="610"/>
    </row>
    <row r="6" spans="1:9" s="668" customFormat="1" x14ac:dyDescent="0.2">
      <c r="A6" s="1653"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2074</v>
      </c>
      <c r="B10" s="971"/>
      <c r="C10" s="976"/>
      <c r="D10" s="972"/>
      <c r="E10" s="973">
        <v>318739</v>
      </c>
      <c r="F10" s="974"/>
      <c r="G10" s="975"/>
      <c r="H10" s="162"/>
      <c r="I10" s="162"/>
    </row>
    <row r="11" spans="1:9" s="668" customFormat="1" ht="22.5" customHeight="1" x14ac:dyDescent="0.2">
      <c r="A11" s="2316" t="s">
        <v>1943</v>
      </c>
      <c r="B11" s="2317"/>
      <c r="C11" s="2317"/>
      <c r="D11" s="2318"/>
      <c r="E11" s="977">
        <v>31156</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4" t="s">
        <v>553</v>
      </c>
      <c r="E17" s="1655"/>
      <c r="F17" s="1654" t="s">
        <v>453</v>
      </c>
      <c r="G17" s="1656"/>
      <c r="H17" s="162"/>
      <c r="I17" s="162"/>
    </row>
    <row r="18" spans="1:9" s="259" customFormat="1" ht="11.25" x14ac:dyDescent="0.2">
      <c r="A18" s="988"/>
      <c r="C18" s="989" t="s">
        <v>454</v>
      </c>
      <c r="D18" s="1657" t="s">
        <v>455</v>
      </c>
      <c r="E18" s="1657" t="s">
        <v>55</v>
      </c>
      <c r="F18" s="1657" t="s">
        <v>455</v>
      </c>
      <c r="G18" s="1657" t="s">
        <v>55</v>
      </c>
      <c r="H18" s="178"/>
      <c r="I18" s="178"/>
    </row>
    <row r="19" spans="1:9" s="668" customFormat="1" ht="12" customHeight="1" x14ac:dyDescent="0.2">
      <c r="A19" s="990" t="s">
        <v>476</v>
      </c>
      <c r="B19" s="991"/>
      <c r="C19" s="992" t="s">
        <v>591</v>
      </c>
      <c r="D19" s="1815"/>
      <c r="E19" s="1816">
        <f>'Expenditures 15-22'!K33-SUM('Expenditures 15-22'!G33,'Expenditures 15-22'!I33)+'Expenditures 15-22'!D229</f>
        <v>6750643</v>
      </c>
      <c r="F19" s="1815"/>
      <c r="G19" s="1817">
        <f>'Expenditures 15-22'!K33-SUM('Expenditures 15-22'!G33,'Expenditures 15-22'!I33)+'Expenditures 15-22'!D229</f>
        <v>6750643</v>
      </c>
      <c r="H19" s="987"/>
      <c r="I19" s="162"/>
    </row>
    <row r="20" spans="1:9" s="668" customFormat="1" ht="12" customHeight="1" x14ac:dyDescent="0.2">
      <c r="A20" s="990" t="s">
        <v>56</v>
      </c>
      <c r="B20" s="991"/>
      <c r="C20" s="993"/>
      <c r="D20" s="1818"/>
      <c r="E20" s="1818"/>
      <c r="F20" s="1818"/>
      <c r="G20" s="1819"/>
      <c r="H20" s="987"/>
      <c r="I20" s="162"/>
    </row>
    <row r="21" spans="1:9" s="668" customFormat="1" ht="12" customHeight="1" x14ac:dyDescent="0.2">
      <c r="A21" s="994" t="s">
        <v>421</v>
      </c>
      <c r="B21" s="995"/>
      <c r="C21" s="993">
        <v>2100</v>
      </c>
      <c r="D21" s="1818"/>
      <c r="E21" s="1820">
        <f>'Expenditures 15-22'!K42-SUM('Expenditures 15-22'!G42,'Expenditures 15-22'!I42)+'Expenditures 15-22'!K120-SUM('Expenditures 15-22'!G120,'Expenditures 15-22'!I120)+'Expenditures 15-22'!K180-SUM('Expenditures 15-22'!G180,'Expenditures 15-22'!I180)+'Expenditures 15-22'!D238</f>
        <v>317005</v>
      </c>
      <c r="F21" s="1818"/>
      <c r="G21" s="1821">
        <f>'Expenditures 15-22'!K42-SUM('Expenditures 15-22'!G42,'Expenditures 15-22'!I42)+'Expenditures 15-22'!K120-SUM('Expenditures 15-22'!G120,'Expenditures 15-22'!I120)+'Expenditures 15-22'!K180-SUM('Expenditures 15-22'!G180,'Expenditures 15-22'!I180)+'Expenditures 15-22'!D238</f>
        <v>317005</v>
      </c>
      <c r="H21" s="987"/>
      <c r="I21" s="162"/>
    </row>
    <row r="22" spans="1:9" s="668" customFormat="1" ht="12" customHeight="1" x14ac:dyDescent="0.2">
      <c r="A22" s="994" t="s">
        <v>585</v>
      </c>
      <c r="B22" s="995"/>
      <c r="C22" s="993">
        <v>2200</v>
      </c>
      <c r="D22" s="1818"/>
      <c r="E22" s="1820">
        <f>'Expenditures 15-22'!K47-SUM('Expenditures 15-22'!G47,'Expenditures 15-22'!I47)+'Expenditures 15-22'!D243</f>
        <v>261114</v>
      </c>
      <c r="F22" s="1818"/>
      <c r="G22" s="1821">
        <f>'Expenditures 15-22'!K47-SUM('Expenditures 15-22'!G47,'Expenditures 15-22'!I47)+'Expenditures 15-22'!D243</f>
        <v>261114</v>
      </c>
      <c r="H22" s="987"/>
      <c r="I22" s="162"/>
    </row>
    <row r="23" spans="1:9" s="668" customFormat="1" ht="12" customHeight="1" x14ac:dyDescent="0.2">
      <c r="A23" s="994" t="s">
        <v>586</v>
      </c>
      <c r="B23" s="995"/>
      <c r="C23" s="993">
        <v>2300</v>
      </c>
      <c r="D23" s="1818"/>
      <c r="E23" s="1820">
        <f>'Expenditures 15-22'!K53-SUM('Expenditures 15-22'!G53,'Expenditures 15-22'!I53)+'Expenditures 15-22'!D257+'Expenditures 15-22'!K330-SUM('Expenditures 15-22'!G330,'Expenditures 15-22'!I330)</f>
        <v>537159</v>
      </c>
      <c r="F23" s="1818"/>
      <c r="G23" s="1820">
        <f>'Expenditures 15-22'!K53-SUM('Expenditures 15-22'!G53,'Expenditures 15-22'!I53)+'Expenditures 15-22'!D257+'Expenditures 15-22'!K330-SUM('Expenditures 15-22'!G330,'Expenditures 15-22'!I330)</f>
        <v>537159</v>
      </c>
      <c r="H23" s="987"/>
      <c r="I23" s="162"/>
    </row>
    <row r="24" spans="1:9" s="668" customFormat="1" ht="12" customHeight="1" x14ac:dyDescent="0.2">
      <c r="A24" s="994" t="s">
        <v>587</v>
      </c>
      <c r="B24" s="995"/>
      <c r="C24" s="993">
        <v>2400</v>
      </c>
      <c r="D24" s="1818"/>
      <c r="E24" s="1820">
        <f>'Expenditures 15-22'!K57-SUM('Expenditures 15-22'!G57,'Expenditures 15-22'!I57)+'Expenditures 15-22'!D261</f>
        <v>734265</v>
      </c>
      <c r="F24" s="1818"/>
      <c r="G24" s="1821">
        <f>'Expenditures 15-22'!K57-SUM('Expenditures 15-22'!G57,'Expenditures 15-22'!I57)+'Expenditures 15-22'!D261</f>
        <v>734265</v>
      </c>
      <c r="H24" s="987"/>
      <c r="I24" s="162"/>
    </row>
    <row r="25" spans="1:9" s="668" customFormat="1" ht="12" customHeight="1" x14ac:dyDescent="0.2">
      <c r="A25" s="990" t="s">
        <v>588</v>
      </c>
      <c r="B25" s="996"/>
      <c r="C25" s="993"/>
      <c r="D25" s="1818"/>
      <c r="E25" s="1820"/>
      <c r="F25" s="1818"/>
      <c r="G25" s="1821"/>
      <c r="H25" s="987"/>
      <c r="I25" s="162"/>
    </row>
    <row r="26" spans="1:9" s="668" customFormat="1" ht="12" customHeight="1" x14ac:dyDescent="0.2">
      <c r="A26" s="994" t="s">
        <v>536</v>
      </c>
      <c r="B26" s="997"/>
      <c r="C26" s="993">
        <v>2510</v>
      </c>
      <c r="D26" s="1820">
        <f>'Expenditures 15-22'!K59-SUM('Expenditures 15-22'!G59,'Expenditures 15-22'!I59)+'Expenditures 15-22'!D263-E7</f>
        <v>69817</v>
      </c>
      <c r="E26" s="1820">
        <f>'Expenditures 15-22'!K122-SUM('Expenditures 15-22'!G122,'Expenditures 15-22'!I122)+E7</f>
        <v>0</v>
      </c>
      <c r="F26" s="1820">
        <f>'Expenditures 15-22'!K59-SUM('Expenditures 15-22'!G59,'Expenditures 15-22'!I59)+'Expenditures 15-22'!D263-E7</f>
        <v>69817</v>
      </c>
      <c r="G26" s="1821">
        <f>'Expenditures 15-22'!K122-SUM('Expenditures 15-22'!G122,'Expenditures 15-22'!I122)+E7</f>
        <v>0</v>
      </c>
      <c r="H26" s="987"/>
      <c r="I26" s="162"/>
    </row>
    <row r="27" spans="1:9" s="668" customFormat="1" ht="12" customHeight="1" x14ac:dyDescent="0.2">
      <c r="A27" s="994" t="s">
        <v>483</v>
      </c>
      <c r="B27" s="997"/>
      <c r="C27" s="993">
        <v>2520</v>
      </c>
      <c r="D27" s="1820">
        <f>'Expenditures 15-22'!K60-SUM('Expenditures 15-22'!G60,'Expenditures 15-22'!I60)+'Expenditures 15-22'!D264-E8</f>
        <v>147246</v>
      </c>
      <c r="E27" s="1820">
        <f>E8</f>
        <v>0</v>
      </c>
      <c r="F27" s="1820">
        <f>'Expenditures 15-22'!K60-SUM('Expenditures 15-22'!G60,'Expenditures 15-22'!I60)+'Expenditures 15-22'!D264-E8</f>
        <v>147246</v>
      </c>
      <c r="G27" s="1821">
        <f>E8</f>
        <v>0</v>
      </c>
      <c r="H27" s="987"/>
      <c r="I27" s="162"/>
    </row>
    <row r="28" spans="1:9" s="668" customFormat="1" ht="12" customHeight="1" x14ac:dyDescent="0.2">
      <c r="A28" s="994" t="s">
        <v>537</v>
      </c>
      <c r="B28" s="997"/>
      <c r="C28" s="993">
        <v>2540</v>
      </c>
      <c r="D28" s="1822"/>
      <c r="E28" s="1820">
        <f>'Expenditures 15-22'!K61-SUM('Expenditures 15-22'!G61,'Expenditures 15-22'!I61)+'Expenditures 15-22'!K124-SUM('Expenditures 15-22'!G124,'Expenditures 15-22'!I124)+'Expenditures 15-22'!D266</f>
        <v>1027695</v>
      </c>
      <c r="F28" s="1822">
        <f>'Expenditures 15-22'!K61-SUM('Expenditures 15-22'!G61,'Expenditures 15-22'!I61)+'Expenditures 15-22'!K124-SUM('Expenditures 15-22'!G124,'Expenditures 15-22'!I124)+'Expenditures 15-22'!D266-E9</f>
        <v>1027695</v>
      </c>
      <c r="G28" s="1821">
        <f>E9</f>
        <v>0</v>
      </c>
      <c r="H28" s="987"/>
      <c r="I28" s="162"/>
    </row>
    <row r="29" spans="1:9" ht="12" customHeight="1" x14ac:dyDescent="0.2">
      <c r="A29" s="994" t="s">
        <v>538</v>
      </c>
      <c r="B29" s="997"/>
      <c r="C29" s="993">
        <v>2550</v>
      </c>
      <c r="D29" s="1818"/>
      <c r="E29" s="1820">
        <f>'Expenditures 15-22'!K62-SUM('Expenditures 15-22'!G62,'Expenditures 15-22'!I62)+'Expenditures 15-22'!K125-SUM('Expenditures 15-22'!G125,'Expenditures 15-22'!I125)+'Expenditures 15-22'!K182-SUM('Expenditures 15-22'!G182,'Expenditures 15-22'!I182)+'Expenditures 15-22'!D267</f>
        <v>1008385</v>
      </c>
      <c r="F29" s="1818"/>
      <c r="G29" s="1821">
        <f>'Expenditures 15-22'!K62-SUM('Expenditures 15-22'!G62,'Expenditures 15-22'!I62)+'Expenditures 15-22'!K125-SUM('Expenditures 15-22'!G125,'Expenditures 15-22'!I125)+'Expenditures 15-22'!K182-SUM('Expenditures 15-22'!G182,'Expenditures 15-22'!I182)+'Expenditures 15-22'!D267</f>
        <v>1008385</v>
      </c>
      <c r="H29" s="985"/>
    </row>
    <row r="30" spans="1:9" ht="12" customHeight="1" x14ac:dyDescent="0.2">
      <c r="A30" s="994" t="s">
        <v>102</v>
      </c>
      <c r="B30" s="997"/>
      <c r="C30" s="993">
        <v>2560</v>
      </c>
      <c r="D30" s="1818"/>
      <c r="E30" s="1820">
        <f>'Expenditures 15-22'!K63-SUM('Expenditures 15-22'!G63,'Expenditures 15-22'!I63)+'Expenditures 15-22'!D268-E10</f>
        <v>238675</v>
      </c>
      <c r="F30" s="1818"/>
      <c r="G30" s="1820">
        <f>'Expenditures 15-22'!K63-SUM('Expenditures 15-22'!G63,'Expenditures 15-22'!I63)+'Expenditures 15-22'!D268-E10</f>
        <v>238675</v>
      </c>
    </row>
    <row r="31" spans="1:9" ht="12" customHeight="1" x14ac:dyDescent="0.2">
      <c r="A31" s="994" t="s">
        <v>103</v>
      </c>
      <c r="B31" s="997"/>
      <c r="C31" s="993">
        <v>2570</v>
      </c>
      <c r="D31" s="1820">
        <f>'Expenditures 15-22'!K64-SUM('Expenditures 15-22'!G64,'Expenditures 15-22'!I64)+'Expenditures 15-22'!D269-E12</f>
        <v>0</v>
      </c>
      <c r="E31" s="1820">
        <f>E12</f>
        <v>0</v>
      </c>
      <c r="F31" s="1820">
        <f>'Expenditures 15-22'!K64-SUM('Expenditures 15-22'!G64,'Expenditures 15-22'!I64)+'Expenditures 15-22'!D269-E12</f>
        <v>0</v>
      </c>
      <c r="G31" s="1820">
        <f>E12</f>
        <v>0</v>
      </c>
    </row>
    <row r="32" spans="1:9" ht="12" customHeight="1" x14ac:dyDescent="0.2">
      <c r="A32" s="990" t="s">
        <v>539</v>
      </c>
      <c r="B32" s="996"/>
      <c r="C32" s="993"/>
      <c r="D32" s="1818"/>
      <c r="E32" s="1818"/>
      <c r="F32" s="1818"/>
      <c r="G32" s="1818"/>
    </row>
    <row r="33" spans="1:7" ht="12" customHeight="1" x14ac:dyDescent="0.2">
      <c r="A33" s="994" t="s">
        <v>540</v>
      </c>
      <c r="B33" s="997"/>
      <c r="C33" s="993">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94" t="s">
        <v>541</v>
      </c>
      <c r="B34" s="997"/>
      <c r="C34" s="993">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94" t="s">
        <v>1121</v>
      </c>
      <c r="B35" s="997"/>
      <c r="C35" s="993">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94" t="s">
        <v>423</v>
      </c>
      <c r="B36" s="997"/>
      <c r="C36" s="993">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94" t="s">
        <v>424</v>
      </c>
      <c r="B37" s="997"/>
      <c r="C37" s="993">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90" t="s">
        <v>542</v>
      </c>
      <c r="B38" s="991"/>
      <c r="C38" s="993">
        <v>2900</v>
      </c>
      <c r="D38" s="1818"/>
      <c r="E38" s="1820">
        <f>'Expenditures 15-22'!K73-SUM('Expenditures 15-22'!G73,'Expenditures 15-22'!I73)+'Expenditures 15-22'!K128-SUM('Expenditures 15-22'!G128,'Expenditures 15-22'!I128)+'Expenditures 15-22'!K183-SUM('Expenditures 15-22'!G183,'Expenditures 15-22'!I183)+'Expenditures 15-22'!D278</f>
        <v>0</v>
      </c>
      <c r="F38" s="1818"/>
      <c r="G38" s="182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18"/>
      <c r="E39" s="1820">
        <f>'Expenditures 15-22'!K75-SUM('Expenditures 15-22'!G75,'Expenditures 15-22'!I75)+'Expenditures 15-22'!K130-SUM('Expenditures 15-22'!G130,'Expenditures 15-22'!I130)+'Expenditures 15-22'!K185-SUM('Expenditures 15-22'!G185,'Expenditures 15-22'!I185)+'Expenditures 15-22'!D280</f>
        <v>7329</v>
      </c>
      <c r="F39" s="1818"/>
      <c r="G39" s="1820">
        <f>'Expenditures 15-22'!K75-SUM('Expenditures 15-22'!G75,'Expenditures 15-22'!I75)+'Expenditures 15-22'!K130-SUM('Expenditures 15-22'!G130,'Expenditures 15-22'!I130)+'Expenditures 15-22'!K185-SUM('Expenditures 15-22'!G185,'Expenditures 15-22'!I185)+'Expenditures 15-22'!D280</f>
        <v>7329</v>
      </c>
    </row>
    <row r="40" spans="1:7" ht="12" customHeight="1" x14ac:dyDescent="0.2">
      <c r="A40" s="990" t="s">
        <v>1928</v>
      </c>
      <c r="B40" s="991"/>
      <c r="C40" s="993"/>
      <c r="D40" s="1818"/>
      <c r="E40" s="1822">
        <f>-'Contracts Paid in CY 29'!G141</f>
        <v>-1178955</v>
      </c>
      <c r="F40" s="1818"/>
      <c r="G40" s="1822">
        <f>-'Contracts Paid in CY 29'!G141</f>
        <v>-1178955</v>
      </c>
    </row>
    <row r="41" spans="1:7" ht="12" customHeight="1" x14ac:dyDescent="0.2">
      <c r="A41" s="998" t="s">
        <v>158</v>
      </c>
      <c r="B41" s="999"/>
      <c r="C41" s="1000"/>
      <c r="D41" s="1822">
        <f>SUM(D19:D39)</f>
        <v>217063</v>
      </c>
      <c r="E41" s="1822">
        <f>SUM(E19:E40)</f>
        <v>9703315</v>
      </c>
      <c r="F41" s="1822">
        <f>SUM(F19:F39)</f>
        <v>1244758</v>
      </c>
      <c r="G41" s="1822">
        <f>SUM(G19:G40)</f>
        <v>8675620</v>
      </c>
    </row>
    <row r="42" spans="1:7" x14ac:dyDescent="0.2">
      <c r="A42" s="987"/>
      <c r="B42" s="162"/>
      <c r="C42" s="1001"/>
      <c r="D42" s="2314" t="s">
        <v>543</v>
      </c>
      <c r="E42" s="2315"/>
      <c r="F42" s="1002" t="s">
        <v>544</v>
      </c>
      <c r="G42" s="1003"/>
    </row>
    <row r="43" spans="1:7" ht="12" customHeight="1" x14ac:dyDescent="0.2">
      <c r="A43" s="987"/>
      <c r="B43" s="162"/>
      <c r="C43" s="1001"/>
      <c r="D43" s="1823" t="s">
        <v>493</v>
      </c>
      <c r="E43" s="1824">
        <f>D41</f>
        <v>217063</v>
      </c>
      <c r="F43" s="1823" t="s">
        <v>495</v>
      </c>
      <c r="G43" s="1824">
        <f>F41</f>
        <v>1244758</v>
      </c>
    </row>
    <row r="44" spans="1:7" ht="12" customHeight="1" x14ac:dyDescent="0.2">
      <c r="A44" s="987"/>
      <c r="B44" s="162"/>
      <c r="C44" s="1001"/>
      <c r="D44" s="1823" t="s">
        <v>494</v>
      </c>
      <c r="E44" s="1824">
        <f>E41</f>
        <v>9703315</v>
      </c>
      <c r="F44" s="1823" t="s">
        <v>494</v>
      </c>
      <c r="G44" s="1824">
        <f>G41</f>
        <v>8675620</v>
      </c>
    </row>
    <row r="45" spans="1:7" ht="12" customHeight="1" x14ac:dyDescent="0.2">
      <c r="A45" s="987"/>
      <c r="B45" s="162"/>
      <c r="C45" s="162"/>
      <c r="D45" s="1825" t="s">
        <v>1063</v>
      </c>
      <c r="E45" s="1826">
        <f>(E43/E44)</f>
        <v>2.2369983866338462E-2</v>
      </c>
      <c r="F45" s="1825" t="s">
        <v>1063</v>
      </c>
      <c r="G45" s="1826">
        <f>(G43/G44)</f>
        <v>0.14347769957651441</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7" activePane="bottomLeft" state="frozen"/>
      <selection activeCell="B29" sqref="B29"/>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33" t="s">
        <v>1446</v>
      </c>
      <c r="B1" s="2333"/>
      <c r="C1" s="2333"/>
      <c r="D1" s="2333"/>
      <c r="E1" s="2333"/>
      <c r="F1" s="2333"/>
    </row>
    <row r="2" spans="1:10" x14ac:dyDescent="0.2">
      <c r="A2" s="1905" t="s">
        <v>2046</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34" t="s">
        <v>1627</v>
      </c>
      <c r="B5" s="2335"/>
      <c r="C5" s="2336"/>
      <c r="D5" s="2336"/>
      <c r="E5" s="2336"/>
      <c r="F5" s="2336"/>
    </row>
    <row r="6" spans="1:10" ht="12" customHeight="1" x14ac:dyDescent="0.25">
      <c r="A6" s="1868"/>
      <c r="B6" s="1869"/>
      <c r="C6" s="2337" t="str">
        <f>COVER!A17</f>
        <v>Arthur CUSD 305</v>
      </c>
      <c r="D6" s="2337"/>
      <c r="E6" s="2337"/>
      <c r="F6" s="1870"/>
    </row>
    <row r="7" spans="1:10" ht="11.25" customHeight="1" thickBot="1" x14ac:dyDescent="0.3">
      <c r="A7" s="1868"/>
      <c r="B7" s="1869"/>
      <c r="C7" s="2338">
        <f>COVER!A13</f>
        <v>11021305026</v>
      </c>
      <c r="D7" s="2338"/>
      <c r="E7" s="2338"/>
      <c r="F7" s="1870"/>
    </row>
    <row r="8" spans="1:10" ht="25.5" customHeight="1" thickBot="1" x14ac:dyDescent="0.25">
      <c r="A8" s="1911" t="s">
        <v>2023</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t="s">
        <v>2108</v>
      </c>
      <c r="D15" s="1883" t="s">
        <v>2108</v>
      </c>
      <c r="E15" s="1886" t="s">
        <v>2108</v>
      </c>
      <c r="F15" s="1885" t="s">
        <v>2109</v>
      </c>
      <c r="H15" s="1896">
        <f t="shared" si="0"/>
        <v>5</v>
      </c>
      <c r="I15" s="1896">
        <f t="shared" si="1"/>
        <v>5</v>
      </c>
      <c r="J15" s="1896">
        <f t="shared" si="2"/>
        <v>5</v>
      </c>
    </row>
    <row r="16" spans="1:10" ht="12" customHeight="1" x14ac:dyDescent="0.2">
      <c r="A16" s="1881" t="s">
        <v>1455</v>
      </c>
      <c r="B16" s="1882"/>
      <c r="C16" s="1883" t="s">
        <v>2108</v>
      </c>
      <c r="D16" s="1883" t="s">
        <v>2108</v>
      </c>
      <c r="E16" s="1886" t="s">
        <v>2108</v>
      </c>
      <c r="F16" s="1885" t="s">
        <v>2107</v>
      </c>
      <c r="H16" s="1896">
        <f t="shared" si="0"/>
        <v>5</v>
      </c>
      <c r="I16" s="1896">
        <f t="shared" si="1"/>
        <v>5</v>
      </c>
      <c r="J16" s="1896">
        <f t="shared" si="2"/>
        <v>5</v>
      </c>
    </row>
    <row r="17" spans="1:12" ht="12" customHeight="1" x14ac:dyDescent="0.2">
      <c r="A17" s="1881" t="s">
        <v>1456</v>
      </c>
      <c r="B17" s="1882"/>
      <c r="C17" s="1883"/>
      <c r="D17" s="1883"/>
      <c r="E17" s="1886"/>
      <c r="F17" s="1885"/>
      <c r="H17" s="1896">
        <f t="shared" si="0"/>
        <v>0</v>
      </c>
      <c r="I17" s="1896">
        <f t="shared" si="1"/>
        <v>0</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t="s">
        <v>2108</v>
      </c>
      <c r="D19" s="1883" t="s">
        <v>2108</v>
      </c>
      <c r="E19" s="1886" t="s">
        <v>2108</v>
      </c>
      <c r="F19" s="1885" t="s">
        <v>2110</v>
      </c>
      <c r="H19" s="1896">
        <f t="shared" si="0"/>
        <v>5</v>
      </c>
      <c r="I19" s="1896">
        <f t="shared" si="1"/>
        <v>5</v>
      </c>
      <c r="J19" s="1896">
        <f t="shared" si="2"/>
        <v>5</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t="s">
        <v>2108</v>
      </c>
      <c r="D21" s="1883" t="s">
        <v>2108</v>
      </c>
      <c r="E21" s="1886" t="s">
        <v>2108</v>
      </c>
      <c r="F21" s="1885" t="s">
        <v>2111</v>
      </c>
      <c r="H21" s="1896">
        <f t="shared" si="0"/>
        <v>5</v>
      </c>
      <c r="I21" s="1896">
        <f t="shared" si="1"/>
        <v>5</v>
      </c>
      <c r="J21" s="1896">
        <f t="shared" si="2"/>
        <v>5</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c r="D23" s="1883"/>
      <c r="E23" s="1886"/>
      <c r="F23" s="1885"/>
      <c r="H23" s="1896">
        <f t="shared" si="0"/>
        <v>0</v>
      </c>
      <c r="I23" s="1896">
        <f t="shared" si="1"/>
        <v>0</v>
      </c>
      <c r="J23" s="1896">
        <f t="shared" si="2"/>
        <v>0</v>
      </c>
    </row>
    <row r="24" spans="1:12" ht="12" customHeight="1" x14ac:dyDescent="0.2">
      <c r="A24" s="1881" t="s">
        <v>1613</v>
      </c>
      <c r="B24" s="1882"/>
      <c r="C24" s="1883"/>
      <c r="D24" s="1883"/>
      <c r="E24" s="1886"/>
      <c r="F24" s="1885"/>
      <c r="H24" s="1896">
        <f t="shared" si="0"/>
        <v>0</v>
      </c>
      <c r="I24" s="1896">
        <f t="shared" si="1"/>
        <v>0</v>
      </c>
      <c r="J24" s="1896">
        <f t="shared" si="2"/>
        <v>0</v>
      </c>
    </row>
    <row r="25" spans="1:12" ht="12" customHeight="1" x14ac:dyDescent="0.2">
      <c r="A25" s="1881" t="s">
        <v>1614</v>
      </c>
      <c r="B25" s="1882"/>
      <c r="C25" s="1883"/>
      <c r="D25" s="1883"/>
      <c r="E25" s="1886"/>
      <c r="F25" s="1885"/>
      <c r="H25" s="1896">
        <f t="shared" si="0"/>
        <v>0</v>
      </c>
      <c r="I25" s="1896">
        <f t="shared" si="1"/>
        <v>0</v>
      </c>
      <c r="J25" s="1896">
        <f t="shared" si="2"/>
        <v>0</v>
      </c>
    </row>
    <row r="26" spans="1:12" ht="12" customHeight="1" x14ac:dyDescent="0.2">
      <c r="A26" s="1881" t="s">
        <v>1615</v>
      </c>
      <c r="B26" s="1882"/>
      <c r="C26" s="1883" t="s">
        <v>2108</v>
      </c>
      <c r="D26" s="1883" t="s">
        <v>2108</v>
      </c>
      <c r="E26" s="1886" t="s">
        <v>2108</v>
      </c>
      <c r="F26" s="1885" t="s">
        <v>2112</v>
      </c>
      <c r="H26" s="1896">
        <f t="shared" si="0"/>
        <v>5</v>
      </c>
      <c r="I26" s="1896">
        <f t="shared" si="1"/>
        <v>5</v>
      </c>
      <c r="J26" s="1896">
        <f t="shared" si="2"/>
        <v>5</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c r="D28" s="1883"/>
      <c r="E28" s="1886"/>
      <c r="F28" s="1885"/>
      <c r="H28" s="1896">
        <f t="shared" si="0"/>
        <v>0</v>
      </c>
      <c r="I28" s="1896">
        <f t="shared" si="1"/>
        <v>0</v>
      </c>
      <c r="J28" s="1896">
        <f t="shared" si="2"/>
        <v>0</v>
      </c>
    </row>
    <row r="29" spans="1:12" ht="12" customHeight="1" x14ac:dyDescent="0.2">
      <c r="A29" s="1881" t="s">
        <v>1618</v>
      </c>
      <c r="B29" s="1882"/>
      <c r="C29" s="1883" t="s">
        <v>2108</v>
      </c>
      <c r="D29" s="1883" t="s">
        <v>2108</v>
      </c>
      <c r="E29" s="1886" t="s">
        <v>2108</v>
      </c>
      <c r="F29" s="1885" t="s">
        <v>2113</v>
      </c>
      <c r="H29" s="1896">
        <f t="shared" si="0"/>
        <v>5</v>
      </c>
      <c r="I29" s="1896">
        <f t="shared" si="1"/>
        <v>5</v>
      </c>
      <c r="J29" s="1896">
        <f t="shared" si="2"/>
        <v>5</v>
      </c>
    </row>
    <row r="30" spans="1:12" ht="12" customHeight="1" x14ac:dyDescent="0.2">
      <c r="A30" s="1881" t="s">
        <v>1619</v>
      </c>
      <c r="B30" s="1882"/>
      <c r="C30" s="1883" t="s">
        <v>2108</v>
      </c>
      <c r="D30" s="1883" t="s">
        <v>2108</v>
      </c>
      <c r="E30" s="1886" t="s">
        <v>2108</v>
      </c>
      <c r="F30" s="1885" t="s">
        <v>2104</v>
      </c>
      <c r="H30" s="1896">
        <f t="shared" si="0"/>
        <v>5</v>
      </c>
      <c r="I30" s="1896">
        <f t="shared" si="1"/>
        <v>5</v>
      </c>
      <c r="J30" s="1896">
        <f t="shared" si="2"/>
        <v>5</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35</v>
      </c>
      <c r="I34" s="1896">
        <f>SUM(I11:I32)</f>
        <v>35</v>
      </c>
      <c r="J34" s="1896">
        <f>SUM(J11:J32)</f>
        <v>35</v>
      </c>
      <c r="K34" s="1896">
        <f>SUM(H34:J34)</f>
        <v>105</v>
      </c>
    </row>
    <row r="35" spans="1:11" ht="12" customHeight="1" x14ac:dyDescent="0.2">
      <c r="A35" s="1889" t="s">
        <v>1459</v>
      </c>
      <c r="B35" s="1890"/>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1"/>
      <c r="B39" s="1891"/>
      <c r="C39" s="1891"/>
      <c r="D39" s="1891"/>
      <c r="E39" s="1891"/>
      <c r="F39" s="1891"/>
    </row>
    <row r="40" spans="1:11" s="1888" customFormat="1" ht="12" customHeight="1" x14ac:dyDescent="0.25">
      <c r="A40" s="1892" t="s">
        <v>1458</v>
      </c>
      <c r="B40" s="1893"/>
      <c r="C40" s="2328"/>
      <c r="D40" s="2328"/>
      <c r="E40" s="2328"/>
      <c r="F40" s="2329"/>
      <c r="H40" s="1897"/>
      <c r="I40" s="1897"/>
      <c r="J40" s="1897"/>
      <c r="K40" s="1897"/>
    </row>
    <row r="41" spans="1:11" s="1888" customFormat="1" ht="12" customHeight="1" x14ac:dyDescent="0.25">
      <c r="A41" s="2330"/>
      <c r="B41" s="2331"/>
      <c r="C41" s="2331"/>
      <c r="D41" s="2331"/>
      <c r="E41" s="2331"/>
      <c r="F41" s="2332"/>
      <c r="H41" s="1897"/>
      <c r="I41" s="1897"/>
      <c r="J41" s="1897"/>
      <c r="K41" s="1897"/>
    </row>
    <row r="42" spans="1:11" s="1888" customFormat="1" ht="12" customHeight="1" x14ac:dyDescent="0.25">
      <c r="A42" s="2330"/>
      <c r="B42" s="2331"/>
      <c r="C42" s="2331"/>
      <c r="D42" s="2331"/>
      <c r="E42" s="2331"/>
      <c r="F42" s="2332"/>
      <c r="H42" s="1897"/>
      <c r="I42" s="1897"/>
      <c r="J42" s="1897"/>
      <c r="K42" s="1897"/>
    </row>
    <row r="43" spans="1:11" s="1888" customFormat="1" ht="15" x14ac:dyDescent="0.25">
      <c r="A43" s="2319"/>
      <c r="B43" s="2320"/>
      <c r="C43" s="2320"/>
      <c r="D43" s="2320"/>
      <c r="E43" s="2320"/>
      <c r="F43" s="2321"/>
      <c r="H43" s="1897"/>
      <c r="I43" s="1897"/>
      <c r="J43" s="1897"/>
      <c r="K43" s="1897"/>
    </row>
    <row r="44" spans="1:11" s="1888" customFormat="1" ht="12" hidden="1" customHeight="1" x14ac:dyDescent="0.25">
      <c r="A44" s="2319"/>
      <c r="B44" s="2320"/>
      <c r="C44" s="2320"/>
      <c r="D44" s="2320"/>
      <c r="E44" s="2320"/>
      <c r="F44" s="2321"/>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B29" sqref="B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2" t="s">
        <v>693</v>
      </c>
      <c r="B6" s="1658"/>
      <c r="C6" s="1658"/>
      <c r="D6" s="1658"/>
      <c r="E6" s="1659"/>
      <c r="F6" s="1015"/>
      <c r="G6" s="1009"/>
      <c r="H6" s="1016" t="s">
        <v>1086</v>
      </c>
      <c r="I6" s="2346" t="str">
        <f>COVER!A17</f>
        <v>Arthur CUSD 305</v>
      </c>
      <c r="J6" s="2347"/>
      <c r="Q6" s="1679"/>
    </row>
    <row r="7" spans="1:17" x14ac:dyDescent="0.2">
      <c r="A7" s="2348" t="s">
        <v>924</v>
      </c>
      <c r="B7" s="2349"/>
      <c r="C7" s="2349"/>
      <c r="D7" s="2349"/>
      <c r="E7" s="2350"/>
      <c r="F7" s="1017"/>
      <c r="G7" s="1009"/>
      <c r="H7" s="1016" t="s">
        <v>390</v>
      </c>
      <c r="I7" s="2351">
        <f>COVER!A13</f>
        <v>11021305026</v>
      </c>
      <c r="J7" s="2351"/>
    </row>
    <row r="8" spans="1:17" ht="8.25" customHeight="1" x14ac:dyDescent="0.2">
      <c r="A8" s="1660"/>
      <c r="B8" s="1661"/>
      <c r="C8" s="1661"/>
      <c r="D8" s="1661"/>
      <c r="E8" s="1662"/>
      <c r="F8" s="1018"/>
      <c r="G8" s="1019"/>
      <c r="H8" s="1019"/>
      <c r="I8" s="1019"/>
      <c r="J8" s="1019"/>
    </row>
    <row r="9" spans="1:17" ht="13.5" customHeight="1" x14ac:dyDescent="0.2">
      <c r="A9" s="1020"/>
      <c r="B9" s="1021"/>
      <c r="C9" s="1021"/>
      <c r="D9" s="1022"/>
      <c r="E9" s="1913" t="s">
        <v>1701</v>
      </c>
      <c r="F9" s="1023"/>
      <c r="G9" s="1023"/>
      <c r="H9" s="1914"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52" t="s">
        <v>502</v>
      </c>
      <c r="B11" s="2353"/>
      <c r="C11" s="2354"/>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7">
        <f>'Expenditures 15-22'!K50</f>
        <v>133778</v>
      </c>
      <c r="F12" s="1039"/>
      <c r="G12" s="1827">
        <f t="shared" ref="G12:G18" si="0">SUM(E12:F12)</f>
        <v>133778</v>
      </c>
      <c r="H12" s="1040">
        <v>188576</v>
      </c>
      <c r="I12" s="1039"/>
      <c r="J12" s="1827">
        <f t="shared" ref="J12:J18" si="1">SUM(H12:I12)</f>
        <v>188576</v>
      </c>
    </row>
    <row r="13" spans="1:17" ht="15" customHeight="1" x14ac:dyDescent="0.2">
      <c r="A13" s="1035">
        <v>2</v>
      </c>
      <c r="B13" s="1036" t="s">
        <v>44</v>
      </c>
      <c r="C13" s="1037"/>
      <c r="D13" s="1038">
        <v>2330</v>
      </c>
      <c r="E13" s="1827">
        <f>'Expenditures 15-22'!K51</f>
        <v>0</v>
      </c>
      <c r="F13" s="1039"/>
      <c r="G13" s="1827">
        <f t="shared" si="0"/>
        <v>0</v>
      </c>
      <c r="H13" s="1040"/>
      <c r="I13" s="1039"/>
      <c r="J13" s="1827">
        <f t="shared" si="1"/>
        <v>0</v>
      </c>
    </row>
    <row r="14" spans="1:17" ht="15" customHeight="1" x14ac:dyDescent="0.2">
      <c r="A14" s="1035">
        <v>3</v>
      </c>
      <c r="B14" s="1036" t="s">
        <v>45</v>
      </c>
      <c r="C14" s="1037"/>
      <c r="D14" s="1041">
        <v>2490</v>
      </c>
      <c r="E14" s="1827">
        <f>'Expenditures 15-22'!K56</f>
        <v>0</v>
      </c>
      <c r="F14" s="1039"/>
      <c r="G14" s="1827">
        <f t="shared" si="0"/>
        <v>0</v>
      </c>
      <c r="H14" s="1040">
        <v>64480</v>
      </c>
      <c r="I14" s="1039"/>
      <c r="J14" s="1827">
        <f t="shared" si="1"/>
        <v>64480</v>
      </c>
    </row>
    <row r="15" spans="1:17" ht="15" customHeight="1" x14ac:dyDescent="0.2">
      <c r="A15" s="1035">
        <v>4</v>
      </c>
      <c r="B15" s="1036" t="s">
        <v>1128</v>
      </c>
      <c r="C15" s="1037"/>
      <c r="D15" s="1038">
        <v>2510</v>
      </c>
      <c r="E15" s="1827">
        <f>'Expenditures 15-22'!K59</f>
        <v>69817</v>
      </c>
      <c r="F15" s="1827">
        <f>'Expenditures 15-22'!K122</f>
        <v>0</v>
      </c>
      <c r="G15" s="1827">
        <f t="shared" si="0"/>
        <v>69817</v>
      </c>
      <c r="H15" s="1040"/>
      <c r="I15" s="1040"/>
      <c r="J15" s="1827">
        <f t="shared" si="1"/>
        <v>0</v>
      </c>
    </row>
    <row r="16" spans="1:17" ht="15" customHeight="1" x14ac:dyDescent="0.2">
      <c r="A16" s="1035">
        <v>5</v>
      </c>
      <c r="B16" s="1036" t="s">
        <v>103</v>
      </c>
      <c r="C16" s="1037"/>
      <c r="D16" s="1038">
        <v>2570</v>
      </c>
      <c r="E16" s="1827">
        <f>'Expenditures 15-22'!K64</f>
        <v>0</v>
      </c>
      <c r="F16" s="1039"/>
      <c r="G16" s="1827">
        <f t="shared" si="0"/>
        <v>0</v>
      </c>
      <c r="H16" s="1040"/>
      <c r="I16" s="1039"/>
      <c r="J16" s="1827">
        <f t="shared" si="1"/>
        <v>0</v>
      </c>
    </row>
    <row r="17" spans="1:10" ht="15" customHeight="1" x14ac:dyDescent="0.2">
      <c r="A17" s="1035">
        <v>6</v>
      </c>
      <c r="B17" s="1036" t="s">
        <v>1120</v>
      </c>
      <c r="C17" s="1037"/>
      <c r="D17" s="1038">
        <v>2610</v>
      </c>
      <c r="E17" s="1827">
        <f>'Expenditures 15-22'!K67</f>
        <v>0</v>
      </c>
      <c r="F17" s="1039"/>
      <c r="G17" s="1827">
        <f t="shared" si="0"/>
        <v>0</v>
      </c>
      <c r="H17" s="1040"/>
      <c r="I17" s="1039"/>
      <c r="J17" s="1827">
        <f t="shared" si="1"/>
        <v>0</v>
      </c>
    </row>
    <row r="18" spans="1:10" ht="22.5" customHeight="1" x14ac:dyDescent="0.2">
      <c r="A18" s="1042">
        <v>7</v>
      </c>
      <c r="B18" s="2355" t="s">
        <v>7</v>
      </c>
      <c r="C18" s="2356"/>
      <c r="D18" s="2357"/>
      <c r="E18" s="1043"/>
      <c r="F18" s="1043"/>
      <c r="G18" s="1828">
        <f t="shared" si="0"/>
        <v>0</v>
      </c>
      <c r="H18" s="1040"/>
      <c r="I18" s="1040"/>
      <c r="J18" s="1827">
        <f t="shared" si="1"/>
        <v>0</v>
      </c>
    </row>
    <row r="19" spans="1:10" ht="12.75" customHeight="1" thickBot="1" x14ac:dyDescent="0.25">
      <c r="A19" s="1035">
        <v>8</v>
      </c>
      <c r="B19" s="1044" t="s">
        <v>1223</v>
      </c>
      <c r="D19" s="1045"/>
      <c r="E19" s="1829">
        <f t="shared" ref="E19:J19" si="2">SUM(E12:E17)-E18</f>
        <v>203595</v>
      </c>
      <c r="F19" s="1829">
        <f t="shared" si="2"/>
        <v>0</v>
      </c>
      <c r="G19" s="1829">
        <f t="shared" si="2"/>
        <v>203595</v>
      </c>
      <c r="H19" s="1829">
        <f t="shared" si="2"/>
        <v>253056</v>
      </c>
      <c r="I19" s="1829">
        <f t="shared" si="2"/>
        <v>0</v>
      </c>
      <c r="J19" s="1829">
        <f t="shared" si="2"/>
        <v>253056</v>
      </c>
    </row>
    <row r="20" spans="1:10" ht="13.5" thickTop="1" x14ac:dyDescent="0.2">
      <c r="A20" s="1035">
        <v>9</v>
      </c>
      <c r="B20" s="2358" t="s">
        <v>1703</v>
      </c>
      <c r="C20" s="2358"/>
      <c r="D20" s="2359"/>
      <c r="E20" s="1046"/>
      <c r="F20" s="1046"/>
      <c r="G20" s="1046"/>
      <c r="H20" s="1046"/>
      <c r="I20" s="1046"/>
      <c r="J20" s="1830">
        <f>IF(AND(G19&gt;0,J19&gt;0),(((J19-G19)/G19)),"Enter Budget Data")</f>
        <v>0.24293818610476681</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64"/>
      <c r="D26" s="2364"/>
      <c r="E26" s="1050"/>
      <c r="F26" s="2363"/>
      <c r="G26" s="2363"/>
    </row>
    <row r="27" spans="1:10" x14ac:dyDescent="0.2">
      <c r="B27" s="1047"/>
      <c r="C27" s="1051" t="s">
        <v>1093</v>
      </c>
      <c r="D27" s="1052"/>
      <c r="E27" s="1053"/>
      <c r="F27" s="2360" t="s">
        <v>1589</v>
      </c>
      <c r="G27" s="2360"/>
    </row>
    <row r="28" spans="1:10" ht="28.5" customHeight="1" x14ac:dyDescent="0.2">
      <c r="B28" s="1047"/>
      <c r="C28" s="2362"/>
      <c r="D28" s="2362"/>
      <c r="E28" s="1054"/>
      <c r="F28" s="2362"/>
      <c r="G28" s="2362"/>
    </row>
    <row r="29" spans="1:10" x14ac:dyDescent="0.2">
      <c r="B29" s="1047"/>
      <c r="C29" s="1055" t="s">
        <v>1642</v>
      </c>
      <c r="E29" s="1056"/>
      <c r="F29" s="2361" t="s">
        <v>1590</v>
      </c>
      <c r="G29" s="2361"/>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2"/>
    </row>
    <row r="36" spans="1:10" ht="13.5" customHeight="1" x14ac:dyDescent="0.2">
      <c r="B36" s="1061"/>
      <c r="C36" s="2345" t="s">
        <v>1942</v>
      </c>
      <c r="D36" s="2344"/>
      <c r="E36" s="2344"/>
      <c r="F36" s="2344"/>
      <c r="G36" s="2344"/>
      <c r="H36" s="2344"/>
      <c r="I36" s="2344"/>
      <c r="J36" s="1063"/>
    </row>
    <row r="37" spans="1:10" ht="22.5" customHeight="1" x14ac:dyDescent="0.2">
      <c r="C37" s="2344"/>
      <c r="D37" s="2344"/>
      <c r="E37" s="2344"/>
      <c r="F37" s="2344"/>
      <c r="G37" s="2344"/>
      <c r="H37" s="2344"/>
      <c r="I37" s="2344"/>
      <c r="J37" s="1063"/>
    </row>
    <row r="38" spans="1:10" ht="7.5" customHeight="1" x14ac:dyDescent="0.2">
      <c r="C38" s="1062"/>
      <c r="D38" s="1064"/>
      <c r="E38" s="1065"/>
      <c r="F38" s="1066"/>
      <c r="G38" s="1065"/>
    </row>
    <row r="39" spans="1:10" ht="13.5" customHeight="1" x14ac:dyDescent="0.2">
      <c r="B39" s="1061" t="s">
        <v>2082</v>
      </c>
      <c r="C39" s="2341" t="s">
        <v>937</v>
      </c>
      <c r="D39" s="2342"/>
      <c r="E39" s="2342"/>
      <c r="F39" s="2342"/>
      <c r="G39" s="2342"/>
      <c r="H39" s="2342"/>
      <c r="I39" s="2342"/>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1"/>
  <sheetViews>
    <sheetView showGridLines="0" zoomScaleNormal="10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329" t="s">
        <v>2211</v>
      </c>
    </row>
    <row r="6" spans="1:2" x14ac:dyDescent="0.2">
      <c r="B6" s="329" t="s">
        <v>2212</v>
      </c>
    </row>
    <row r="7" spans="1:2" x14ac:dyDescent="0.2">
      <c r="B7" s="329" t="s">
        <v>2213</v>
      </c>
    </row>
    <row r="8" spans="1:2" x14ac:dyDescent="0.2">
      <c r="A8" s="1068" t="s">
        <v>2114</v>
      </c>
    </row>
    <row r="9" spans="1:2" x14ac:dyDescent="0.2">
      <c r="A9" s="1068"/>
      <c r="B9" s="329" t="s">
        <v>66</v>
      </c>
    </row>
    <row r="10" spans="1:2" x14ac:dyDescent="0.2">
      <c r="A10" s="1068"/>
      <c r="B10" s="329" t="s">
        <v>2117</v>
      </c>
    </row>
    <row r="11" spans="1:2" x14ac:dyDescent="0.2">
      <c r="A11" s="1068" t="s">
        <v>2115</v>
      </c>
    </row>
    <row r="12" spans="1:2" x14ac:dyDescent="0.2">
      <c r="A12" s="1068"/>
      <c r="B12" s="329" t="s">
        <v>66</v>
      </c>
    </row>
    <row r="13" spans="1:2" x14ac:dyDescent="0.2">
      <c r="A13" s="1068"/>
      <c r="B13" s="329" t="s">
        <v>2118</v>
      </c>
    </row>
    <row r="14" spans="1:2" x14ac:dyDescent="0.2">
      <c r="A14" s="1068"/>
      <c r="B14" s="329" t="s">
        <v>2116</v>
      </c>
    </row>
    <row r="15" spans="1:2" x14ac:dyDescent="0.2">
      <c r="A15" s="1068"/>
      <c r="B15" s="329" t="s">
        <v>2119</v>
      </c>
    </row>
    <row r="16" spans="1:2" x14ac:dyDescent="0.2">
      <c r="A16" s="1068"/>
      <c r="B16" s="329" t="s">
        <v>359</v>
      </c>
    </row>
    <row r="17" spans="1:2" x14ac:dyDescent="0.2">
      <c r="A17" s="1068"/>
      <c r="B17" s="329" t="s">
        <v>2120</v>
      </c>
    </row>
    <row r="18" spans="1:2" x14ac:dyDescent="0.2">
      <c r="A18" s="1068" t="s">
        <v>2121</v>
      </c>
    </row>
    <row r="19" spans="1:2" x14ac:dyDescent="0.2">
      <c r="A19" s="1068"/>
      <c r="B19" s="329" t="s">
        <v>66</v>
      </c>
    </row>
    <row r="20" spans="1:2" x14ac:dyDescent="0.2">
      <c r="A20" s="1068"/>
      <c r="B20" s="329" t="s">
        <v>2122</v>
      </c>
    </row>
    <row r="21" spans="1:2" x14ac:dyDescent="0.2">
      <c r="A21" s="1068" t="s">
        <v>2123</v>
      </c>
    </row>
    <row r="22" spans="1:2" x14ac:dyDescent="0.2">
      <c r="A22" s="1068"/>
      <c r="B22" s="329" t="s">
        <v>2124</v>
      </c>
    </row>
    <row r="23" spans="1:2" x14ac:dyDescent="0.2">
      <c r="A23" s="1068"/>
      <c r="B23" s="329" t="s">
        <v>2125</v>
      </c>
    </row>
    <row r="24" spans="1:2" x14ac:dyDescent="0.2">
      <c r="A24" s="1068" t="s">
        <v>2126</v>
      </c>
    </row>
    <row r="25" spans="1:2" x14ac:dyDescent="0.2">
      <c r="A25" s="1068"/>
      <c r="B25" s="329" t="s">
        <v>2127</v>
      </c>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c r="B60" s="258" t="str">
        <f>COVER!A17</f>
        <v>Arthur CUSD 305</v>
      </c>
    </row>
    <row r="61" spans="1:2" x14ac:dyDescent="0.2">
      <c r="B61" s="1069">
        <f>COVER!A13</f>
        <v>11021305026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activeCell="B29" sqref="B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2" t="s">
        <v>1709</v>
      </c>
    </row>
    <row r="23" spans="1:5" x14ac:dyDescent="0.2">
      <c r="A23" s="168"/>
      <c r="B23" s="162" t="s">
        <v>1967</v>
      </c>
      <c r="D23" s="167" t="s">
        <v>658</v>
      </c>
      <c r="E23" s="1852"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1" t="s">
        <v>1877</v>
      </c>
    </row>
    <row r="60" spans="1:3" x14ac:dyDescent="0.2">
      <c r="A60" s="196"/>
      <c r="B60" s="1501"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3"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2"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B29" sqref="B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5" t="s">
        <v>1784</v>
      </c>
      <c r="B18" s="236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66675</xdr:colOff>
                <xdr:row>0</xdr:row>
                <xdr:rowOff>76200</xdr:rowOff>
              </from>
              <to>
                <xdr:col>1</xdr:col>
                <xdr:colOff>857250</xdr:colOff>
                <xdr:row>4</xdr:row>
                <xdr:rowOff>114300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981075</xdr:colOff>
                <xdr:row>0</xdr:row>
                <xdr:rowOff>85725</xdr:rowOff>
              </from>
              <to>
                <xdr:col>1</xdr:col>
                <xdr:colOff>1895475</xdr:colOff>
                <xdr:row>4</xdr:row>
                <xdr:rowOff>123825</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1981200</xdr:colOff>
                <xdr:row>0</xdr:row>
                <xdr:rowOff>104775</xdr:rowOff>
              </from>
              <to>
                <xdr:col>1</xdr:col>
                <xdr:colOff>2895600</xdr:colOff>
                <xdr:row>4</xdr:row>
                <xdr:rowOff>142875</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1</xdr:col>
                <xdr:colOff>3019425</xdr:colOff>
                <xdr:row>0</xdr:row>
                <xdr:rowOff>114300</xdr:rowOff>
              </from>
              <to>
                <xdr:col>1</xdr:col>
                <xdr:colOff>3933825</xdr:colOff>
                <xdr:row>4</xdr:row>
                <xdr:rowOff>152400</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0</xdr:col>
                <xdr:colOff>66675</xdr:colOff>
                <xdr:row>5</xdr:row>
                <xdr:rowOff>28575</xdr:rowOff>
              </from>
              <to>
                <xdr:col>1</xdr:col>
                <xdr:colOff>857250</xdr:colOff>
                <xdr:row>9</xdr:row>
                <xdr:rowOff>66675</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971550</xdr:colOff>
                <xdr:row>5</xdr:row>
                <xdr:rowOff>38100</xdr:rowOff>
              </from>
              <to>
                <xdr:col>1</xdr:col>
                <xdr:colOff>1885950</xdr:colOff>
                <xdr:row>9</xdr:row>
                <xdr:rowOff>76200</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6" r:id="rId16">
          <objectPr defaultSize="0" r:id="rId17">
            <anchor moveWithCells="1">
              <from>
                <xdr:col>1</xdr:col>
                <xdr:colOff>3009900</xdr:colOff>
                <xdr:row>5</xdr:row>
                <xdr:rowOff>57150</xdr:rowOff>
              </from>
              <to>
                <xdr:col>1</xdr:col>
                <xdr:colOff>3924300</xdr:colOff>
                <xdr:row>9</xdr:row>
                <xdr:rowOff>95250</xdr:rowOff>
              </to>
            </anchor>
          </objectPr>
        </oleObject>
      </mc:Choice>
      <mc:Fallback>
        <oleObject progId="Acrobat Document" dvAspect="DVASPECT_ICON" shapeId="37896" r:id="rId16"/>
      </mc:Fallback>
    </mc:AlternateContent>
    <mc:AlternateContent xmlns:mc="http://schemas.openxmlformats.org/markup-compatibility/2006">
      <mc:Choice Requires="x14">
        <oleObject progId="Acrobat Document" dvAspect="DVASPECT_ICON" shapeId="37897" r:id="rId18">
          <objectPr defaultSize="0" r:id="rId19">
            <anchor moveWithCells="1">
              <from>
                <xdr:col>1</xdr:col>
                <xdr:colOff>1981200</xdr:colOff>
                <xdr:row>5</xdr:row>
                <xdr:rowOff>66675</xdr:rowOff>
              </from>
              <to>
                <xdr:col>1</xdr:col>
                <xdr:colOff>2895600</xdr:colOff>
                <xdr:row>9</xdr:row>
                <xdr:rowOff>104775</xdr:rowOff>
              </to>
            </anchor>
          </objectPr>
        </oleObject>
      </mc:Choice>
      <mc:Fallback>
        <oleObject progId="Acrobat Document" dvAspect="DVASPECT_ICON" shapeId="37897"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B29" sqref="B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3"/>
      <c r="H2" s="1073"/>
    </row>
    <row r="3" spans="1:8" ht="57" customHeight="1" x14ac:dyDescent="0.2">
      <c r="A3" s="2379" t="s">
        <v>1786</v>
      </c>
      <c r="B3" s="2380"/>
      <c r="C3" s="2380"/>
      <c r="D3" s="2380"/>
      <c r="E3" s="2380"/>
      <c r="F3" s="2381"/>
      <c r="G3" s="1073"/>
      <c r="H3" s="1073"/>
    </row>
    <row r="4" spans="1:8" ht="14.25" customHeight="1" x14ac:dyDescent="0.2">
      <c r="A4" s="2385" t="s">
        <v>2054</v>
      </c>
      <c r="B4" s="2386"/>
      <c r="C4" s="2386"/>
      <c r="D4" s="2386"/>
      <c r="E4" s="2386"/>
      <c r="F4" s="2387"/>
      <c r="G4" s="1073"/>
      <c r="H4" s="1073"/>
    </row>
    <row r="5" spans="1:8" ht="14.25" customHeight="1" x14ac:dyDescent="0.2">
      <c r="A5" s="2388" t="s">
        <v>2055</v>
      </c>
      <c r="B5" s="2389"/>
      <c r="C5" s="2389"/>
      <c r="D5" s="2389"/>
      <c r="E5" s="2389"/>
      <c r="F5" s="2390"/>
      <c r="G5" s="1073"/>
      <c r="H5" s="1073"/>
    </row>
    <row r="6" spans="1:8" s="1074" customFormat="1" ht="41.25" customHeight="1" x14ac:dyDescent="0.2">
      <c r="A6" s="2382" t="s">
        <v>1792</v>
      </c>
      <c r="B6" s="2383"/>
      <c r="C6" s="2383"/>
      <c r="D6" s="2383"/>
      <c r="E6" s="2383"/>
      <c r="F6" s="238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1">
        <f>'Acct Summary 7-8'!C8</f>
        <v>9382380</v>
      </c>
      <c r="C8" s="1831">
        <f>'Acct Summary 7-8'!D8</f>
        <v>1039949</v>
      </c>
      <c r="D8" s="1831">
        <f>'Acct Summary 7-8'!F8</f>
        <v>1079923</v>
      </c>
      <c r="E8" s="1831">
        <f>'Acct Summary 7-8'!I8</f>
        <v>102877</v>
      </c>
      <c r="F8" s="1831">
        <f>SUM(B8:E8)</f>
        <v>11605129</v>
      </c>
    </row>
    <row r="9" spans="1:8" s="1078" customFormat="1" ht="14.25" customHeight="1" thickBot="1" x14ac:dyDescent="0.25">
      <c r="A9" s="1077" t="s">
        <v>1436</v>
      </c>
      <c r="B9" s="1832">
        <f>'Acct Summary 7-8'!C17</f>
        <v>9196011</v>
      </c>
      <c r="C9" s="1832">
        <f>'Acct Summary 7-8'!D17</f>
        <v>973079</v>
      </c>
      <c r="D9" s="1832">
        <f>'Acct Summary 7-8'!F17</f>
        <v>1055788</v>
      </c>
      <c r="E9" s="1831"/>
      <c r="F9" s="1831">
        <f>SUM(B9:E9)</f>
        <v>11224878</v>
      </c>
    </row>
    <row r="10" spans="1:8" s="1078" customFormat="1" ht="14.25" thickTop="1" thickBot="1" x14ac:dyDescent="0.25">
      <c r="A10" s="1079" t="s">
        <v>1437</v>
      </c>
      <c r="B10" s="1833">
        <f>(B8-B9)</f>
        <v>186369</v>
      </c>
      <c r="C10" s="1833">
        <f>(C8-C9)</f>
        <v>66870</v>
      </c>
      <c r="D10" s="1833">
        <f>(D8-D9)</f>
        <v>24135</v>
      </c>
      <c r="E10" s="1832">
        <f>(E8-E9)</f>
        <v>102877</v>
      </c>
      <c r="F10" s="1834">
        <f>SUM(F8-F9)</f>
        <v>380251</v>
      </c>
    </row>
    <row r="11" spans="1:8" s="1078" customFormat="1" ht="14.25" thickTop="1" thickBot="1" x14ac:dyDescent="0.25">
      <c r="A11" s="1080" t="s">
        <v>1785</v>
      </c>
      <c r="B11" s="1835">
        <f>'Acct Summary 7-8'!C81</f>
        <v>2275735</v>
      </c>
      <c r="C11" s="1835">
        <f>'Acct Summary 7-8'!D81</f>
        <v>562551</v>
      </c>
      <c r="D11" s="1835">
        <f>'Acct Summary 7-8'!F81</f>
        <v>-144307</v>
      </c>
      <c r="E11" s="1835">
        <f>'Acct Summary 7-8'!I81</f>
        <v>445189</v>
      </c>
      <c r="F11" s="1836">
        <f>SUM(B11:E11)</f>
        <v>3139168</v>
      </c>
    </row>
    <row r="12" spans="1:8" ht="16.5" customHeight="1" thickTop="1" x14ac:dyDescent="0.2">
      <c r="A12" s="1081"/>
      <c r="B12" s="1082"/>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3"/>
      <c r="B13" s="1084"/>
      <c r="C13" s="2370"/>
      <c r="D13" s="2371"/>
      <c r="E13" s="2371"/>
      <c r="F13" s="2372"/>
      <c r="H13" s="1073"/>
    </row>
    <row r="14" spans="1:8" ht="19.5" customHeight="1" x14ac:dyDescent="0.2">
      <c r="A14" s="1083"/>
      <c r="B14" s="1084"/>
      <c r="C14" s="2370"/>
      <c r="D14" s="2371"/>
      <c r="E14" s="2371"/>
      <c r="F14" s="2372"/>
      <c r="H14" s="1073"/>
    </row>
    <row r="15" spans="1:8" ht="17.25" customHeight="1" x14ac:dyDescent="0.2">
      <c r="A15" s="1083"/>
      <c r="B15" s="1084"/>
      <c r="C15" s="2373"/>
      <c r="D15" s="2374"/>
      <c r="E15" s="2374"/>
      <c r="F15" s="2375"/>
      <c r="H15" s="1073"/>
    </row>
    <row r="16" spans="1:8" s="310" customFormat="1" ht="51.75" hidden="1" customHeight="1" x14ac:dyDescent="0.2">
      <c r="A16" s="2369" t="s">
        <v>1787</v>
      </c>
      <c r="B16" s="2369"/>
      <c r="C16" s="2369"/>
      <c r="D16" s="2369"/>
      <c r="E16" s="236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391" t="s">
        <v>686</v>
      </c>
      <c r="B3" s="2392"/>
      <c r="C3" s="2392"/>
      <c r="D3" s="2393"/>
    </row>
    <row r="4" spans="1:4" x14ac:dyDescent="0.2">
      <c r="A4" s="1151" t="s">
        <v>1793</v>
      </c>
      <c r="B4" s="1152"/>
      <c r="C4" s="1153"/>
      <c r="D4" s="1154"/>
    </row>
    <row r="5" spans="1:4" ht="21" customHeight="1" x14ac:dyDescent="0.2">
      <c r="A5" s="1147"/>
      <c r="B5" s="1148">
        <v>1</v>
      </c>
      <c r="C5" s="1149" t="s">
        <v>1944</v>
      </c>
      <c r="D5" s="1150"/>
    </row>
    <row r="6" spans="1:4" s="668" customFormat="1" ht="14.25" customHeight="1" x14ac:dyDescent="0.2">
      <c r="A6" s="1137"/>
      <c r="B6" s="1092">
        <f t="shared" ref="B6:B13" si="0">B5+1</f>
        <v>2</v>
      </c>
      <c r="C6" s="1093" t="s">
        <v>919</v>
      </c>
      <c r="D6" s="1094"/>
    </row>
    <row r="7" spans="1:4" s="668" customFormat="1" ht="12.75" x14ac:dyDescent="0.2">
      <c r="A7" s="1137"/>
      <c r="B7" s="1092">
        <f t="shared" si="0"/>
        <v>3</v>
      </c>
      <c r="C7" s="2402" t="s">
        <v>1584</v>
      </c>
      <c r="D7" s="2403"/>
    </row>
    <row r="8" spans="1:4" s="668" customFormat="1" ht="12.75" x14ac:dyDescent="0.2">
      <c r="A8" s="1137"/>
      <c r="B8" s="1092"/>
      <c r="C8" s="1095" t="s">
        <v>1583</v>
      </c>
      <c r="D8" s="1096"/>
    </row>
    <row r="9" spans="1:4" s="668" customFormat="1" ht="14.25" customHeight="1" x14ac:dyDescent="0.2">
      <c r="A9" s="1137"/>
      <c r="B9" s="1092">
        <f>B7+1</f>
        <v>4</v>
      </c>
      <c r="C9" s="1093" t="s">
        <v>2047</v>
      </c>
      <c r="D9" s="1094"/>
    </row>
    <row r="10" spans="1:4" s="668" customFormat="1" ht="14.25" customHeight="1" x14ac:dyDescent="0.2">
      <c r="A10" s="1137"/>
      <c r="B10" s="1092">
        <f t="shared" si="0"/>
        <v>5</v>
      </c>
      <c r="C10" s="1093" t="s">
        <v>660</v>
      </c>
      <c r="D10" s="1094"/>
    </row>
    <row r="11" spans="1:4" s="668" customFormat="1" ht="14.25" customHeight="1" x14ac:dyDescent="0.2">
      <c r="A11" s="1137"/>
      <c r="B11" s="1092">
        <f t="shared" si="0"/>
        <v>6</v>
      </c>
      <c r="C11" s="1093" t="s">
        <v>811</v>
      </c>
      <c r="D11" s="1094"/>
    </row>
    <row r="12" spans="1:4" s="668" customFormat="1" ht="14.25" customHeight="1" x14ac:dyDescent="0.2">
      <c r="A12" s="1137"/>
      <c r="B12" s="1092">
        <f t="shared" si="0"/>
        <v>7</v>
      </c>
      <c r="C12" s="1093" t="s">
        <v>1122</v>
      </c>
      <c r="D12" s="1094"/>
    </row>
    <row r="13" spans="1:4" s="668" customFormat="1" ht="14.25" customHeight="1" x14ac:dyDescent="0.2">
      <c r="A13" s="1137"/>
      <c r="B13" s="1092">
        <f t="shared" si="0"/>
        <v>8</v>
      </c>
      <c r="C13" s="1133" t="s">
        <v>812</v>
      </c>
      <c r="D13" s="1094"/>
    </row>
    <row r="14" spans="1:4" s="668" customFormat="1" ht="14.25" customHeight="1" x14ac:dyDescent="0.2">
      <c r="A14" s="1137"/>
      <c r="B14" s="1134">
        <v>9</v>
      </c>
      <c r="C14" s="1135" t="s">
        <v>1585</v>
      </c>
      <c r="D14" s="1136"/>
    </row>
    <row r="15" spans="1:4" s="668" customFormat="1" ht="21.75" customHeight="1" x14ac:dyDescent="0.2">
      <c r="A15" s="2394" t="s">
        <v>1065</v>
      </c>
      <c r="B15" s="2395"/>
      <c r="C15" s="2395"/>
      <c r="D15" s="2396"/>
    </row>
    <row r="16" spans="1:4" s="668" customFormat="1" ht="24" customHeight="1" x14ac:dyDescent="0.2">
      <c r="A16" s="2397" t="s">
        <v>684</v>
      </c>
      <c r="B16" s="2398"/>
      <c r="C16" s="2398"/>
      <c r="D16" s="2399"/>
    </row>
    <row r="17" spans="1:10" s="668" customFormat="1" ht="12.75" customHeight="1" x14ac:dyDescent="0.2">
      <c r="A17" s="1155" t="s">
        <v>1794</v>
      </c>
      <c r="B17" s="1156"/>
      <c r="C17" s="1157"/>
      <c r="D17" s="1158"/>
    </row>
    <row r="18" spans="1:10" s="668"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6" t="s">
        <v>332</v>
      </c>
      <c r="D21" s="2407"/>
    </row>
    <row r="22" spans="1:10" ht="12.75" x14ac:dyDescent="0.2">
      <c r="A22" s="1138"/>
      <c r="B22" s="1139">
        <v>2</v>
      </c>
      <c r="C22" s="2404" t="s">
        <v>1605</v>
      </c>
      <c r="D22" s="240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8" t="s">
        <v>557</v>
      </c>
      <c r="D43" s="240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00" t="s">
        <v>817</v>
      </c>
      <c r="D56" s="240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2048</v>
      </c>
      <c r="D66" s="1124"/>
    </row>
    <row r="67" spans="1:4" x14ac:dyDescent="0.2">
      <c r="A67" s="1118"/>
      <c r="B67" s="1139"/>
      <c r="C67" s="1146" t="s">
        <v>1079</v>
      </c>
      <c r="D67" s="1124"/>
    </row>
    <row r="68" spans="1:4" x14ac:dyDescent="0.2">
      <c r="A68" s="1099"/>
      <c r="B68" s="1109"/>
      <c r="C68" s="1101" t="s">
        <v>2049</v>
      </c>
      <c r="D68" s="1123" t="str">
        <f>IF('Short-Term Long-Term Debt 24'!F49=SUM(,'Acct Summary 7-8'!C33:K33),"OK","ERROR!")</f>
        <v>OK</v>
      </c>
    </row>
    <row r="69" spans="1:4" x14ac:dyDescent="0.2">
      <c r="A69" s="1099"/>
      <c r="B69" s="1109"/>
      <c r="C69" s="1101" t="s">
        <v>2050</v>
      </c>
      <c r="D69" s="1123" t="str">
        <f>IF('Expenditures 15-22'!H170&lt;&gt;'Short-Term Long-Term Debt 24'!H49,"ERROR!","OK")</f>
        <v>OK</v>
      </c>
    </row>
    <row r="70" spans="1:4" x14ac:dyDescent="0.2">
      <c r="A70" s="1097"/>
      <c r="B70" s="1119">
        <f>B66+1</f>
        <v>9</v>
      </c>
      <c r="C70" s="2400" t="s">
        <v>1797</v>
      </c>
      <c r="D70" s="240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2051</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2052</v>
      </c>
      <c r="D78" s="1123" t="str">
        <f>IF(ISNUMBER('Acct Summary 7-8'!C9),"OK","ENTRY IS REQUIRED!")</f>
        <v>OK</v>
      </c>
    </row>
    <row r="79" spans="1:4" x14ac:dyDescent="0.2">
      <c r="A79" s="1118"/>
      <c r="B79" s="1119">
        <f>B74+1+1</f>
        <v>12</v>
      </c>
      <c r="C79" s="1129" t="s">
        <v>2017</v>
      </c>
      <c r="D79" s="1130" t="str">
        <f>IF(OR(COVER!$B$6="X",'PCTC-OEPP 27-28'!F78&gt;0),"OK","PLEASE ENTER 9 MO ADA.")</f>
        <v>OK</v>
      </c>
    </row>
    <row r="80" spans="1:4" x14ac:dyDescent="0.2">
      <c r="A80" s="1097"/>
      <c r="B80" s="1119">
        <v>13</v>
      </c>
      <c r="C80" s="1129" t="s">
        <v>2053</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11021305026</v>
      </c>
    </row>
    <row r="3" spans="1:2" x14ac:dyDescent="0.2">
      <c r="A3" t="s">
        <v>1013</v>
      </c>
      <c r="B3" s="138" t="str">
        <f>COVER!A15</f>
        <v>DOUGLAS</v>
      </c>
    </row>
    <row r="4" spans="1:2" x14ac:dyDescent="0.2">
      <c r="A4" t="s">
        <v>1064</v>
      </c>
      <c r="B4" s="138" t="str">
        <f>COVER!A17</f>
        <v>Arthur CUSD 305</v>
      </c>
    </row>
    <row r="5" spans="1:2" x14ac:dyDescent="0.2">
      <c r="A5" t="s">
        <v>728</v>
      </c>
      <c r="B5" s="138" t="str">
        <f>COVER!A38</f>
        <v>KENNY SCHWENGEL</v>
      </c>
    </row>
    <row r="6" spans="1:2" x14ac:dyDescent="0.2">
      <c r="A6" t="s">
        <v>733</v>
      </c>
      <c r="B6" s="138">
        <f>COVER!P35</f>
        <v>0</v>
      </c>
    </row>
    <row r="7" spans="1:2" x14ac:dyDescent="0.2">
      <c r="A7" t="s">
        <v>729</v>
      </c>
      <c r="B7" s="138">
        <f>COVER!I38</f>
        <v>0</v>
      </c>
    </row>
    <row r="8" spans="1:2" x14ac:dyDescent="0.2">
      <c r="A8" t="s">
        <v>730</v>
      </c>
      <c r="B8" s="138" t="str">
        <f>COVER!T38</f>
        <v>BOBBI MATTINGLY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ROBIN R. YOCKEY</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933887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2275735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1725804</v>
      </c>
      <c r="D92" s="2" t="str">
        <f t="shared" si="0"/>
        <v>Error?</v>
      </c>
    </row>
    <row r="93" spans="1:4" x14ac:dyDescent="0.2">
      <c r="A93" s="5">
        <v>32</v>
      </c>
      <c r="B93" s="138">
        <f>'Assets-Liab 5-6'!C41</f>
        <v>2275735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170374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562551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562551</v>
      </c>
      <c r="D123" s="2" t="str">
        <f t="shared" si="0"/>
        <v>Error?</v>
      </c>
    </row>
    <row r="124" spans="1:4" x14ac:dyDescent="0.2">
      <c r="A124" s="5">
        <v>63</v>
      </c>
      <c r="B124" s="138">
        <f>'Assets-Liab 5-6'!D41</f>
        <v>562551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83452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83452</v>
      </c>
      <c r="D140" s="2" t="str">
        <f t="shared" si="1"/>
        <v>Error?</v>
      </c>
    </row>
    <row r="141" spans="1:4" x14ac:dyDescent="0.2">
      <c r="A141" s="5">
        <v>80</v>
      </c>
      <c r="B141" s="138">
        <f>'Assets-Liab 5-6'!E41</f>
        <v>83452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180693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325000</v>
      </c>
      <c r="C169" s="2" t="s">
        <v>594</v>
      </c>
      <c r="D169" s="2" t="str">
        <f t="shared" si="1"/>
        <v>Error?</v>
      </c>
    </row>
    <row r="170" spans="1:4" x14ac:dyDescent="0.2">
      <c r="A170" s="5">
        <v>109</v>
      </c>
      <c r="B170" s="138">
        <f>'Assets-Liab 5-6'!F39</f>
        <v>-144307</v>
      </c>
      <c r="D170" s="2" t="str">
        <f t="shared" si="1"/>
        <v>Error?</v>
      </c>
    </row>
    <row r="171" spans="1:4" x14ac:dyDescent="0.2">
      <c r="A171" s="5">
        <v>110</v>
      </c>
      <c r="B171" s="138">
        <f>'Assets-Liab 5-6'!F41</f>
        <v>180693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63957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377030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328051</v>
      </c>
      <c r="D189" s="2" t="str">
        <f t="shared" si="1"/>
        <v>Error?</v>
      </c>
    </row>
    <row r="190" spans="1:4" x14ac:dyDescent="0.2">
      <c r="A190" s="5">
        <v>129</v>
      </c>
      <c r="B190" s="138">
        <f>'Assets-Liab 5-6'!G41</f>
        <v>377030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46812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353964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167121</v>
      </c>
      <c r="D212" s="2" t="str">
        <f t="shared" si="2"/>
        <v>Error?</v>
      </c>
    </row>
    <row r="213" spans="1:4" x14ac:dyDescent="0.2">
      <c r="A213" s="12">
        <v>152</v>
      </c>
      <c r="B213" s="138">
        <f>'Assets-Liab 5-6'!H41</f>
        <v>353964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160054</v>
      </c>
      <c r="D273" s="2" t="str">
        <f t="shared" si="3"/>
        <v>Error?</v>
      </c>
    </row>
    <row r="274" spans="1:4" x14ac:dyDescent="0.2">
      <c r="A274" s="5">
        <v>213</v>
      </c>
      <c r="B274" s="138">
        <f>'Assets-Liab 5-6'!M17</f>
        <v>15883735</v>
      </c>
      <c r="D274" s="2" t="str">
        <f t="shared" si="3"/>
        <v>Error?</v>
      </c>
    </row>
    <row r="275" spans="1:4" x14ac:dyDescent="0.2">
      <c r="A275" s="5">
        <v>214</v>
      </c>
      <c r="B275" s="138">
        <f>'Assets-Liab 5-6'!M18</f>
        <v>809361</v>
      </c>
      <c r="D275" s="2" t="str">
        <f t="shared" si="3"/>
        <v>Error?</v>
      </c>
    </row>
    <row r="276" spans="1:4" x14ac:dyDescent="0.2">
      <c r="A276" s="5">
        <v>215</v>
      </c>
      <c r="B276" s="138">
        <f>'Assets-Liab 5-6'!M19</f>
        <v>1898068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18751218</v>
      </c>
      <c r="C279" s="2" t="s">
        <v>594</v>
      </c>
      <c r="D279" s="2" t="str">
        <f t="shared" si="3"/>
        <v>Error?</v>
      </c>
    </row>
    <row r="280" spans="1:4" x14ac:dyDescent="0.2">
      <c r="A280" s="5">
        <v>219</v>
      </c>
      <c r="B280" s="138">
        <f>'Assets-Liab 5-6'!M40</f>
        <v>18751218</v>
      </c>
      <c r="D280" s="2" t="str">
        <f t="shared" si="3"/>
        <v>Error?</v>
      </c>
    </row>
    <row r="281" spans="1:4" x14ac:dyDescent="0.2">
      <c r="A281" s="5">
        <v>220</v>
      </c>
      <c r="B281" s="138">
        <f>'Assets-Liab 5-6'!M41</f>
        <v>18751218</v>
      </c>
      <c r="C281" s="2" t="s">
        <v>594</v>
      </c>
      <c r="D281" s="2" t="str">
        <f t="shared" si="3"/>
        <v>Error?</v>
      </c>
    </row>
    <row r="282" spans="1:4" x14ac:dyDescent="0.2">
      <c r="A282" s="5">
        <v>221</v>
      </c>
      <c r="B282" s="138">
        <f>'Assets-Liab 5-6'!N21</f>
        <v>83452</v>
      </c>
      <c r="D282" s="2" t="str">
        <f t="shared" si="3"/>
        <v>Error?</v>
      </c>
    </row>
    <row r="283" spans="1:4" x14ac:dyDescent="0.2">
      <c r="A283" s="5">
        <v>222</v>
      </c>
      <c r="B283" s="138">
        <f>'Assets-Liab 5-6'!N22</f>
        <v>4163029</v>
      </c>
      <c r="D283" s="2" t="str">
        <f t="shared" si="3"/>
        <v>Error?</v>
      </c>
    </row>
    <row r="284" spans="1:4" x14ac:dyDescent="0.2">
      <c r="A284" s="5">
        <v>223</v>
      </c>
      <c r="B284" s="138">
        <f>'Assets-Liab 5-6'!N23</f>
        <v>4246481</v>
      </c>
      <c r="C284" s="2" t="s">
        <v>594</v>
      </c>
      <c r="D284" s="2" t="str">
        <f t="shared" si="3"/>
        <v>Error?</v>
      </c>
    </row>
    <row r="285" spans="1:4" x14ac:dyDescent="0.2">
      <c r="A285" s="5">
        <v>224</v>
      </c>
      <c r="B285" s="138">
        <f>'Assets-Liab 5-6'!N36</f>
        <v>4246481</v>
      </c>
      <c r="D285" s="2" t="str">
        <f t="shared" si="3"/>
        <v>Error?</v>
      </c>
    </row>
    <row r="286" spans="1:4" x14ac:dyDescent="0.2">
      <c r="A286" s="10">
        <v>225</v>
      </c>
      <c r="D286" s="2" t="str">
        <f t="shared" si="3"/>
        <v>OK</v>
      </c>
    </row>
    <row r="287" spans="1:4" x14ac:dyDescent="0.2">
      <c r="A287" s="5">
        <v>226</v>
      </c>
      <c r="B287" s="138">
        <f>'Assets-Liab 5-6'!N37</f>
        <v>4246481</v>
      </c>
      <c r="C287" s="2" t="s">
        <v>594</v>
      </c>
      <c r="D287" s="2" t="str">
        <f t="shared" si="3"/>
        <v>Error?</v>
      </c>
    </row>
    <row r="288" spans="1:4" x14ac:dyDescent="0.2">
      <c r="A288" s="5">
        <v>227</v>
      </c>
      <c r="B288" s="138">
        <f>'Assets-Liab 5-6'!N41</f>
        <v>4246481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3733619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184207</v>
      </c>
      <c r="D717" s="2" t="str">
        <f t="shared" si="10"/>
        <v>Error?</v>
      </c>
    </row>
    <row r="718" spans="1:4" x14ac:dyDescent="0.2">
      <c r="A718" s="5">
        <v>657</v>
      </c>
      <c r="B718" s="138">
        <f>'Expenditures 15-22'!C14</f>
        <v>116059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5102872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115785</v>
      </c>
      <c r="D722" s="2" t="str">
        <f t="shared" si="10"/>
        <v>Error?</v>
      </c>
    </row>
    <row r="723" spans="1:4" x14ac:dyDescent="0.2">
      <c r="A723" s="5">
        <v>662</v>
      </c>
      <c r="B723" s="138">
        <f>'Expenditures 15-22'!C38</f>
        <v>58051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69868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243704</v>
      </c>
      <c r="C727" s="2" t="s">
        <v>594</v>
      </c>
      <c r="D727" s="2" t="str">
        <f t="shared" si="10"/>
        <v>Error?</v>
      </c>
    </row>
    <row r="728" spans="1:4" x14ac:dyDescent="0.2">
      <c r="A728" s="5">
        <v>667</v>
      </c>
      <c r="B728" s="138">
        <f>'Expenditures 15-22'!C44</f>
        <v>2550</v>
      </c>
      <c r="D728" s="2" t="str">
        <f t="shared" si="10"/>
        <v>Error?</v>
      </c>
    </row>
    <row r="729" spans="1:4" x14ac:dyDescent="0.2">
      <c r="A729" s="5">
        <v>668</v>
      </c>
      <c r="B729" s="138">
        <f>'Expenditures 15-22'!C45</f>
        <v>149292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151842</v>
      </c>
      <c r="C731" s="2" t="s">
        <v>594</v>
      </c>
      <c r="D731" s="2" t="str">
        <f t="shared" si="10"/>
        <v>Error?</v>
      </c>
    </row>
    <row r="732" spans="1:4" x14ac:dyDescent="0.2">
      <c r="A732" s="5">
        <v>671</v>
      </c>
      <c r="B732" s="138">
        <f>'Expenditures 15-22'!C49</f>
        <v>2399</v>
      </c>
      <c r="D732" s="2" t="str">
        <f t="shared" si="10"/>
        <v>Error?</v>
      </c>
    </row>
    <row r="733" spans="1:4" x14ac:dyDescent="0.2">
      <c r="A733" s="5">
        <v>672</v>
      </c>
      <c r="B733" s="138">
        <f>'Expenditures 15-22'!C50</f>
        <v>109825</v>
      </c>
      <c r="D733" s="2" t="str">
        <f t="shared" si="10"/>
        <v>Error?</v>
      </c>
    </row>
    <row r="734" spans="1:4" x14ac:dyDescent="0.2">
      <c r="A734" s="5">
        <v>673</v>
      </c>
      <c r="B734" s="138">
        <f>'Expenditures 15-22'!C53</f>
        <v>112224</v>
      </c>
      <c r="C734" s="2" t="s">
        <v>594</v>
      </c>
      <c r="D734" s="2" t="str">
        <f t="shared" si="10"/>
        <v>Error?</v>
      </c>
    </row>
    <row r="735" spans="1:4" x14ac:dyDescent="0.2">
      <c r="A735" s="5">
        <v>674</v>
      </c>
      <c r="B735" s="138">
        <f>'Expenditures 15-22'!C55</f>
        <v>559904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559904</v>
      </c>
      <c r="C737" s="2" t="s">
        <v>594</v>
      </c>
      <c r="D737" s="2" t="str">
        <f t="shared" si="10"/>
        <v>Error?</v>
      </c>
    </row>
    <row r="738" spans="1:4" x14ac:dyDescent="0.2">
      <c r="A738" s="5">
        <v>677</v>
      </c>
      <c r="B738" s="138">
        <f>'Expenditures 15-22'!C59</f>
        <v>55244</v>
      </c>
      <c r="D738" s="2" t="str">
        <f t="shared" si="10"/>
        <v>Error?</v>
      </c>
    </row>
    <row r="739" spans="1:4" x14ac:dyDescent="0.2">
      <c r="A739" s="5">
        <v>678</v>
      </c>
      <c r="B739" s="138">
        <f>'Expenditures 15-22'!C60</f>
        <v>103357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163673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322274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1389948</v>
      </c>
      <c r="C755" s="2" t="s">
        <v>594</v>
      </c>
      <c r="D755" s="2" t="str">
        <f t="shared" si="10"/>
        <v>Error?</v>
      </c>
    </row>
    <row r="756" spans="1:4" x14ac:dyDescent="0.2">
      <c r="A756" s="5">
        <v>695</v>
      </c>
      <c r="B756" s="138">
        <f>'Expenditures 15-22'!C75</f>
        <v>7329</v>
      </c>
      <c r="D756" s="2" t="str">
        <f t="shared" si="10"/>
        <v>Error?</v>
      </c>
    </row>
    <row r="757" spans="1:4" x14ac:dyDescent="0.2">
      <c r="A757" s="5">
        <v>696</v>
      </c>
      <c r="B757" s="138">
        <f>'Expenditures 15-22'!C114</f>
        <v>6500149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907197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46749</v>
      </c>
      <c r="D775" s="2" t="str">
        <f t="shared" si="11"/>
        <v>Error?</v>
      </c>
    </row>
    <row r="776" spans="1:4" x14ac:dyDescent="0.2">
      <c r="A776" s="5">
        <v>715</v>
      </c>
      <c r="B776" s="138">
        <f>'Expenditures 15-22'!D14</f>
        <v>13321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1227282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22153</v>
      </c>
      <c r="D780" s="2" t="str">
        <f t="shared" si="11"/>
        <v>Error?</v>
      </c>
    </row>
    <row r="781" spans="1:4" x14ac:dyDescent="0.2">
      <c r="A781" s="5">
        <v>720</v>
      </c>
      <c r="B781" s="138">
        <f>'Expenditures 15-22'!D38</f>
        <v>12600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18136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52889</v>
      </c>
      <c r="C785" s="2" t="s">
        <v>594</v>
      </c>
      <c r="D785" s="2" t="str">
        <f t="shared" si="11"/>
        <v>Error?</v>
      </c>
    </row>
    <row r="786" spans="1:4" x14ac:dyDescent="0.2">
      <c r="A786" s="5">
        <v>725</v>
      </c>
      <c r="B786" s="138">
        <f>'Expenditures 15-22'!D44</f>
        <v>77</v>
      </c>
      <c r="D786" s="2" t="str">
        <f t="shared" si="11"/>
        <v>Error?</v>
      </c>
    </row>
    <row r="787" spans="1:4" x14ac:dyDescent="0.2">
      <c r="A787" s="5">
        <v>726</v>
      </c>
      <c r="B787" s="138">
        <f>'Expenditures 15-22'!D45</f>
        <v>25815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25892</v>
      </c>
      <c r="C789" s="2" t="s">
        <v>594</v>
      </c>
      <c r="D789" s="2" t="str">
        <f t="shared" si="11"/>
        <v>Error?</v>
      </c>
    </row>
    <row r="790" spans="1:4" x14ac:dyDescent="0.2">
      <c r="A790" s="5">
        <v>729</v>
      </c>
      <c r="B790" s="138">
        <f>'Expenditures 15-22'!D49</f>
        <v>14</v>
      </c>
      <c r="D790" s="2" t="str">
        <f t="shared" si="11"/>
        <v>Error?</v>
      </c>
    </row>
    <row r="791" spans="1:4" x14ac:dyDescent="0.2">
      <c r="A791" s="5">
        <v>730</v>
      </c>
      <c r="B791" s="138">
        <f>'Expenditures 15-22'!D50</f>
        <v>18664</v>
      </c>
      <c r="D791" s="2" t="str">
        <f t="shared" si="11"/>
        <v>Error?</v>
      </c>
    </row>
    <row r="792" spans="1:4" x14ac:dyDescent="0.2">
      <c r="A792" s="5">
        <v>731</v>
      </c>
      <c r="B792" s="138">
        <f>'Expenditures 15-22'!D53</f>
        <v>18678</v>
      </c>
      <c r="C792" s="2" t="s">
        <v>594</v>
      </c>
      <c r="D792" s="2" t="str">
        <f t="shared" si="11"/>
        <v>Error?</v>
      </c>
    </row>
    <row r="793" spans="1:4" x14ac:dyDescent="0.2">
      <c r="A793" s="5">
        <v>732</v>
      </c>
      <c r="B793" s="138">
        <f>'Expenditures 15-22'!D55</f>
        <v>111399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111399</v>
      </c>
      <c r="C795" s="2" t="s">
        <v>594</v>
      </c>
      <c r="D795" s="2" t="str">
        <f t="shared" si="11"/>
        <v>Error?</v>
      </c>
    </row>
    <row r="796" spans="1:4" x14ac:dyDescent="0.2">
      <c r="A796" s="5">
        <v>735</v>
      </c>
      <c r="B796" s="138">
        <f>'Expenditures 15-22'!D59</f>
        <v>14573</v>
      </c>
      <c r="D796" s="2" t="str">
        <f t="shared" si="11"/>
        <v>Error?</v>
      </c>
    </row>
    <row r="797" spans="1:4" x14ac:dyDescent="0.2">
      <c r="A797" s="5">
        <v>736</v>
      </c>
      <c r="B797" s="138">
        <f>'Expenditures 15-22'!D60</f>
        <v>14714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29161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58448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267306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1494588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16224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38739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27644</v>
      </c>
      <c r="D844" s="2" t="str">
        <f t="shared" si="12"/>
        <v>Error?</v>
      </c>
    </row>
    <row r="845" spans="1:4" x14ac:dyDescent="0.2">
      <c r="A845" s="5">
        <v>784</v>
      </c>
      <c r="B845" s="138">
        <f>'Expenditures 15-22'!E45</f>
        <v>36459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64103</v>
      </c>
      <c r="C847" s="2" t="s">
        <v>594</v>
      </c>
      <c r="D847" s="2" t="str">
        <f t="shared" si="12"/>
        <v>Error?</v>
      </c>
    </row>
    <row r="848" spans="1:4" x14ac:dyDescent="0.2">
      <c r="A848" s="5">
        <v>787</v>
      </c>
      <c r="B848" s="138">
        <f>'Expenditures 15-22'!E49</f>
        <v>83081</v>
      </c>
      <c r="D848" s="2" t="str">
        <f t="shared" si="12"/>
        <v>Error?</v>
      </c>
    </row>
    <row r="849" spans="1:4" x14ac:dyDescent="0.2">
      <c r="A849" s="5">
        <v>788</v>
      </c>
      <c r="B849" s="138">
        <f>'Expenditures 15-22'!E50</f>
        <v>1477</v>
      </c>
      <c r="D849" s="2" t="str">
        <f t="shared" si="12"/>
        <v>Error?</v>
      </c>
    </row>
    <row r="850" spans="1:4" x14ac:dyDescent="0.2">
      <c r="A850" s="5">
        <v>789</v>
      </c>
      <c r="B850" s="138">
        <f>'Expenditures 15-22'!E53</f>
        <v>84558</v>
      </c>
      <c r="C850" s="2" t="s">
        <v>594</v>
      </c>
      <c r="D850" s="2" t="str">
        <f t="shared" si="12"/>
        <v>Error?</v>
      </c>
    </row>
    <row r="851" spans="1:4" x14ac:dyDescent="0.2">
      <c r="A851" s="5">
        <v>790</v>
      </c>
      <c r="B851" s="138">
        <f>'Expenditures 15-22'!E55</f>
        <v>12300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12300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12417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17837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178798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217537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111160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14447</v>
      </c>
      <c r="D891" s="2" t="str">
        <f t="shared" si="12"/>
        <v>Error?</v>
      </c>
    </row>
    <row r="892" spans="1:4" x14ac:dyDescent="0.2">
      <c r="A892" s="5">
        <v>831</v>
      </c>
      <c r="B892" s="138">
        <f>'Expenditures 15-22'!F14</f>
        <v>17326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224924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6449</v>
      </c>
      <c r="D896" s="2" t="str">
        <f t="shared" si="13"/>
        <v>Error?</v>
      </c>
    </row>
    <row r="897" spans="1:4" x14ac:dyDescent="0.2">
      <c r="A897" s="5">
        <v>836</v>
      </c>
      <c r="B897" s="138">
        <f>'Expenditures 15-22'!F38</f>
        <v>680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7129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10602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10602</v>
      </c>
      <c r="C905" s="2" t="s">
        <v>594</v>
      </c>
      <c r="D905" s="2" t="str">
        <f t="shared" si="13"/>
        <v>Error?</v>
      </c>
    </row>
    <row r="906" spans="1:4" x14ac:dyDescent="0.2">
      <c r="A906" s="5">
        <v>845</v>
      </c>
      <c r="B906" s="138">
        <f>'Expenditures 15-22'!F49</f>
        <v>8980</v>
      </c>
      <c r="D906" s="2" t="str">
        <f t="shared" si="13"/>
        <v>Error?</v>
      </c>
    </row>
    <row r="907" spans="1:4" x14ac:dyDescent="0.2">
      <c r="A907" s="5">
        <v>846</v>
      </c>
      <c r="B907" s="138">
        <f>'Expenditures 15-22'!F50</f>
        <v>1607</v>
      </c>
      <c r="D907" s="2" t="str">
        <f t="shared" si="13"/>
        <v>Error?</v>
      </c>
    </row>
    <row r="908" spans="1:4" x14ac:dyDescent="0.2">
      <c r="A908" s="5">
        <v>847</v>
      </c>
      <c r="B908" s="138">
        <f>'Expenditures 15-22'!F53</f>
        <v>10587</v>
      </c>
      <c r="C908" s="2" t="s">
        <v>594</v>
      </c>
      <c r="D908" s="2" t="str">
        <f t="shared" si="13"/>
        <v>Error?</v>
      </c>
    </row>
    <row r="909" spans="1:4" x14ac:dyDescent="0.2">
      <c r="A909" s="5">
        <v>848</v>
      </c>
      <c r="B909" s="138">
        <f>'Expenditures 15-22'!F55</f>
        <v>3300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5739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319462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325201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356819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581743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7074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18158</v>
      </c>
      <c r="D949" s="2" t="str">
        <f t="shared" si="13"/>
        <v>Error?</v>
      </c>
    </row>
    <row r="950" spans="1:4" x14ac:dyDescent="0.2">
      <c r="A950" s="5">
        <v>889</v>
      </c>
      <c r="B950" s="138">
        <f>'Expenditures 15-22'!G14</f>
        <v>558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31412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64728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64728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1960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66688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98100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12060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6466</v>
      </c>
      <c r="D1007" s="2" t="str">
        <f t="shared" si="14"/>
        <v>Error?</v>
      </c>
    </row>
    <row r="1008" spans="1:4" x14ac:dyDescent="0.2">
      <c r="A1008" s="5">
        <v>947</v>
      </c>
      <c r="B1008" s="138">
        <f>'Expenditures 15-22'!H14</f>
        <v>14174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32700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12470</v>
      </c>
      <c r="D1022" s="2" t="str">
        <f t="shared" si="14"/>
        <v>Error?</v>
      </c>
    </row>
    <row r="1023" spans="1:4" x14ac:dyDescent="0.2">
      <c r="A1023" s="5">
        <v>962</v>
      </c>
      <c r="B1023" s="138">
        <f>'Expenditures 15-22'!H50</f>
        <v>2205</v>
      </c>
      <c r="D1023" s="2" t="str">
        <f t="shared" ref="D1023:D1086" si="15">IF(ISBLANK(B1023),"OK",IF(A1023-B1023=0,"OK","Error?"))</f>
        <v>Error?</v>
      </c>
    </row>
    <row r="1024" spans="1:4" x14ac:dyDescent="0.2">
      <c r="A1024" s="5">
        <v>963</v>
      </c>
      <c r="B1024" s="138">
        <f>'Expenditures 15-22'!H53</f>
        <v>14675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3260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3260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17935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253259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303894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4772900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270027</v>
      </c>
      <c r="C1105" s="2" t="s">
        <v>594</v>
      </c>
      <c r="D1105" s="2" t="str">
        <f t="shared" si="16"/>
        <v>Error?</v>
      </c>
    </row>
    <row r="1106" spans="1:4" x14ac:dyDescent="0.2">
      <c r="A1106" s="5">
        <v>1045</v>
      </c>
      <c r="B1106" s="138">
        <f>'Expenditures 15-22'!K14</f>
        <v>177662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6657929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144387</v>
      </c>
      <c r="C1110" s="2" t="s">
        <v>594</v>
      </c>
      <c r="D1110" s="2" t="str">
        <f t="shared" si="16"/>
        <v>Error?</v>
      </c>
    </row>
    <row r="1111" spans="1:4" x14ac:dyDescent="0.2">
      <c r="A1111" s="5">
        <v>1050</v>
      </c>
      <c r="B1111" s="138">
        <f>'Expenditures 15-22'!K38</f>
        <v>71331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88004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303722</v>
      </c>
      <c r="C1115" s="2" t="s">
        <v>594</v>
      </c>
      <c r="D1115" s="2" t="str">
        <f t="shared" si="16"/>
        <v>Error?</v>
      </c>
    </row>
    <row r="1116" spans="1:4" x14ac:dyDescent="0.2">
      <c r="A1116" s="5">
        <v>1055</v>
      </c>
      <c r="B1116" s="138">
        <f>'Expenditures 15-22'!K44</f>
        <v>94999</v>
      </c>
      <c r="C1116" s="2" t="s">
        <v>594</v>
      </c>
      <c r="D1116" s="2" t="str">
        <f t="shared" si="16"/>
        <v>Error?</v>
      </c>
    </row>
    <row r="1117" spans="1:4" x14ac:dyDescent="0.2">
      <c r="A1117" s="5">
        <v>1056</v>
      </c>
      <c r="B1117" s="138">
        <f>'Expenditures 15-22'!K45</f>
        <v>222168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317167</v>
      </c>
      <c r="C1119" s="2" t="s">
        <v>594</v>
      </c>
      <c r="D1119" s="2" t="str">
        <f t="shared" si="16"/>
        <v>Error?</v>
      </c>
    </row>
    <row r="1120" spans="1:4" x14ac:dyDescent="0.2">
      <c r="A1120" s="5">
        <v>1059</v>
      </c>
      <c r="B1120" s="138">
        <f>'Expenditures 15-22'!K49</f>
        <v>106944</v>
      </c>
      <c r="C1120" s="2" t="s">
        <v>594</v>
      </c>
      <c r="D1120" s="2" t="str">
        <f t="shared" si="16"/>
        <v>Error?</v>
      </c>
    </row>
    <row r="1121" spans="1:4" x14ac:dyDescent="0.2">
      <c r="A1121" s="5">
        <v>1060</v>
      </c>
      <c r="B1121" s="138">
        <f>'Expenditures 15-22'!K50</f>
        <v>133778</v>
      </c>
      <c r="C1121" s="2" t="s">
        <v>594</v>
      </c>
      <c r="D1121" s="2" t="str">
        <f t="shared" si="16"/>
        <v>Error?</v>
      </c>
    </row>
    <row r="1122" spans="1:4" x14ac:dyDescent="0.2">
      <c r="A1122" s="5">
        <v>1061</v>
      </c>
      <c r="B1122" s="138">
        <f>'Expenditures 15-22'!K53</f>
        <v>240722</v>
      </c>
      <c r="C1122" s="2" t="s">
        <v>594</v>
      </c>
      <c r="D1122" s="2" t="str">
        <f t="shared" si="16"/>
        <v>Error?</v>
      </c>
    </row>
    <row r="1123" spans="1:4" x14ac:dyDescent="0.2">
      <c r="A1123" s="5">
        <v>1062</v>
      </c>
      <c r="B1123" s="138">
        <f>'Expenditures 15-22'!K55</f>
        <v>686903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686903</v>
      </c>
      <c r="C1125" s="2" t="s">
        <v>594</v>
      </c>
      <c r="D1125" s="2" t="str">
        <f t="shared" si="16"/>
        <v>Error?</v>
      </c>
    </row>
    <row r="1126" spans="1:4" x14ac:dyDescent="0.2">
      <c r="A1126" s="5">
        <v>1065</v>
      </c>
      <c r="B1126" s="138">
        <f>'Expenditures 15-22'!K59</f>
        <v>69817</v>
      </c>
      <c r="C1126" s="2" t="s">
        <v>594</v>
      </c>
      <c r="D1126" s="2" t="str">
        <f t="shared" si="16"/>
        <v>Error?</v>
      </c>
    </row>
    <row r="1127" spans="1:4" x14ac:dyDescent="0.2">
      <c r="A1127" s="5">
        <v>1066</v>
      </c>
      <c r="B1127" s="138">
        <f>'Expenditures 15-22'!K60</f>
        <v>129230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529933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728980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2277494</v>
      </c>
      <c r="C1143" s="2" t="s">
        <v>594</v>
      </c>
      <c r="D1143" s="2" t="str">
        <f t="shared" si="16"/>
        <v>Error?</v>
      </c>
    </row>
    <row r="1144" spans="1:4" x14ac:dyDescent="0.2">
      <c r="A1144" s="5">
        <v>1083</v>
      </c>
      <c r="B1144" s="138">
        <f>'Expenditures 15-22'!K75</f>
        <v>7329</v>
      </c>
      <c r="C1144" s="2" t="s">
        <v>594</v>
      </c>
      <c r="D1144" s="2" t="str">
        <f t="shared" si="16"/>
        <v>Error?</v>
      </c>
    </row>
    <row r="1145" spans="1:4" x14ac:dyDescent="0.2">
      <c r="A1145" s="5">
        <v>1084</v>
      </c>
      <c r="B1145" s="138">
        <f>'Expenditures 15-22'!K102</f>
        <v>253259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9196011</v>
      </c>
      <c r="C1152" s="2" t="s">
        <v>594</v>
      </c>
      <c r="D1152" s="2" t="str">
        <f t="shared" si="17"/>
        <v>Error?</v>
      </c>
    </row>
    <row r="1153" spans="1:4" x14ac:dyDescent="0.2">
      <c r="A1153" s="5">
        <v>1092</v>
      </c>
      <c r="B1153" s="138">
        <f>'Expenditures 15-22'!K115</f>
        <v>186369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439631</v>
      </c>
      <c r="D1221" s="2" t="str">
        <f t="shared" si="18"/>
        <v>Error?</v>
      </c>
    </row>
    <row r="1222" spans="1:4" x14ac:dyDescent="0.2">
      <c r="A1222" s="10">
        <v>1161</v>
      </c>
      <c r="D1222" s="2" t="str">
        <f t="shared" si="18"/>
        <v>OK</v>
      </c>
    </row>
    <row r="1223" spans="1:4" x14ac:dyDescent="0.2">
      <c r="A1223" s="5">
        <v>1162</v>
      </c>
      <c r="B1223" s="138">
        <f>'Expenditures 15-22'!C127</f>
        <v>439631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439631</v>
      </c>
      <c r="C1225" s="2" t="s">
        <v>594</v>
      </c>
      <c r="D1225" s="2" t="str">
        <f t="shared" si="18"/>
        <v>Error?</v>
      </c>
    </row>
    <row r="1226" spans="1:4" x14ac:dyDescent="0.2">
      <c r="A1226" s="5">
        <v>1165</v>
      </c>
      <c r="B1226" s="138">
        <f>'Expenditures 15-22'!C151</f>
        <v>439631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66983</v>
      </c>
      <c r="D1229" s="2" t="str">
        <f t="shared" si="18"/>
        <v>Error?</v>
      </c>
    </row>
    <row r="1230" spans="1:4" x14ac:dyDescent="0.2">
      <c r="A1230" s="10">
        <v>1169</v>
      </c>
      <c r="D1230" s="2" t="str">
        <f t="shared" si="18"/>
        <v>OK</v>
      </c>
    </row>
    <row r="1231" spans="1:4" x14ac:dyDescent="0.2">
      <c r="A1231" s="5">
        <v>1170</v>
      </c>
      <c r="B1231" s="138">
        <f>'Expenditures 15-22'!D127</f>
        <v>66983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66983</v>
      </c>
      <c r="C1233" s="2" t="s">
        <v>594</v>
      </c>
      <c r="D1233" s="2" t="str">
        <f t="shared" si="18"/>
        <v>Error?</v>
      </c>
    </row>
    <row r="1234" spans="1:4" x14ac:dyDescent="0.2">
      <c r="A1234" s="5">
        <v>1173</v>
      </c>
      <c r="B1234" s="138">
        <f>'Expenditures 15-22'!D151</f>
        <v>66983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199041</v>
      </c>
      <c r="D1237" s="2" t="str">
        <f t="shared" si="18"/>
        <v>Error?</v>
      </c>
    </row>
    <row r="1238" spans="1:4" x14ac:dyDescent="0.2">
      <c r="A1238" s="10">
        <v>1177</v>
      </c>
      <c r="D1238" s="2" t="str">
        <f t="shared" si="18"/>
        <v>OK</v>
      </c>
    </row>
    <row r="1239" spans="1:4" x14ac:dyDescent="0.2">
      <c r="A1239" s="5">
        <v>1178</v>
      </c>
      <c r="B1239" s="138">
        <f>'Expenditures 15-22'!E127</f>
        <v>199041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199041</v>
      </c>
      <c r="C1241" s="2" t="s">
        <v>594</v>
      </c>
      <c r="D1241" s="2" t="str">
        <f t="shared" si="18"/>
        <v>Error?</v>
      </c>
    </row>
    <row r="1242" spans="1:4" x14ac:dyDescent="0.2">
      <c r="A1242" s="5">
        <v>1181</v>
      </c>
      <c r="B1242" s="138">
        <f>'Expenditures 15-22'!E151</f>
        <v>199041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246779</v>
      </c>
      <c r="D1245" s="2" t="str">
        <f t="shared" si="18"/>
        <v>Error?</v>
      </c>
    </row>
    <row r="1246" spans="1:4" x14ac:dyDescent="0.2">
      <c r="A1246" s="10">
        <v>1185</v>
      </c>
      <c r="D1246" s="2" t="str">
        <f t="shared" si="18"/>
        <v>OK</v>
      </c>
    </row>
    <row r="1247" spans="1:4" x14ac:dyDescent="0.2">
      <c r="A1247" s="5">
        <v>1186</v>
      </c>
      <c r="B1247" s="138">
        <f>'Expenditures 15-22'!F127</f>
        <v>246779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246779</v>
      </c>
      <c r="C1249" s="2" t="s">
        <v>594</v>
      </c>
      <c r="D1249" s="2" t="str">
        <f t="shared" si="18"/>
        <v>Error?</v>
      </c>
    </row>
    <row r="1250" spans="1:4" x14ac:dyDescent="0.2">
      <c r="A1250" s="5">
        <v>1189</v>
      </c>
      <c r="B1250" s="138">
        <f>'Expenditures 15-22'!F151</f>
        <v>246779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14218</v>
      </c>
      <c r="D1253" s="2" t="str">
        <f t="shared" si="18"/>
        <v>Error?</v>
      </c>
    </row>
    <row r="1254" spans="1:4" x14ac:dyDescent="0.2">
      <c r="A1254" s="5">
        <v>1193</v>
      </c>
      <c r="B1254" s="138">
        <f>'Expenditures 15-22'!G126</f>
        <v>5775</v>
      </c>
      <c r="D1254" s="2" t="str">
        <f t="shared" si="18"/>
        <v>Error?</v>
      </c>
    </row>
    <row r="1255" spans="1:4" x14ac:dyDescent="0.2">
      <c r="A1255" s="10">
        <v>1194</v>
      </c>
      <c r="D1255" s="2" t="str">
        <f t="shared" si="18"/>
        <v>OK</v>
      </c>
    </row>
    <row r="1256" spans="1:4" x14ac:dyDescent="0.2">
      <c r="A1256" s="5">
        <v>1195</v>
      </c>
      <c r="B1256" s="138">
        <f>'Expenditures 15-22'!G127</f>
        <v>19993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19993</v>
      </c>
      <c r="C1258" s="2" t="s">
        <v>594</v>
      </c>
      <c r="D1258" s="2" t="str">
        <f t="shared" si="18"/>
        <v>Error?</v>
      </c>
    </row>
    <row r="1259" spans="1:4" x14ac:dyDescent="0.2">
      <c r="A1259" s="5">
        <v>1198</v>
      </c>
      <c r="B1259" s="138">
        <f>'Expenditures 15-22'!G151</f>
        <v>19993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652</v>
      </c>
      <c r="D1262" s="2" t="str">
        <f t="shared" si="18"/>
        <v>Error?</v>
      </c>
    </row>
    <row r="1263" spans="1:4" x14ac:dyDescent="0.2">
      <c r="A1263" s="10">
        <v>1202</v>
      </c>
      <c r="D1263" s="2" t="str">
        <f t="shared" si="18"/>
        <v>OK</v>
      </c>
    </row>
    <row r="1264" spans="1:4" x14ac:dyDescent="0.2">
      <c r="A1264" s="5">
        <v>1203</v>
      </c>
      <c r="B1264" s="138">
        <f>'Expenditures 15-22'!H127</f>
        <v>652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652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652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967304</v>
      </c>
      <c r="C1276" s="2" t="s">
        <v>594</v>
      </c>
      <c r="D1276" s="2" t="str">
        <f t="shared" si="18"/>
        <v>Error?</v>
      </c>
    </row>
    <row r="1277" spans="1:4" x14ac:dyDescent="0.2">
      <c r="A1277" s="5">
        <v>1216</v>
      </c>
      <c r="B1277" s="138">
        <f>'Expenditures 15-22'!K126</f>
        <v>5775</v>
      </c>
      <c r="C1277" s="2" t="s">
        <v>594</v>
      </c>
      <c r="D1277" s="2" t="str">
        <f t="shared" si="18"/>
        <v>Error?</v>
      </c>
    </row>
    <row r="1278" spans="1:4" x14ac:dyDescent="0.2">
      <c r="A1278" s="10">
        <v>1217</v>
      </c>
      <c r="D1278" s="2" t="str">
        <f t="shared" si="18"/>
        <v>OK</v>
      </c>
    </row>
    <row r="1279" spans="1:4" x14ac:dyDescent="0.2">
      <c r="A1279" s="5">
        <v>1218</v>
      </c>
      <c r="B1279" s="138">
        <f>'Expenditures 15-22'!K127</f>
        <v>973079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973079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973079</v>
      </c>
      <c r="C1288" s="2" t="s">
        <v>594</v>
      </c>
      <c r="D1288" s="2" t="str">
        <f t="shared" si="19"/>
        <v>Error?</v>
      </c>
    </row>
    <row r="1289" spans="1:4" x14ac:dyDescent="0.2">
      <c r="A1289" s="5">
        <v>1228</v>
      </c>
      <c r="B1289" s="138">
        <f>'Expenditures 15-22'!K152</f>
        <v>66870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184303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479868</v>
      </c>
      <c r="D1315" s="2" t="str">
        <f t="shared" si="19"/>
        <v>Error?</v>
      </c>
    </row>
    <row r="1316" spans="1:4" x14ac:dyDescent="0.2">
      <c r="A1316" s="5">
        <v>1255</v>
      </c>
      <c r="B1316" s="138">
        <f>'Expenditures 15-22'!H171</f>
        <v>1818</v>
      </c>
      <c r="D1316" s="2" t="str">
        <f t="shared" si="19"/>
        <v>Error?</v>
      </c>
    </row>
    <row r="1317" spans="1:4" x14ac:dyDescent="0.2">
      <c r="A1317" s="5">
        <v>1256</v>
      </c>
      <c r="B1317" s="138">
        <f>'Expenditures 15-22'!H172</f>
        <v>665989</v>
      </c>
      <c r="C1317" s="2" t="s">
        <v>594</v>
      </c>
      <c r="D1317" s="2" t="str">
        <f t="shared" si="19"/>
        <v>Error?</v>
      </c>
    </row>
    <row r="1318" spans="1:4" x14ac:dyDescent="0.2">
      <c r="A1318" s="5">
        <v>1257</v>
      </c>
      <c r="B1318" s="138">
        <f>'Expenditures 15-22'!H174</f>
        <v>665989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184303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479868</v>
      </c>
      <c r="C1329" s="2" t="s">
        <v>594</v>
      </c>
      <c r="D1329" s="2" t="str">
        <f t="shared" si="19"/>
        <v>Error?</v>
      </c>
    </row>
    <row r="1330" spans="1:4" x14ac:dyDescent="0.2">
      <c r="A1330" s="5">
        <v>1269</v>
      </c>
      <c r="B1330" s="138">
        <f>'Expenditures 15-22'!K171</f>
        <v>1818</v>
      </c>
      <c r="C1330" s="2" t="s">
        <v>594</v>
      </c>
      <c r="D1330" s="2" t="str">
        <f t="shared" si="19"/>
        <v>Error?</v>
      </c>
    </row>
    <row r="1331" spans="1:4" x14ac:dyDescent="0.2">
      <c r="A1331" s="5">
        <v>1270</v>
      </c>
      <c r="B1331" s="138">
        <f>'Expenditures 15-22'!K172</f>
        <v>665989</v>
      </c>
      <c r="C1331" s="2" t="s">
        <v>594</v>
      </c>
      <c r="D1331" s="2" t="str">
        <f t="shared" si="19"/>
        <v>Error?</v>
      </c>
    </row>
    <row r="1332" spans="1:4" x14ac:dyDescent="0.2">
      <c r="A1332" s="5">
        <v>1271</v>
      </c>
      <c r="B1332" s="138">
        <f>'Expenditures 15-22'!K174</f>
        <v>665989</v>
      </c>
      <c r="C1332" s="2" t="s">
        <v>594</v>
      </c>
      <c r="D1332" s="2" t="str">
        <f t="shared" si="19"/>
        <v>Error?</v>
      </c>
    </row>
    <row r="1333" spans="1:4" x14ac:dyDescent="0.2">
      <c r="A1333" s="5">
        <v>1272</v>
      </c>
      <c r="B1333" s="138">
        <f>'Expenditures 15-22'!K175</f>
        <v>-22658</v>
      </c>
      <c r="C1333" s="2" t="s">
        <v>594</v>
      </c>
      <c r="D1333" s="2" t="str">
        <f t="shared" si="19"/>
        <v>Error?</v>
      </c>
    </row>
    <row r="1334" spans="1:4" x14ac:dyDescent="0.2">
      <c r="A1334" s="10">
        <v>1273</v>
      </c>
      <c r="D1334" s="2" t="str">
        <f t="shared" si="19"/>
        <v>OK</v>
      </c>
    </row>
    <row r="1335" spans="1:4" x14ac:dyDescent="0.2">
      <c r="A1335" s="5">
        <v>1274</v>
      </c>
      <c r="B1335" s="138">
        <f>'Expenditures 15-22'!C182</f>
        <v>32142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32142</v>
      </c>
      <c r="C1339" s="2" t="s">
        <v>594</v>
      </c>
      <c r="D1339" s="2" t="str">
        <f t="shared" si="19"/>
        <v>Error?</v>
      </c>
    </row>
    <row r="1340" spans="1:4" x14ac:dyDescent="0.2">
      <c r="A1340" s="5">
        <v>1279</v>
      </c>
      <c r="B1340" s="138">
        <f>'Expenditures 15-22'!C210</f>
        <v>32142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886443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886443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886443</v>
      </c>
      <c r="C1353" s="2" t="s">
        <v>594</v>
      </c>
      <c r="D1353" s="2" t="str">
        <f t="shared" si="20"/>
        <v>Error?</v>
      </c>
    </row>
    <row r="1354" spans="1:4" x14ac:dyDescent="0.2">
      <c r="A1354" s="5">
        <v>1293</v>
      </c>
      <c r="B1354" s="138">
        <f>'Expenditures 15-22'!F182</f>
        <v>84253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84253</v>
      </c>
      <c r="C1358" s="2" t="s">
        <v>594</v>
      </c>
      <c r="D1358" s="2" t="str">
        <f t="shared" si="20"/>
        <v>Error?</v>
      </c>
    </row>
    <row r="1359" spans="1:4" x14ac:dyDescent="0.2">
      <c r="A1359" s="5">
        <v>1298</v>
      </c>
      <c r="B1359" s="138">
        <f>'Expenditures 15-22'!F210</f>
        <v>84253</v>
      </c>
      <c r="C1359" s="2" t="s">
        <v>594</v>
      </c>
      <c r="D1359" s="2" t="str">
        <f t="shared" si="20"/>
        <v>Error?</v>
      </c>
    </row>
    <row r="1360" spans="1:4" x14ac:dyDescent="0.2">
      <c r="A1360" s="5">
        <v>1299</v>
      </c>
      <c r="B1360" s="138">
        <f>'Expenditures 15-22'!G182</f>
        <v>52950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52950</v>
      </c>
      <c r="C1364" s="2" t="s">
        <v>594</v>
      </c>
      <c r="D1364" s="2" t="str">
        <f t="shared" si="20"/>
        <v>Error?</v>
      </c>
    </row>
    <row r="1365" spans="1:4" x14ac:dyDescent="0.2">
      <c r="A1365" s="5">
        <v>1304</v>
      </c>
      <c r="B1365" s="138">
        <f>'Expenditures 15-22'!G210</f>
        <v>52950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1055788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1055788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1055788</v>
      </c>
      <c r="C1388" s="2" t="s">
        <v>594</v>
      </c>
      <c r="D1388" s="2" t="str">
        <f t="shared" si="20"/>
        <v>Error?</v>
      </c>
    </row>
    <row r="1389" spans="1:4" x14ac:dyDescent="0.2">
      <c r="A1389" s="5">
        <v>1328</v>
      </c>
      <c r="B1389" s="138">
        <f>'Expenditures 15-22'!K211</f>
        <v>24135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2790</v>
      </c>
      <c r="D1407" s="2" t="str">
        <f t="shared" ref="D1407:D1470" si="21">IF(ISBLANK(B1407),"OK",IF(A1407-B1407=0,"OK","Error?"))</f>
        <v>Error?</v>
      </c>
    </row>
    <row r="1408" spans="1:4" x14ac:dyDescent="0.2">
      <c r="A1408" s="5">
        <v>1347</v>
      </c>
      <c r="B1408" s="138">
        <f>'Expenditures 15-22'!D223</f>
        <v>4186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124126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1668</v>
      </c>
      <c r="D1412" s="2" t="str">
        <f t="shared" si="21"/>
        <v>Error?</v>
      </c>
    </row>
    <row r="1413" spans="1:4" x14ac:dyDescent="0.2">
      <c r="A1413" s="5">
        <v>1352</v>
      </c>
      <c r="B1413" s="138">
        <f>'Expenditures 15-22'!D234</f>
        <v>10497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1118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13283</v>
      </c>
      <c r="C1417" s="2" t="s">
        <v>594</v>
      </c>
      <c r="D1417" s="2" t="str">
        <f t="shared" si="21"/>
        <v>Error?</v>
      </c>
    </row>
    <row r="1418" spans="1:4" x14ac:dyDescent="0.2">
      <c r="A1418" s="5">
        <v>1357</v>
      </c>
      <c r="B1418" s="138">
        <f>'Expenditures 15-22'!D240</f>
        <v>27</v>
      </c>
      <c r="D1418" s="2" t="str">
        <f t="shared" si="21"/>
        <v>Error?</v>
      </c>
    </row>
    <row r="1419" spans="1:4" x14ac:dyDescent="0.2">
      <c r="A1419" s="5">
        <v>1358</v>
      </c>
      <c r="B1419" s="138">
        <f>'Expenditures 15-22'!D241</f>
        <v>8648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8675</v>
      </c>
      <c r="C1421" s="2" t="s">
        <v>594</v>
      </c>
      <c r="D1421" s="2" t="str">
        <f t="shared" si="21"/>
        <v>Error?</v>
      </c>
    </row>
    <row r="1422" spans="1:4" x14ac:dyDescent="0.2">
      <c r="A1422" s="5">
        <v>1361</v>
      </c>
      <c r="B1422" s="138">
        <f>'Expenditures 15-22'!D245</f>
        <v>251</v>
      </c>
      <c r="D1422" s="2" t="str">
        <f t="shared" si="21"/>
        <v>Error?</v>
      </c>
    </row>
    <row r="1423" spans="1:4" x14ac:dyDescent="0.2">
      <c r="A1423" s="5">
        <v>1362</v>
      </c>
      <c r="B1423" s="138">
        <f>'Expenditures 15-22'!D246</f>
        <v>2115</v>
      </c>
      <c r="D1423" s="2" t="str">
        <f t="shared" si="21"/>
        <v>Error?</v>
      </c>
    </row>
    <row r="1424" spans="1:4" x14ac:dyDescent="0.2">
      <c r="A1424" s="5">
        <v>1363</v>
      </c>
      <c r="B1424" s="138">
        <f>'Expenditures 15-22'!D257</f>
        <v>2366</v>
      </c>
      <c r="C1424" s="2" t="s">
        <v>594</v>
      </c>
      <c r="D1424" s="2" t="str">
        <f t="shared" si="21"/>
        <v>Error?</v>
      </c>
    </row>
    <row r="1425" spans="1:4" x14ac:dyDescent="0.2">
      <c r="A1425" s="5">
        <v>1364</v>
      </c>
      <c r="B1425" s="138">
        <f>'Expenditures 15-22'!D259</f>
        <v>47362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47362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18016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74609</v>
      </c>
      <c r="D1431" s="2" t="str">
        <f t="shared" si="21"/>
        <v>Error?</v>
      </c>
    </row>
    <row r="1432" spans="1:4" x14ac:dyDescent="0.2">
      <c r="A1432" s="5">
        <v>1371</v>
      </c>
      <c r="B1432" s="138">
        <f>'Expenditures 15-22'!D267</f>
        <v>5547</v>
      </c>
      <c r="D1432" s="2" t="str">
        <f t="shared" si="21"/>
        <v>Error?</v>
      </c>
    </row>
    <row r="1433" spans="1:4" x14ac:dyDescent="0.2">
      <c r="A1433" s="5">
        <v>1372</v>
      </c>
      <c r="B1433" s="138">
        <f>'Expenditures 15-22'!D268</f>
        <v>29441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127613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199299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323425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2790</v>
      </c>
      <c r="C1471" s="2" t="s">
        <v>594</v>
      </c>
      <c r="D1471" s="2" t="str">
        <f t="shared" ref="D1471:D1534" si="22">IF(ISBLANK(B1471),"OK",IF(A1471-B1471=0,"OK","Error?"))</f>
        <v>Error?</v>
      </c>
    </row>
    <row r="1472" spans="1:4" x14ac:dyDescent="0.2">
      <c r="A1472" s="5">
        <v>1411</v>
      </c>
      <c r="B1472" s="138">
        <f>'Expenditures 15-22'!K223</f>
        <v>4186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124126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1668</v>
      </c>
      <c r="C1476" s="2" t="s">
        <v>594</v>
      </c>
      <c r="D1476" s="2" t="str">
        <f t="shared" si="22"/>
        <v>Error?</v>
      </c>
    </row>
    <row r="1477" spans="1:4" x14ac:dyDescent="0.2">
      <c r="A1477" s="5">
        <v>1416</v>
      </c>
      <c r="B1477" s="138">
        <f>'Expenditures 15-22'!K234</f>
        <v>10497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1118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13283</v>
      </c>
      <c r="C1481" s="2" t="s">
        <v>594</v>
      </c>
      <c r="D1481" s="2" t="str">
        <f t="shared" si="22"/>
        <v>Error?</v>
      </c>
    </row>
    <row r="1482" spans="1:4" x14ac:dyDescent="0.2">
      <c r="A1482" s="5">
        <v>1421</v>
      </c>
      <c r="B1482" s="138">
        <f>'Expenditures 15-22'!K240</f>
        <v>27</v>
      </c>
      <c r="C1482" s="2" t="s">
        <v>594</v>
      </c>
      <c r="D1482" s="2" t="str">
        <f t="shared" si="22"/>
        <v>Error?</v>
      </c>
    </row>
    <row r="1483" spans="1:4" x14ac:dyDescent="0.2">
      <c r="A1483" s="5">
        <v>1422</v>
      </c>
      <c r="B1483" s="138">
        <f>'Expenditures 15-22'!K241</f>
        <v>8648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8675</v>
      </c>
      <c r="C1485" s="2" t="s">
        <v>594</v>
      </c>
      <c r="D1485" s="2" t="str">
        <f t="shared" si="22"/>
        <v>Error?</v>
      </c>
    </row>
    <row r="1486" spans="1:4" x14ac:dyDescent="0.2">
      <c r="A1486" s="5">
        <v>1425</v>
      </c>
      <c r="B1486" s="138">
        <f>'Expenditures 15-22'!K245</f>
        <v>251</v>
      </c>
      <c r="C1486" s="2" t="s">
        <v>594</v>
      </c>
      <c r="D1486" s="2" t="str">
        <f t="shared" si="22"/>
        <v>Error?</v>
      </c>
    </row>
    <row r="1487" spans="1:4" x14ac:dyDescent="0.2">
      <c r="A1487" s="5">
        <v>1426</v>
      </c>
      <c r="B1487" s="138">
        <f>'Expenditures 15-22'!K246</f>
        <v>2115</v>
      </c>
      <c r="C1487" s="2" t="s">
        <v>594</v>
      </c>
      <c r="D1487" s="2" t="str">
        <f t="shared" si="22"/>
        <v>Error?</v>
      </c>
    </row>
    <row r="1488" spans="1:4" x14ac:dyDescent="0.2">
      <c r="A1488" s="5">
        <v>1427</v>
      </c>
      <c r="B1488" s="138">
        <f>'Expenditures 15-22'!K257</f>
        <v>2366</v>
      </c>
      <c r="C1488" s="2" t="s">
        <v>594</v>
      </c>
      <c r="D1488" s="2" t="str">
        <f t="shared" si="22"/>
        <v>Error?</v>
      </c>
    </row>
    <row r="1489" spans="1:4" x14ac:dyDescent="0.2">
      <c r="A1489" s="5">
        <v>1428</v>
      </c>
      <c r="B1489" s="138">
        <f>'Expenditures 15-22'!K259</f>
        <v>47362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47362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18016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74609</v>
      </c>
      <c r="C1495" s="2" t="s">
        <v>594</v>
      </c>
      <c r="D1495" s="2" t="str">
        <f t="shared" si="22"/>
        <v>Error?</v>
      </c>
    </row>
    <row r="1496" spans="1:4" x14ac:dyDescent="0.2">
      <c r="A1496" s="5">
        <v>1435</v>
      </c>
      <c r="B1496" s="138">
        <f>'Expenditures 15-22'!K267</f>
        <v>5547</v>
      </c>
      <c r="C1496" s="2" t="s">
        <v>594</v>
      </c>
      <c r="D1496" s="2" t="str">
        <f t="shared" si="22"/>
        <v>Error?</v>
      </c>
    </row>
    <row r="1497" spans="1:4" x14ac:dyDescent="0.2">
      <c r="A1497" s="5">
        <v>1436</v>
      </c>
      <c r="B1497" s="138">
        <f>'Expenditures 15-22'!K268</f>
        <v>29441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127613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199299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323425</v>
      </c>
      <c r="C1517" s="2" t="s">
        <v>594</v>
      </c>
      <c r="D1517" s="2" t="str">
        <f t="shared" si="22"/>
        <v>Error?</v>
      </c>
    </row>
    <row r="1518" spans="1:4" x14ac:dyDescent="0.2">
      <c r="A1518" s="5">
        <v>1457</v>
      </c>
      <c r="B1518" s="138">
        <f>'Expenditures 15-22'!K296</f>
        <v>27437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190224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190224</v>
      </c>
      <c r="C1547" s="2" t="s">
        <v>594</v>
      </c>
      <c r="D1547" s="2" t="str">
        <f t="shared" si="23"/>
        <v>Error?</v>
      </c>
    </row>
    <row r="1548" spans="1:4" x14ac:dyDescent="0.2">
      <c r="A1548" s="5">
        <v>1487</v>
      </c>
      <c r="B1548" s="138">
        <f>'Expenditures 15-22'!G312</f>
        <v>190224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190224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190224</v>
      </c>
      <c r="C1559" s="2" t="s">
        <v>594</v>
      </c>
      <c r="D1559" s="2" t="str">
        <f t="shared" si="23"/>
        <v>Error?</v>
      </c>
    </row>
    <row r="1560" spans="1:4" x14ac:dyDescent="0.2">
      <c r="A1560" s="5">
        <v>1499</v>
      </c>
      <c r="B1560" s="138">
        <f>'Expenditures 15-22'!K312</f>
        <v>190224</v>
      </c>
      <c r="C1560" s="2" t="s">
        <v>594</v>
      </c>
      <c r="D1560" s="2" t="str">
        <f t="shared" si="23"/>
        <v>Error?</v>
      </c>
    </row>
    <row r="1561" spans="1:4" x14ac:dyDescent="0.2">
      <c r="A1561" s="5">
        <v>1500</v>
      </c>
      <c r="B1561" s="138">
        <f>'Expenditures 15-22'!K313</f>
        <v>-42006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2111367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2275735</v>
      </c>
      <c r="C1630" s="2" t="s">
        <v>594</v>
      </c>
      <c r="D1630" s="2" t="str">
        <f t="shared" si="24"/>
        <v>Error?</v>
      </c>
    </row>
    <row r="1631" spans="1:4" x14ac:dyDescent="0.2">
      <c r="A1631" s="5">
        <v>1570</v>
      </c>
      <c r="B1631" s="138">
        <f>'Acct Summary 7-8'!D79</f>
        <v>495681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562551</v>
      </c>
      <c r="C1644" s="2" t="s">
        <v>594</v>
      </c>
      <c r="D1644" s="2" t="str">
        <f t="shared" si="24"/>
        <v>Error?</v>
      </c>
    </row>
    <row r="1645" spans="1:4" x14ac:dyDescent="0.2">
      <c r="A1645" s="5">
        <v>1584</v>
      </c>
      <c r="B1645" s="138">
        <f>'Acct Summary 7-8'!E79</f>
        <v>84109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83452</v>
      </c>
      <c r="C1658" s="2" t="s">
        <v>594</v>
      </c>
      <c r="D1658" s="2" t="str">
        <f t="shared" si="24"/>
        <v>Error?</v>
      </c>
    </row>
    <row r="1659" spans="1:4" x14ac:dyDescent="0.2">
      <c r="A1659" s="5">
        <v>1598</v>
      </c>
      <c r="B1659" s="138">
        <f>'Acct Summary 7-8'!F79</f>
        <v>-221442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-144307</v>
      </c>
      <c r="C1672" s="2" t="s">
        <v>594</v>
      </c>
      <c r="D1672" s="2" t="str">
        <f t="shared" si="25"/>
        <v>Error?</v>
      </c>
    </row>
    <row r="1673" spans="1:4" x14ac:dyDescent="0.2">
      <c r="A1673" s="5">
        <v>1612</v>
      </c>
      <c r="B1673" s="138">
        <f>'Acct Summary 7-8'!G79</f>
        <v>349593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377030</v>
      </c>
      <c r="C1686" s="2" t="s">
        <v>594</v>
      </c>
      <c r="D1686" s="2" t="str">
        <f t="shared" si="25"/>
        <v>Error?</v>
      </c>
    </row>
    <row r="1687" spans="1:4" x14ac:dyDescent="0.2">
      <c r="A1687" s="5">
        <v>1626</v>
      </c>
      <c r="B1687" s="138">
        <f>'Acct Summary 7-8'!H79</f>
        <v>395970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353964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4959721</v>
      </c>
      <c r="C1744" s="2" t="s">
        <v>594</v>
      </c>
      <c r="D1744" s="2" t="str">
        <f t="shared" si="26"/>
        <v>Error?</v>
      </c>
    </row>
    <row r="1745" spans="1:5" x14ac:dyDescent="0.2">
      <c r="A1745" s="5">
        <v>1684</v>
      </c>
      <c r="B1745" s="138">
        <f>'Tax Sched 23'!B5</f>
        <v>1026360</v>
      </c>
      <c r="C1745" s="2" t="s">
        <v>594</v>
      </c>
      <c r="D1745" s="2" t="str">
        <f t="shared" si="26"/>
        <v>Error?</v>
      </c>
    </row>
    <row r="1746" spans="1:5" x14ac:dyDescent="0.2">
      <c r="A1746" s="5">
        <v>1685</v>
      </c>
      <c r="B1746" s="138">
        <f>'Tax Sched 23'!B6</f>
        <v>395504</v>
      </c>
      <c r="C1746" s="2" t="s">
        <v>594</v>
      </c>
      <c r="D1746" s="2" t="str">
        <f t="shared" si="26"/>
        <v>Error?</v>
      </c>
    </row>
    <row r="1747" spans="1:5" x14ac:dyDescent="0.2">
      <c r="A1747" s="5">
        <v>1686</v>
      </c>
      <c r="B1747" s="138">
        <f>'Tax Sched 23'!B7</f>
        <v>410546</v>
      </c>
      <c r="C1747" s="2" t="s">
        <v>594</v>
      </c>
      <c r="D1747" s="2" t="str">
        <f t="shared" si="26"/>
        <v>Error?</v>
      </c>
    </row>
    <row r="1748" spans="1:5" x14ac:dyDescent="0.2">
      <c r="A1748" s="5">
        <v>1687</v>
      </c>
      <c r="B1748" s="138">
        <f>'Tax Sched 23'!B8</f>
        <v>147179</v>
      </c>
      <c r="C1748" s="2" t="s">
        <v>594</v>
      </c>
      <c r="D1748" s="2" t="str">
        <f t="shared" si="26"/>
        <v>Error?</v>
      </c>
    </row>
    <row r="1749" spans="1:5" x14ac:dyDescent="0.2">
      <c r="A1749" s="5">
        <v>1688</v>
      </c>
      <c r="B1749" s="138">
        <f>'Tax Sched 23'!B10</f>
        <v>102635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303409</v>
      </c>
      <c r="C1752" s="2" t="s">
        <v>594</v>
      </c>
      <c r="D1752" s="2" t="str">
        <f t="shared" si="26"/>
        <v>Error?</v>
      </c>
    </row>
    <row r="1753" spans="1:5" x14ac:dyDescent="0.2">
      <c r="A1753" s="5">
        <v>1692</v>
      </c>
      <c r="B1753" s="138">
        <f>'Tax Sched 23'!B12</f>
        <v>102635</v>
      </c>
      <c r="C1753" s="2" t="s">
        <v>594</v>
      </c>
      <c r="D1753" s="2" t="str">
        <f t="shared" si="26"/>
        <v>Error?</v>
      </c>
    </row>
    <row r="1754" spans="1:5" x14ac:dyDescent="0.2">
      <c r="A1754" s="5">
        <v>1693</v>
      </c>
      <c r="B1754" s="138">
        <f>'Tax Sched 23'!B14</f>
        <v>82109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7820159</v>
      </c>
      <c r="C1759" s="2" t="s">
        <v>594</v>
      </c>
      <c r="D1759" s="2" t="str">
        <f t="shared" si="26"/>
        <v>Error?</v>
      </c>
    </row>
    <row r="1760" spans="1:5" x14ac:dyDescent="0.2">
      <c r="A1760" s="5">
        <v>1699</v>
      </c>
      <c r="B1760" s="138">
        <f>'Tax Sched 23'!D4</f>
        <v>4923263</v>
      </c>
      <c r="C1760" s="2" t="s">
        <v>594</v>
      </c>
      <c r="D1760" s="2" t="str">
        <f t="shared" si="26"/>
        <v>Error?</v>
      </c>
    </row>
    <row r="1761" spans="1:5" x14ac:dyDescent="0.2">
      <c r="A1761" s="5">
        <v>1700</v>
      </c>
      <c r="B1761" s="138">
        <f>'Tax Sched 23'!D5</f>
        <v>1018764</v>
      </c>
      <c r="C1761" s="2" t="s">
        <v>594</v>
      </c>
      <c r="D1761" s="2" t="str">
        <f t="shared" si="26"/>
        <v>Error?</v>
      </c>
    </row>
    <row r="1762" spans="1:5" s="8" customFormat="1" x14ac:dyDescent="0.2">
      <c r="A1762" s="5">
        <v>1701</v>
      </c>
      <c r="B1762" s="138">
        <f>'Tax Sched 23'!D6</f>
        <v>393810</v>
      </c>
      <c r="C1762" s="2" t="s">
        <v>594</v>
      </c>
      <c r="D1762" s="2" t="str">
        <f t="shared" si="26"/>
        <v>Error?</v>
      </c>
      <c r="E1762" s="9"/>
    </row>
    <row r="1763" spans="1:5" x14ac:dyDescent="0.2">
      <c r="A1763" s="5">
        <v>1702</v>
      </c>
      <c r="B1763" s="138">
        <f>'Tax Sched 23'!D7</f>
        <v>407508</v>
      </c>
      <c r="C1763" s="2" t="s">
        <v>594</v>
      </c>
      <c r="D1763" s="2" t="str">
        <f t="shared" si="26"/>
        <v>Error?</v>
      </c>
    </row>
    <row r="1764" spans="1:5" x14ac:dyDescent="0.2">
      <c r="A1764" s="5">
        <v>1703</v>
      </c>
      <c r="B1764" s="138">
        <f>'Tax Sched 23'!D8</f>
        <v>146148</v>
      </c>
      <c r="C1764" s="2" t="s">
        <v>594</v>
      </c>
      <c r="D1764" s="2" t="str">
        <f t="shared" si="26"/>
        <v>Error?</v>
      </c>
    </row>
    <row r="1765" spans="1:5" x14ac:dyDescent="0.2">
      <c r="A1765" s="5">
        <v>1704</v>
      </c>
      <c r="B1765" s="138">
        <f>'Tax Sched 23'!D10</f>
        <v>101876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301282</v>
      </c>
      <c r="C1768" s="2" t="s">
        <v>594</v>
      </c>
      <c r="D1768" s="2" t="str">
        <f t="shared" si="26"/>
        <v>Error?</v>
      </c>
    </row>
    <row r="1769" spans="1:5" x14ac:dyDescent="0.2">
      <c r="A1769" s="5">
        <v>1708</v>
      </c>
      <c r="B1769" s="138">
        <f>'Tax Sched 23'!D12</f>
        <v>101876</v>
      </c>
      <c r="C1769" s="2" t="s">
        <v>594</v>
      </c>
      <c r="D1769" s="2" t="str">
        <f t="shared" si="26"/>
        <v>Error?</v>
      </c>
    </row>
    <row r="1770" spans="1:5" x14ac:dyDescent="0.2">
      <c r="A1770" s="5">
        <v>1709</v>
      </c>
      <c r="B1770" s="138">
        <f>'Tax Sched 23'!D14</f>
        <v>81501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7764518</v>
      </c>
      <c r="C1775" s="2" t="s">
        <v>594</v>
      </c>
      <c r="D1775" s="2" t="str">
        <f t="shared" si="26"/>
        <v>Error?</v>
      </c>
    </row>
    <row r="1776" spans="1:5" x14ac:dyDescent="0.2">
      <c r="A1776" s="5">
        <v>1715</v>
      </c>
      <c r="B1776" s="138">
        <f>'Tax Sched 23'!C4</f>
        <v>36458</v>
      </c>
      <c r="D1776" s="2" t="str">
        <f t="shared" si="26"/>
        <v>Error?</v>
      </c>
    </row>
    <row r="1777" spans="1:4" x14ac:dyDescent="0.2">
      <c r="A1777" s="5">
        <v>1716</v>
      </c>
      <c r="B1777" s="138">
        <f>'Tax Sched 23'!C5</f>
        <v>7596</v>
      </c>
      <c r="D1777" s="2" t="str">
        <f t="shared" si="26"/>
        <v>Error?</v>
      </c>
    </row>
    <row r="1778" spans="1:4" x14ac:dyDescent="0.2">
      <c r="A1778" s="5">
        <v>1717</v>
      </c>
      <c r="B1778" s="138">
        <f>'Tax Sched 23'!C6</f>
        <v>1694</v>
      </c>
      <c r="D1778" s="2" t="str">
        <f t="shared" si="26"/>
        <v>Error?</v>
      </c>
    </row>
    <row r="1779" spans="1:4" x14ac:dyDescent="0.2">
      <c r="A1779" s="5">
        <v>1718</v>
      </c>
      <c r="B1779" s="138">
        <f>'Tax Sched 23'!C7</f>
        <v>3038</v>
      </c>
      <c r="D1779" s="2" t="str">
        <f t="shared" si="26"/>
        <v>Error?</v>
      </c>
    </row>
    <row r="1780" spans="1:4" x14ac:dyDescent="0.2">
      <c r="A1780" s="5">
        <v>1719</v>
      </c>
      <c r="B1780" s="138">
        <f>'Tax Sched 23'!C8</f>
        <v>1031</v>
      </c>
      <c r="D1780" s="2" t="str">
        <f t="shared" si="26"/>
        <v>Error?</v>
      </c>
    </row>
    <row r="1781" spans="1:4" x14ac:dyDescent="0.2">
      <c r="A1781" s="5">
        <v>1720</v>
      </c>
      <c r="B1781" s="138">
        <f>'Tax Sched 23'!C10</f>
        <v>759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2127</v>
      </c>
      <c r="D1784" s="2" t="str">
        <f t="shared" si="26"/>
        <v>Error?</v>
      </c>
    </row>
    <row r="1785" spans="1:4" x14ac:dyDescent="0.2">
      <c r="A1785" s="5">
        <v>1724</v>
      </c>
      <c r="B1785" s="138">
        <f>'Tax Sched 23'!C12</f>
        <v>759</v>
      </c>
      <c r="D1785" s="2" t="str">
        <f t="shared" si="26"/>
        <v>Error?</v>
      </c>
    </row>
    <row r="1786" spans="1:4" x14ac:dyDescent="0.2">
      <c r="A1786" s="5">
        <v>1725</v>
      </c>
      <c r="B1786" s="138">
        <f>'Tax Sched 23'!C14</f>
        <v>608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55641</v>
      </c>
      <c r="C1791" s="2" t="s">
        <v>594</v>
      </c>
      <c r="D1791" s="2" t="str">
        <f t="shared" ref="D1791:D1854" si="27">IF(ISBLANK(B1791),"OK",IF(A1791-B1791=0,"OK","Error?"))</f>
        <v>Error?</v>
      </c>
    </row>
    <row r="1792" spans="1:4" x14ac:dyDescent="0.2">
      <c r="A1792" s="5">
        <v>1731</v>
      </c>
      <c r="B1792" s="138">
        <f>'Tax Sched 23'!F4</f>
        <v>5138356</v>
      </c>
      <c r="C1792" s="2" t="s">
        <v>594</v>
      </c>
      <c r="D1792" s="2" t="str">
        <f t="shared" si="27"/>
        <v>Error?</v>
      </c>
    </row>
    <row r="1793" spans="1:4" x14ac:dyDescent="0.2">
      <c r="A1793" s="5">
        <v>1732</v>
      </c>
      <c r="B1793" s="138">
        <f>'Tax Sched 23'!F5</f>
        <v>1070490</v>
      </c>
      <c r="C1793" s="2" t="s">
        <v>594</v>
      </c>
      <c r="D1793" s="2" t="str">
        <f t="shared" si="27"/>
        <v>Error?</v>
      </c>
    </row>
    <row r="1794" spans="1:4" x14ac:dyDescent="0.2">
      <c r="A1794" s="5">
        <v>1733</v>
      </c>
      <c r="B1794" s="138">
        <f>'Tax Sched 23'!F6</f>
        <v>389597</v>
      </c>
      <c r="C1794" s="2" t="s">
        <v>594</v>
      </c>
      <c r="D1794" s="2" t="str">
        <f t="shared" si="27"/>
        <v>Error?</v>
      </c>
    </row>
    <row r="1795" spans="1:4" x14ac:dyDescent="0.2">
      <c r="A1795" s="5">
        <v>1734</v>
      </c>
      <c r="B1795" s="138">
        <f>'Tax Sched 23'!F7</f>
        <v>428196</v>
      </c>
      <c r="C1795" s="2" t="s">
        <v>594</v>
      </c>
      <c r="D1795" s="2" t="str">
        <f t="shared" si="27"/>
        <v>Error?</v>
      </c>
    </row>
    <row r="1796" spans="1:4" x14ac:dyDescent="0.2">
      <c r="A1796" s="5">
        <v>1735</v>
      </c>
      <c r="B1796" s="138">
        <f>'Tax Sched 23'!F8</f>
        <v>145009</v>
      </c>
      <c r="C1796" s="2" t="s">
        <v>594</v>
      </c>
      <c r="D1796" s="2" t="str">
        <f t="shared" si="27"/>
        <v>Error?</v>
      </c>
    </row>
    <row r="1797" spans="1:4" x14ac:dyDescent="0.2">
      <c r="A1797" s="5">
        <v>1736</v>
      </c>
      <c r="B1797" s="138">
        <f>'Tax Sched 23'!F10</f>
        <v>107050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298996</v>
      </c>
      <c r="C1800" s="2" t="s">
        <v>594</v>
      </c>
      <c r="D1800" s="2" t="str">
        <f t="shared" si="27"/>
        <v>Error?</v>
      </c>
    </row>
    <row r="1801" spans="1:4" x14ac:dyDescent="0.2">
      <c r="A1801" s="5">
        <v>1740</v>
      </c>
      <c r="B1801" s="138">
        <f>'Tax Sched 23'!F12</f>
        <v>107050</v>
      </c>
      <c r="C1801" s="2" t="s">
        <v>594</v>
      </c>
      <c r="D1801" s="2" t="str">
        <f t="shared" si="27"/>
        <v>Error?</v>
      </c>
    </row>
    <row r="1802" spans="1:4" x14ac:dyDescent="0.2">
      <c r="A1802" s="5">
        <v>1741</v>
      </c>
      <c r="B1802" s="138">
        <f>'Tax Sched 23'!F14</f>
        <v>85639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8060519</v>
      </c>
      <c r="C1807" s="2" t="s">
        <v>594</v>
      </c>
      <c r="D1807" s="2" t="str">
        <f t="shared" si="27"/>
        <v>Error?</v>
      </c>
    </row>
    <row r="1808" spans="1:4" x14ac:dyDescent="0.2">
      <c r="A1808" s="5">
        <v>1747</v>
      </c>
      <c r="B1808" s="138">
        <f>'Tax Sched 23'!E4</f>
        <v>5174814</v>
      </c>
      <c r="D1808" s="2" t="str">
        <f t="shared" si="27"/>
        <v>Error?</v>
      </c>
    </row>
    <row r="1809" spans="1:4" x14ac:dyDescent="0.2">
      <c r="A1809" s="5">
        <v>1748</v>
      </c>
      <c r="B1809" s="138">
        <f>'Tax Sched 23'!E5</f>
        <v>1078086</v>
      </c>
      <c r="D1809" s="2" t="str">
        <f t="shared" si="27"/>
        <v>Error?</v>
      </c>
    </row>
    <row r="1810" spans="1:4" x14ac:dyDescent="0.2">
      <c r="A1810" s="5">
        <v>1749</v>
      </c>
      <c r="B1810" s="138">
        <f>'Tax Sched 23'!E6</f>
        <v>391291</v>
      </c>
      <c r="D1810" s="2" t="str">
        <f t="shared" si="27"/>
        <v>Error?</v>
      </c>
    </row>
    <row r="1811" spans="1:4" x14ac:dyDescent="0.2">
      <c r="A1811" s="5">
        <v>1750</v>
      </c>
      <c r="B1811" s="138">
        <f>'Tax Sched 23'!E7</f>
        <v>431234</v>
      </c>
      <c r="D1811" s="2" t="str">
        <f t="shared" si="27"/>
        <v>Error?</v>
      </c>
    </row>
    <row r="1812" spans="1:4" x14ac:dyDescent="0.2">
      <c r="A1812" s="5">
        <v>1751</v>
      </c>
      <c r="B1812" s="138">
        <f>'Tax Sched 23'!E8</f>
        <v>146040</v>
      </c>
      <c r="D1812" s="2" t="str">
        <f t="shared" si="27"/>
        <v>Error?</v>
      </c>
    </row>
    <row r="1813" spans="1:4" x14ac:dyDescent="0.2">
      <c r="A1813" s="5">
        <v>1752</v>
      </c>
      <c r="B1813" s="138">
        <f>'Tax Sched 23'!E10</f>
        <v>107809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301123</v>
      </c>
      <c r="D1816" s="2" t="str">
        <f t="shared" si="27"/>
        <v>Error?</v>
      </c>
    </row>
    <row r="1817" spans="1:4" x14ac:dyDescent="0.2">
      <c r="A1817" s="5">
        <v>1756</v>
      </c>
      <c r="B1817" s="138">
        <f>'Tax Sched 23'!E12</f>
        <v>107809</v>
      </c>
      <c r="D1817" s="2" t="str">
        <f t="shared" si="27"/>
        <v>Error?</v>
      </c>
    </row>
    <row r="1818" spans="1:4" x14ac:dyDescent="0.2">
      <c r="A1818" s="5">
        <v>1757</v>
      </c>
      <c r="B1818" s="138">
        <f>'Tax Sched 23'!E14</f>
        <v>86247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8116160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4726349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82109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82109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82109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160054</v>
      </c>
      <c r="D2008" s="2" t="str">
        <f t="shared" si="30"/>
        <v>Error?</v>
      </c>
    </row>
    <row r="2009" spans="1:4" x14ac:dyDescent="0.2">
      <c r="A2009" s="5">
        <v>1948</v>
      </c>
      <c r="B2009" s="138">
        <f>'Cap Outlay Deprec 26'!C8</f>
        <v>15740511</v>
      </c>
      <c r="D2009" s="2" t="str">
        <f t="shared" si="30"/>
        <v>Error?</v>
      </c>
    </row>
    <row r="2010" spans="1:4" x14ac:dyDescent="0.2">
      <c r="A2010" s="5">
        <v>1949</v>
      </c>
      <c r="B2010" s="138">
        <f>'Cap Outlay Deprec 26'!C10</f>
        <v>762361</v>
      </c>
      <c r="D2010" s="2" t="str">
        <f t="shared" si="30"/>
        <v>Error?</v>
      </c>
    </row>
    <row r="2011" spans="1:4" x14ac:dyDescent="0.2">
      <c r="A2011" s="5">
        <v>1950</v>
      </c>
      <c r="B2011" s="138">
        <f>'Cap Outlay Deprec 26'!C12</f>
        <v>3525592</v>
      </c>
      <c r="D2011" s="2" t="str">
        <f t="shared" si="30"/>
        <v>Error?</v>
      </c>
    </row>
    <row r="2012" spans="1:4" x14ac:dyDescent="0.2">
      <c r="A2012" s="5">
        <v>1951</v>
      </c>
      <c r="B2012" s="138">
        <f>'Cap Outlay Deprec 26'!C13</f>
        <v>81809</v>
      </c>
      <c r="D2012" s="2" t="str">
        <f t="shared" si="30"/>
        <v>Error?</v>
      </c>
    </row>
    <row r="2013" spans="1:4" x14ac:dyDescent="0.2">
      <c r="A2013" s="5">
        <v>1952</v>
      </c>
      <c r="B2013" s="138">
        <f>'Cap Outlay Deprec 26'!C16</f>
        <v>20321184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143224</v>
      </c>
      <c r="D2015" s="2" t="str">
        <f t="shared" si="30"/>
        <v>Error?</v>
      </c>
    </row>
    <row r="2016" spans="1:4" x14ac:dyDescent="0.2">
      <c r="A2016" s="5">
        <v>1955</v>
      </c>
      <c r="B2016" s="138">
        <f>'Cap Outlay Deprec 26'!D10</f>
        <v>47000</v>
      </c>
      <c r="D2016" s="2" t="str">
        <f t="shared" si="30"/>
        <v>Error?</v>
      </c>
    </row>
    <row r="2017" spans="1:4" x14ac:dyDescent="0.2">
      <c r="A2017" s="5">
        <v>1956</v>
      </c>
      <c r="B2017" s="138">
        <f>'Cap Outlay Deprec 26'!D12</f>
        <v>118093</v>
      </c>
      <c r="D2017" s="2" t="str">
        <f t="shared" si="30"/>
        <v>Error?</v>
      </c>
    </row>
    <row r="2018" spans="1:4" x14ac:dyDescent="0.2">
      <c r="A2018" s="5">
        <v>1957</v>
      </c>
      <c r="B2018" s="138">
        <f>'Cap Outlay Deprec 26'!D13</f>
        <v>52950</v>
      </c>
      <c r="D2018" s="2" t="str">
        <f t="shared" si="30"/>
        <v>Error?</v>
      </c>
    </row>
    <row r="2019" spans="1:4" x14ac:dyDescent="0.2">
      <c r="A2019" s="5">
        <v>1958</v>
      </c>
      <c r="B2019" s="138">
        <f>'Cap Outlay Deprec 26'!D16</f>
        <v>361267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1860476</v>
      </c>
      <c r="D2023" s="2" t="str">
        <f t="shared" si="30"/>
        <v>Error?</v>
      </c>
    </row>
    <row r="2024" spans="1:4" x14ac:dyDescent="0.2">
      <c r="A2024" s="5">
        <v>1963</v>
      </c>
      <c r="B2024" s="138">
        <f>'Cap Outlay Deprec 26'!E13</f>
        <v>19900</v>
      </c>
      <c r="D2024" s="2" t="str">
        <f t="shared" si="30"/>
        <v>Error?</v>
      </c>
    </row>
    <row r="2025" spans="1:4" x14ac:dyDescent="0.2">
      <c r="A2025" s="5">
        <v>1964</v>
      </c>
      <c r="B2025" s="138">
        <f>'Cap Outlay Deprec 26'!E16</f>
        <v>1931233</v>
      </c>
      <c r="C2025" s="2" t="s">
        <v>594</v>
      </c>
      <c r="D2025" s="2" t="str">
        <f t="shared" si="30"/>
        <v>Error?</v>
      </c>
    </row>
    <row r="2026" spans="1:4" x14ac:dyDescent="0.2">
      <c r="A2026" s="5">
        <v>1965</v>
      </c>
      <c r="B2026" s="138">
        <f>'Cap Outlay Deprec 26'!F5</f>
        <v>160054</v>
      </c>
      <c r="C2026" s="2" t="s">
        <v>594</v>
      </c>
      <c r="D2026" s="2" t="str">
        <f t="shared" si="30"/>
        <v>Error?</v>
      </c>
    </row>
    <row r="2027" spans="1:4" x14ac:dyDescent="0.2">
      <c r="A2027" s="5">
        <v>1966</v>
      </c>
      <c r="B2027" s="138">
        <f>'Cap Outlay Deprec 26'!F8</f>
        <v>15883735</v>
      </c>
      <c r="C2027" s="2" t="s">
        <v>594</v>
      </c>
      <c r="D2027" s="2" t="str">
        <f t="shared" si="30"/>
        <v>Error?</v>
      </c>
    </row>
    <row r="2028" spans="1:4" x14ac:dyDescent="0.2">
      <c r="A2028" s="5">
        <v>1967</v>
      </c>
      <c r="B2028" s="138">
        <f>'Cap Outlay Deprec 26'!F10</f>
        <v>809361</v>
      </c>
      <c r="C2028" s="2" t="s">
        <v>594</v>
      </c>
      <c r="D2028" s="2" t="str">
        <f t="shared" si="30"/>
        <v>Error?</v>
      </c>
    </row>
    <row r="2029" spans="1:4" x14ac:dyDescent="0.2">
      <c r="A2029" s="5">
        <v>1968</v>
      </c>
      <c r="B2029" s="138">
        <f>'Cap Outlay Deprec 26'!F12</f>
        <v>1783209</v>
      </c>
      <c r="C2029" s="2" t="s">
        <v>594</v>
      </c>
      <c r="D2029" s="2" t="str">
        <f t="shared" si="30"/>
        <v>Error?</v>
      </c>
    </row>
    <row r="2030" spans="1:4" x14ac:dyDescent="0.2">
      <c r="A2030" s="5">
        <v>1969</v>
      </c>
      <c r="B2030" s="138">
        <f>'Cap Outlay Deprec 26'!F13</f>
        <v>114859</v>
      </c>
      <c r="C2030" s="2" t="s">
        <v>594</v>
      </c>
      <c r="D2030" s="2" t="str">
        <f t="shared" si="30"/>
        <v>Error?</v>
      </c>
    </row>
    <row r="2031" spans="1:4" x14ac:dyDescent="0.2">
      <c r="A2031" s="5">
        <v>1970</v>
      </c>
      <c r="B2031" s="138">
        <f>'Cap Outlay Deprec 26'!F16</f>
        <v>18751218</v>
      </c>
      <c r="C2031" s="2" t="s">
        <v>594</v>
      </c>
      <c r="D2031" s="2" t="str">
        <f t="shared" si="30"/>
        <v>Error?</v>
      </c>
    </row>
    <row r="2032" spans="1:4" x14ac:dyDescent="0.2">
      <c r="A2032" s="10">
        <v>1971</v>
      </c>
      <c r="D2032" s="2" t="str">
        <f t="shared" si="30"/>
        <v>OK</v>
      </c>
    </row>
    <row r="2033" spans="1:4" x14ac:dyDescent="0.2">
      <c r="A2033" s="5">
        <v>1972</v>
      </c>
      <c r="B2033" s="138">
        <f>'Cap Outlay Deprec 26'!H8</f>
        <v>7842890</v>
      </c>
      <c r="D2033" s="2" t="str">
        <f t="shared" si="30"/>
        <v>Error?</v>
      </c>
    </row>
    <row r="2034" spans="1:4" x14ac:dyDescent="0.2">
      <c r="A2034" s="5">
        <v>1973</v>
      </c>
      <c r="B2034" s="138">
        <f>'Cap Outlay Deprec 26'!H10</f>
        <v>596286</v>
      </c>
      <c r="D2034" s="2" t="str">
        <f t="shared" si="30"/>
        <v>Error?</v>
      </c>
    </row>
    <row r="2035" spans="1:4" x14ac:dyDescent="0.2">
      <c r="A2035" s="5">
        <v>1974</v>
      </c>
      <c r="B2035" s="138">
        <f>'Cap Outlay Deprec 26'!H12</f>
        <v>2405989</v>
      </c>
      <c r="D2035" s="2" t="str">
        <f t="shared" si="30"/>
        <v>Error?</v>
      </c>
    </row>
    <row r="2036" spans="1:4" x14ac:dyDescent="0.2">
      <c r="A2036" s="5">
        <v>1975</v>
      </c>
      <c r="B2036" s="138">
        <f>'Cap Outlay Deprec 26'!H13</f>
        <v>54891</v>
      </c>
      <c r="D2036" s="2" t="str">
        <f t="shared" si="30"/>
        <v>Error?</v>
      </c>
    </row>
    <row r="2037" spans="1:4" x14ac:dyDescent="0.2">
      <c r="A2037" s="5">
        <v>1976</v>
      </c>
      <c r="B2037" s="138">
        <f>'Cap Outlay Deprec 26'!H16</f>
        <v>10950913</v>
      </c>
      <c r="C2037" s="2" t="s">
        <v>594</v>
      </c>
      <c r="D2037" s="2" t="str">
        <f t="shared" si="30"/>
        <v>Error?</v>
      </c>
    </row>
    <row r="2038" spans="1:4" x14ac:dyDescent="0.2">
      <c r="A2038" s="10">
        <v>1977</v>
      </c>
      <c r="D2038" s="2" t="str">
        <f t="shared" si="30"/>
        <v>OK</v>
      </c>
    </row>
    <row r="2039" spans="1:4" x14ac:dyDescent="0.2">
      <c r="A2039" s="5">
        <v>1978</v>
      </c>
      <c r="B2039" s="138">
        <f>'Cap Outlay Deprec 26'!I8</f>
        <v>263107</v>
      </c>
      <c r="D2039" s="2" t="str">
        <f t="shared" si="30"/>
        <v>Error?</v>
      </c>
    </row>
    <row r="2040" spans="1:4" x14ac:dyDescent="0.2">
      <c r="A2040" s="5">
        <v>1979</v>
      </c>
      <c r="B2040" s="138">
        <f>'Cap Outlay Deprec 26'!I10</f>
        <v>14196</v>
      </c>
      <c r="D2040" s="2" t="str">
        <f t="shared" si="30"/>
        <v>Error?</v>
      </c>
    </row>
    <row r="2041" spans="1:4" x14ac:dyDescent="0.2">
      <c r="A2041" s="5">
        <v>1980</v>
      </c>
      <c r="B2041" s="138">
        <f>'Cap Outlay Deprec 26'!I12</f>
        <v>178276</v>
      </c>
      <c r="D2041" s="2" t="str">
        <f t="shared" si="30"/>
        <v>Error?</v>
      </c>
    </row>
    <row r="2042" spans="1:4" x14ac:dyDescent="0.2">
      <c r="A2042" s="5">
        <v>1981</v>
      </c>
      <c r="B2042" s="138">
        <f>'Cap Outlay Deprec 26'!I13</f>
        <v>16572</v>
      </c>
      <c r="D2042" s="2" t="str">
        <f t="shared" si="30"/>
        <v>Error?</v>
      </c>
    </row>
    <row r="2043" spans="1:4" x14ac:dyDescent="0.2">
      <c r="A2043" s="5">
        <v>1982</v>
      </c>
      <c r="B2043" s="138">
        <f>'Cap Outlay Deprec 26'!I16</f>
        <v>472151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1860476</v>
      </c>
      <c r="D2047" s="2" t="str">
        <f t="shared" ref="D2047:D2110" si="31">IF(ISBLANK(B2047),"OK",IF(A2047-B2047=0,"OK","Error?"))</f>
        <v>Error?</v>
      </c>
    </row>
    <row r="2048" spans="1:4" x14ac:dyDescent="0.2">
      <c r="A2048" s="5">
        <v>1987</v>
      </c>
      <c r="B2048" s="138">
        <f>'Cap Outlay Deprec 26'!J13</f>
        <v>19900</v>
      </c>
      <c r="D2048" s="2" t="str">
        <f t="shared" si="31"/>
        <v>Error?</v>
      </c>
    </row>
    <row r="2049" spans="1:4" x14ac:dyDescent="0.2">
      <c r="A2049" s="5">
        <v>1988</v>
      </c>
      <c r="B2049" s="138">
        <f>'Cap Outlay Deprec 26'!J16</f>
        <v>1931233</v>
      </c>
      <c r="C2049" s="2" t="s">
        <v>594</v>
      </c>
      <c r="D2049" s="2" t="str">
        <f t="shared" si="31"/>
        <v>Error?</v>
      </c>
    </row>
    <row r="2050" spans="1:4" x14ac:dyDescent="0.2">
      <c r="A2050" s="10">
        <v>1989</v>
      </c>
      <c r="D2050" s="2" t="str">
        <f t="shared" si="31"/>
        <v>OK</v>
      </c>
    </row>
    <row r="2051" spans="1:4" x14ac:dyDescent="0.2">
      <c r="A2051" s="5">
        <v>1990</v>
      </c>
      <c r="B2051" s="138">
        <f>'Cap Outlay Deprec 26'!K8</f>
        <v>8105997</v>
      </c>
      <c r="C2051" s="2" t="s">
        <v>594</v>
      </c>
      <c r="D2051" s="2" t="str">
        <f t="shared" si="31"/>
        <v>Error?</v>
      </c>
    </row>
    <row r="2052" spans="1:4" x14ac:dyDescent="0.2">
      <c r="A2052" s="5">
        <v>1991</v>
      </c>
      <c r="B2052" s="138">
        <f>'Cap Outlay Deprec 26'!K10</f>
        <v>610482</v>
      </c>
      <c r="C2052" s="2" t="s">
        <v>594</v>
      </c>
      <c r="D2052" s="2" t="str">
        <f t="shared" si="31"/>
        <v>Error?</v>
      </c>
    </row>
    <row r="2053" spans="1:4" x14ac:dyDescent="0.2">
      <c r="A2053" s="5">
        <v>1992</v>
      </c>
      <c r="B2053" s="138">
        <f>'Cap Outlay Deprec 26'!K12</f>
        <v>723789</v>
      </c>
      <c r="C2053" s="2" t="s">
        <v>594</v>
      </c>
      <c r="D2053" s="2" t="str">
        <f t="shared" si="31"/>
        <v>Error?</v>
      </c>
    </row>
    <row r="2054" spans="1:4" x14ac:dyDescent="0.2">
      <c r="A2054" s="5">
        <v>1993</v>
      </c>
      <c r="B2054" s="138">
        <f>'Cap Outlay Deprec 26'!K13</f>
        <v>51563</v>
      </c>
      <c r="C2054" s="2" t="s">
        <v>594</v>
      </c>
      <c r="D2054" s="2" t="str">
        <f t="shared" si="31"/>
        <v>Error?</v>
      </c>
    </row>
    <row r="2055" spans="1:4" x14ac:dyDescent="0.2">
      <c r="A2055" s="5">
        <v>1994</v>
      </c>
      <c r="B2055" s="138">
        <f>'Cap Outlay Deprec 26'!K16</f>
        <v>9491831</v>
      </c>
      <c r="C2055" s="2" t="s">
        <v>594</v>
      </c>
      <c r="D2055" s="2" t="str">
        <f t="shared" si="31"/>
        <v>Error?</v>
      </c>
    </row>
    <row r="2056" spans="1:4" x14ac:dyDescent="0.2">
      <c r="A2056" s="5">
        <v>1995</v>
      </c>
      <c r="B2056" s="138">
        <f>'Cap Outlay Deprec 26'!L5</f>
        <v>160054</v>
      </c>
      <c r="C2056" s="2" t="s">
        <v>594</v>
      </c>
      <c r="D2056" s="2" t="str">
        <f t="shared" si="31"/>
        <v>Error?</v>
      </c>
    </row>
    <row r="2057" spans="1:4" x14ac:dyDescent="0.2">
      <c r="A2057" s="5">
        <v>1996</v>
      </c>
      <c r="B2057" s="138">
        <f>'Cap Outlay Deprec 26'!L8</f>
        <v>7777738</v>
      </c>
      <c r="C2057" s="2" t="s">
        <v>594</v>
      </c>
      <c r="D2057" s="2" t="str">
        <f t="shared" si="31"/>
        <v>Error?</v>
      </c>
    </row>
    <row r="2058" spans="1:4" x14ac:dyDescent="0.2">
      <c r="A2058" s="5">
        <v>1997</v>
      </c>
      <c r="B2058" s="138">
        <f>'Cap Outlay Deprec 26'!L10</f>
        <v>198879</v>
      </c>
      <c r="C2058" s="2" t="s">
        <v>594</v>
      </c>
      <c r="D2058" s="2" t="str">
        <f t="shared" si="31"/>
        <v>Error?</v>
      </c>
    </row>
    <row r="2059" spans="1:4" x14ac:dyDescent="0.2">
      <c r="A2059" s="5">
        <v>1998</v>
      </c>
      <c r="B2059" s="138">
        <f>'Cap Outlay Deprec 26'!L12</f>
        <v>1059420</v>
      </c>
      <c r="C2059" s="2" t="s">
        <v>594</v>
      </c>
      <c r="D2059" s="2" t="str">
        <f t="shared" si="31"/>
        <v>Error?</v>
      </c>
    </row>
    <row r="2060" spans="1:4" x14ac:dyDescent="0.2">
      <c r="A2060" s="5">
        <v>1999</v>
      </c>
      <c r="B2060" s="138">
        <f>'Cap Outlay Deprec 26'!L13</f>
        <v>63296</v>
      </c>
      <c r="C2060" s="2" t="s">
        <v>594</v>
      </c>
      <c r="D2060" s="2" t="str">
        <f t="shared" si="31"/>
        <v>Error?</v>
      </c>
    </row>
    <row r="2061" spans="1:4" x14ac:dyDescent="0.2">
      <c r="A2061" s="5">
        <v>2000</v>
      </c>
      <c r="B2061" s="138">
        <f>'Cap Outlay Deprec 26'!L16</f>
        <v>9259387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253259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53000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549931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48979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186843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5709079</v>
      </c>
      <c r="C2551" s="2" t="s">
        <v>594</v>
      </c>
      <c r="D2551" s="2" t="str">
        <f t="shared" si="38"/>
        <v>Error?</v>
      </c>
    </row>
    <row r="2552" spans="1:4" x14ac:dyDescent="0.2">
      <c r="A2552" s="10">
        <v>2491</v>
      </c>
      <c r="D2552" s="2" t="str">
        <f t="shared" si="38"/>
        <v>OK</v>
      </c>
    </row>
    <row r="2553" spans="1:4" x14ac:dyDescent="0.2">
      <c r="A2553" s="5">
        <v>2492</v>
      </c>
      <c r="B2553" s="138">
        <f>'Acct Summary 7-8'!C6</f>
        <v>2861469</v>
      </c>
      <c r="C2553" s="2" t="s">
        <v>594</v>
      </c>
      <c r="D2553" s="2" t="str">
        <f t="shared" si="38"/>
        <v>Error?</v>
      </c>
    </row>
    <row r="2554" spans="1:4" x14ac:dyDescent="0.2">
      <c r="A2554" s="5">
        <v>2493</v>
      </c>
      <c r="B2554" s="138">
        <f>'Acct Summary 7-8'!C7</f>
        <v>811832</v>
      </c>
      <c r="C2554" s="2" t="s">
        <v>594</v>
      </c>
      <c r="D2554" s="2" t="str">
        <f t="shared" si="38"/>
        <v>Error?</v>
      </c>
    </row>
    <row r="2555" spans="1:4" x14ac:dyDescent="0.2">
      <c r="A2555" s="5">
        <v>2494</v>
      </c>
      <c r="B2555" s="138">
        <f>'Acct Summary 7-8'!C8</f>
        <v>9382380</v>
      </c>
      <c r="C2555" s="2" t="s">
        <v>594</v>
      </c>
      <c r="D2555" s="2" t="str">
        <f t="shared" si="38"/>
        <v>Error?</v>
      </c>
    </row>
    <row r="2556" spans="1:4" x14ac:dyDescent="0.2">
      <c r="A2556" s="5">
        <v>2495</v>
      </c>
      <c r="B2556" s="138">
        <f>'Acct Summary 7-8'!C12</f>
        <v>6657929</v>
      </c>
      <c r="C2556" s="2" t="s">
        <v>594</v>
      </c>
      <c r="D2556" s="2" t="str">
        <f t="shared" si="38"/>
        <v>Error?</v>
      </c>
    </row>
    <row r="2557" spans="1:4" x14ac:dyDescent="0.2">
      <c r="A2557" s="5">
        <v>2496</v>
      </c>
      <c r="B2557" s="138">
        <f>'Acct Summary 7-8'!C13</f>
        <v>2277494</v>
      </c>
      <c r="C2557" s="2" t="s">
        <v>594</v>
      </c>
      <c r="D2557" s="2" t="str">
        <f t="shared" si="38"/>
        <v>Error?</v>
      </c>
    </row>
    <row r="2558" spans="1:4" x14ac:dyDescent="0.2">
      <c r="A2558" s="5">
        <v>2497</v>
      </c>
      <c r="B2558" s="138">
        <f>'Acct Summary 7-8'!C14</f>
        <v>7329</v>
      </c>
      <c r="C2558" s="2" t="s">
        <v>594</v>
      </c>
      <c r="D2558" s="2" t="str">
        <f t="shared" si="38"/>
        <v>Error?</v>
      </c>
    </row>
    <row r="2559" spans="1:4" x14ac:dyDescent="0.2">
      <c r="A2559" s="5">
        <v>2498</v>
      </c>
      <c r="B2559" s="138">
        <f>'Acct Summary 7-8'!C15</f>
        <v>253259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9196011</v>
      </c>
      <c r="C2561" s="2" t="s">
        <v>594</v>
      </c>
      <c r="D2561" s="2" t="str">
        <f t="shared" si="39"/>
        <v>Error?</v>
      </c>
    </row>
    <row r="2562" spans="1:4" x14ac:dyDescent="0.2">
      <c r="A2562" s="5">
        <v>2501</v>
      </c>
      <c r="B2562" s="138">
        <f>'Acct Summary 7-8'!C20</f>
        <v>186369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1039949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1039949</v>
      </c>
      <c r="C2568" s="2" t="s">
        <v>594</v>
      </c>
      <c r="D2568" s="2" t="str">
        <f t="shared" si="39"/>
        <v>Error?</v>
      </c>
    </row>
    <row r="2569" spans="1:4" x14ac:dyDescent="0.2">
      <c r="A2569" s="5">
        <v>2508</v>
      </c>
      <c r="B2569" s="138">
        <f>'Acct Summary 7-8'!D13</f>
        <v>973079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973079</v>
      </c>
      <c r="C2573" s="2" t="s">
        <v>594</v>
      </c>
      <c r="D2573" s="2" t="str">
        <f t="shared" si="39"/>
        <v>Error?</v>
      </c>
    </row>
    <row r="2574" spans="1:4" x14ac:dyDescent="0.2">
      <c r="A2574" s="5">
        <v>2513</v>
      </c>
      <c r="B2574" s="138">
        <f>'Acct Summary 7-8'!D20</f>
        <v>66870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411062</v>
      </c>
      <c r="C2591" s="2" t="s">
        <v>594</v>
      </c>
      <c r="D2591" s="2" t="str">
        <f t="shared" si="39"/>
        <v>Error?</v>
      </c>
    </row>
    <row r="2592" spans="1:4" x14ac:dyDescent="0.2">
      <c r="A2592" s="10">
        <v>2531</v>
      </c>
      <c r="D2592" s="2" t="str">
        <f t="shared" si="39"/>
        <v>OK</v>
      </c>
    </row>
    <row r="2593" spans="1:4" x14ac:dyDescent="0.2">
      <c r="A2593" s="5">
        <v>2532</v>
      </c>
      <c r="B2593" s="138">
        <f>'Acct Summary 7-8'!F6</f>
        <v>668861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1079923</v>
      </c>
      <c r="C2595" s="2" t="s">
        <v>594</v>
      </c>
      <c r="D2595" s="2" t="str">
        <f t="shared" si="39"/>
        <v>Error?</v>
      </c>
    </row>
    <row r="2596" spans="1:4" x14ac:dyDescent="0.2">
      <c r="A2596" s="5">
        <v>2535</v>
      </c>
      <c r="B2596" s="138">
        <f>'Acct Summary 7-8'!F13</f>
        <v>1055788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1055788</v>
      </c>
      <c r="C2600" s="2" t="s">
        <v>594</v>
      </c>
      <c r="D2600" s="2" t="str">
        <f t="shared" si="39"/>
        <v>Error?</v>
      </c>
    </row>
    <row r="2601" spans="1:4" x14ac:dyDescent="0.2">
      <c r="A2601" s="5">
        <v>2540</v>
      </c>
      <c r="B2601" s="138">
        <f>'Acct Summary 7-8'!F20</f>
        <v>24135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350862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350862</v>
      </c>
      <c r="C2606" s="2" t="s">
        <v>594</v>
      </c>
      <c r="D2606" s="2" t="str">
        <f t="shared" si="39"/>
        <v>Error?</v>
      </c>
    </row>
    <row r="2607" spans="1:4" x14ac:dyDescent="0.2">
      <c r="A2607" s="5">
        <v>2546</v>
      </c>
      <c r="B2607" s="138">
        <f>'Acct Summary 7-8'!G12</f>
        <v>124126</v>
      </c>
      <c r="C2607" s="2" t="s">
        <v>594</v>
      </c>
      <c r="D2607" s="2" t="str">
        <f t="shared" si="39"/>
        <v>Error?</v>
      </c>
    </row>
    <row r="2608" spans="1:4" x14ac:dyDescent="0.2">
      <c r="A2608" s="5">
        <v>2547</v>
      </c>
      <c r="B2608" s="138">
        <f>'Acct Summary 7-8'!G13</f>
        <v>199299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323425</v>
      </c>
      <c r="C2612" s="2" t="s">
        <v>594</v>
      </c>
      <c r="D2612" s="2" t="str">
        <f t="shared" si="39"/>
        <v>Error?</v>
      </c>
    </row>
    <row r="2613" spans="1:4" x14ac:dyDescent="0.2">
      <c r="A2613" s="5">
        <v>2552</v>
      </c>
      <c r="B2613" s="138">
        <f>'Acct Summary 7-8'!G20</f>
        <v>27437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643331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643331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665989</v>
      </c>
      <c r="C2634" s="2" t="s">
        <v>594</v>
      </c>
      <c r="D2634" s="2" t="str">
        <f t="shared" si="40"/>
        <v>Error?</v>
      </c>
    </row>
    <row r="2635" spans="1:4" x14ac:dyDescent="0.2">
      <c r="A2635" s="5">
        <v>2574</v>
      </c>
      <c r="B2635" s="138">
        <f>'Acct Summary 7-8'!E17</f>
        <v>665989</v>
      </c>
      <c r="C2635" s="2" t="s">
        <v>594</v>
      </c>
      <c r="D2635" s="2" t="str">
        <f t="shared" si="40"/>
        <v>Error?</v>
      </c>
    </row>
    <row r="2636" spans="1:4" x14ac:dyDescent="0.2">
      <c r="A2636" s="5">
        <v>2575</v>
      </c>
      <c r="B2636" s="138">
        <f>'Acct Summary 7-8'!E20</f>
        <v>-22658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148218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148218</v>
      </c>
      <c r="C2658" s="2" t="s">
        <v>594</v>
      </c>
      <c r="D2658" s="2" t="str">
        <f t="shared" si="40"/>
        <v>Error?</v>
      </c>
    </row>
    <row r="2659" spans="1:4" x14ac:dyDescent="0.2">
      <c r="A2659" s="5">
        <v>2598</v>
      </c>
      <c r="B2659" s="138">
        <f>'Acct Summary 7-8'!H13</f>
        <v>190224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190224</v>
      </c>
      <c r="C2661" s="2" t="s">
        <v>594</v>
      </c>
      <c r="D2661" s="2" t="str">
        <f t="shared" si="40"/>
        <v>Error?</v>
      </c>
    </row>
    <row r="2662" spans="1:4" x14ac:dyDescent="0.2">
      <c r="A2662" s="5">
        <v>2601</v>
      </c>
      <c r="B2662" s="138">
        <f>'Acct Summary 7-8'!H20</f>
        <v>-42006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445189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273519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445189</v>
      </c>
      <c r="D2912" s="2" t="str">
        <f t="shared" si="44"/>
        <v>Error?</v>
      </c>
    </row>
    <row r="2913" spans="1:4" x14ac:dyDescent="0.2">
      <c r="A2913" s="5">
        <v>2852</v>
      </c>
      <c r="B2913" s="138">
        <f>'Assets-Liab 5-6'!I41</f>
        <v>445189</v>
      </c>
      <c r="C2913" s="2" t="s">
        <v>594</v>
      </c>
      <c r="D2913" s="2" t="str">
        <f t="shared" si="44"/>
        <v>Error?</v>
      </c>
    </row>
    <row r="2914" spans="1:4" x14ac:dyDescent="0.2">
      <c r="A2914" s="5">
        <v>2853</v>
      </c>
      <c r="B2914" s="138">
        <f>'Assets-Liab 5-6'!L33</f>
        <v>273519</v>
      </c>
      <c r="D2914" s="2" t="str">
        <f t="shared" si="44"/>
        <v>Error?</v>
      </c>
    </row>
    <row r="2915" spans="1:4" x14ac:dyDescent="0.2">
      <c r="A2915" s="10">
        <v>2854</v>
      </c>
      <c r="D2915" s="2" t="str">
        <f t="shared" si="44"/>
        <v>OK</v>
      </c>
    </row>
    <row r="2916" spans="1:4" x14ac:dyDescent="0.2">
      <c r="A2916" s="5">
        <v>2855</v>
      </c>
      <c r="B2916" s="138">
        <f>'Assets-Liab 5-6'!L34</f>
        <v>273519</v>
      </c>
      <c r="C2916" s="2" t="s">
        <v>594</v>
      </c>
      <c r="D2916" s="2" t="str">
        <f t="shared" si="44"/>
        <v>Error?</v>
      </c>
    </row>
    <row r="2917" spans="1:4" x14ac:dyDescent="0.2">
      <c r="A2917" s="5">
        <v>2856</v>
      </c>
      <c r="B2917" s="138">
        <f>'Assets-Liab 5-6'!L41</f>
        <v>273519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231585</v>
      </c>
      <c r="D3055" s="2" t="str">
        <f t="shared" si="46"/>
        <v>Error?</v>
      </c>
    </row>
    <row r="3056" spans="1:4" x14ac:dyDescent="0.2">
      <c r="A3056" s="5">
        <v>2995</v>
      </c>
      <c r="B3056" s="138">
        <f>'Expenditures 15-22'!D10</f>
        <v>81303</v>
      </c>
      <c r="D3056" s="2" t="str">
        <f t="shared" si="46"/>
        <v>Error?</v>
      </c>
    </row>
    <row r="3057" spans="1:4" x14ac:dyDescent="0.2">
      <c r="A3057" s="5">
        <v>2996</v>
      </c>
      <c r="B3057" s="138">
        <f>'Expenditures 15-22'!E10</f>
        <v>7596</v>
      </c>
      <c r="D3057" s="2" t="str">
        <f t="shared" si="46"/>
        <v>Error?</v>
      </c>
    </row>
    <row r="3058" spans="1:4" x14ac:dyDescent="0.2">
      <c r="A3058" s="5">
        <v>2997</v>
      </c>
      <c r="B3058" s="138">
        <f>'Expenditures 15-22'!F10</f>
        <v>80938</v>
      </c>
      <c r="D3058" s="2" t="str">
        <f t="shared" si="46"/>
        <v>Error?</v>
      </c>
    </row>
    <row r="3059" spans="1:4" x14ac:dyDescent="0.2">
      <c r="A3059" s="5">
        <v>2998</v>
      </c>
      <c r="B3059" s="138">
        <f>'Expenditures 15-22'!G10</f>
        <v>5622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407044</v>
      </c>
      <c r="C3062" s="2" t="s">
        <v>594</v>
      </c>
      <c r="D3062" s="2" t="str">
        <f t="shared" si="46"/>
        <v>Error?</v>
      </c>
    </row>
    <row r="3063" spans="1:4" x14ac:dyDescent="0.2">
      <c r="A3063" s="10">
        <v>3002</v>
      </c>
      <c r="D3063" s="2" t="str">
        <f t="shared" si="46"/>
        <v>OK</v>
      </c>
    </row>
    <row r="3064" spans="1:4" x14ac:dyDescent="0.2">
      <c r="A3064" s="5">
        <v>3003</v>
      </c>
      <c r="B3064" s="138">
        <f>'Expenditures 15-22'!D219</f>
        <v>3259</v>
      </c>
      <c r="D3064" s="2" t="str">
        <f t="shared" si="46"/>
        <v>Error?</v>
      </c>
    </row>
    <row r="3065" spans="1:4" x14ac:dyDescent="0.2">
      <c r="A3065" s="5">
        <v>3004</v>
      </c>
      <c r="B3065" s="138">
        <f>'Expenditures 15-22'!K219</f>
        <v>3259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102877</v>
      </c>
      <c r="C3225" s="2" t="s">
        <v>594</v>
      </c>
      <c r="D3225" s="2" t="str">
        <f t="shared" si="49"/>
        <v>Error?</v>
      </c>
    </row>
    <row r="3226" spans="1:4" x14ac:dyDescent="0.2">
      <c r="A3226" s="5">
        <v>3165</v>
      </c>
      <c r="B3226" s="138">
        <f>'Acct Summary 7-8'!I8</f>
        <v>102877</v>
      </c>
      <c r="C3226" s="2" t="s">
        <v>594</v>
      </c>
      <c r="D3226" s="2" t="str">
        <f t="shared" si="49"/>
        <v>Error?</v>
      </c>
    </row>
    <row r="3227" spans="1:4" x14ac:dyDescent="0.2">
      <c r="A3227" s="5">
        <v>3166</v>
      </c>
      <c r="B3227" s="138">
        <f>'Acct Summary 7-8'!I20</f>
        <v>102877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22001</v>
      </c>
      <c r="C3231" s="2" t="s">
        <v>594</v>
      </c>
      <c r="D3231" s="2" t="str">
        <f t="shared" si="49"/>
        <v>Error?</v>
      </c>
    </row>
    <row r="3232" spans="1:4" x14ac:dyDescent="0.2">
      <c r="A3232" s="5">
        <v>3171</v>
      </c>
      <c r="B3232" s="138">
        <f>'Acct Summary 7-8'!C77</f>
        <v>-22001</v>
      </c>
      <c r="C3232" s="2" t="s">
        <v>594</v>
      </c>
      <c r="D3232" s="2" t="str">
        <f t="shared" si="49"/>
        <v>Error?</v>
      </c>
    </row>
    <row r="3233" spans="1:4" x14ac:dyDescent="0.2">
      <c r="A3233" s="5">
        <v>3172</v>
      </c>
      <c r="B3233" s="138">
        <f>'Acct Summary 7-8'!C78</f>
        <v>164368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66870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53000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53000</v>
      </c>
      <c r="C3255" s="2" t="s">
        <v>594</v>
      </c>
      <c r="D3255" s="2" t="str">
        <f t="shared" si="49"/>
        <v>Error?</v>
      </c>
    </row>
    <row r="3256" spans="1:4" x14ac:dyDescent="0.2">
      <c r="A3256" s="5">
        <v>3195</v>
      </c>
      <c r="B3256" s="138">
        <f>'Acct Summary 7-8'!F78</f>
        <v>77135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27437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22001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22001</v>
      </c>
      <c r="C3277" s="2" t="s">
        <v>594</v>
      </c>
      <c r="D3277" s="2" t="str">
        <f t="shared" si="50"/>
        <v>Error?</v>
      </c>
    </row>
    <row r="3278" spans="1:4" x14ac:dyDescent="0.2">
      <c r="A3278" s="5">
        <v>3217</v>
      </c>
      <c r="B3278" s="138">
        <f>'Acct Summary 7-8'!E78</f>
        <v>-657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-42006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53000</v>
      </c>
      <c r="C3318" s="2" t="s">
        <v>594</v>
      </c>
      <c r="D3318" s="2" t="str">
        <f t="shared" si="50"/>
        <v>Error?</v>
      </c>
    </row>
    <row r="3319" spans="1:4" x14ac:dyDescent="0.2">
      <c r="A3319" s="5">
        <v>3258</v>
      </c>
      <c r="B3319" s="138">
        <f>'Acct Summary 7-8'!I77</f>
        <v>-53000</v>
      </c>
      <c r="C3319" s="2" t="s">
        <v>594</v>
      </c>
      <c r="D3319" s="2" t="str">
        <f t="shared" si="50"/>
        <v>Error?</v>
      </c>
    </row>
    <row r="3320" spans="1:4" x14ac:dyDescent="0.2">
      <c r="A3320" s="5">
        <v>3259</v>
      </c>
      <c r="B3320" s="138">
        <f>'Acct Summary 7-8'!I78</f>
        <v>49877</v>
      </c>
      <c r="C3320" s="2" t="s">
        <v>594</v>
      </c>
      <c r="D3320" s="2" t="str">
        <f t="shared" si="50"/>
        <v>Error?</v>
      </c>
    </row>
    <row r="3321" spans="1:4" x14ac:dyDescent="0.2">
      <c r="A3321" s="5">
        <v>3260</v>
      </c>
      <c r="B3321" s="138">
        <f>'Acct Summary 7-8'!I79</f>
        <v>395312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445189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656936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135371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806489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71408</v>
      </c>
      <c r="D3387" s="2" t="str">
        <f t="shared" si="51"/>
        <v>Error?</v>
      </c>
    </row>
    <row r="3388" spans="1:4" x14ac:dyDescent="0.2">
      <c r="A3388" s="5">
        <v>3327</v>
      </c>
      <c r="B3388" s="138">
        <f>'Expenditures 15-22'!D217</f>
        <v>30642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71408</v>
      </c>
      <c r="C3390" s="2" t="s">
        <v>594</v>
      </c>
      <c r="D3390" s="2" t="str">
        <f t="shared" si="51"/>
        <v>Error?</v>
      </c>
    </row>
    <row r="3391" spans="1:4" x14ac:dyDescent="0.2">
      <c r="A3391" s="5">
        <v>3330</v>
      </c>
      <c r="B3391" s="138">
        <f>'Expenditures 15-22'!K217</f>
        <v>30642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1016848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392177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83452</v>
      </c>
      <c r="D3417" s="2" t="str">
        <f t="shared" si="52"/>
        <v>Error?</v>
      </c>
    </row>
    <row r="3418" spans="1:4" x14ac:dyDescent="0.2">
      <c r="A3418" s="10">
        <v>3357</v>
      </c>
      <c r="D3418" s="2" t="str">
        <f t="shared" si="52"/>
        <v>OK</v>
      </c>
    </row>
    <row r="3419" spans="1:4" x14ac:dyDescent="0.2">
      <c r="A3419" s="5">
        <v>3358</v>
      </c>
      <c r="B3419" s="138">
        <f>'Assets-Liab 5-6'!F4</f>
        <v>180693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313073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307152</v>
      </c>
      <c r="D3425" s="2" t="str">
        <f t="shared" si="52"/>
        <v>Error?</v>
      </c>
    </row>
    <row r="3426" spans="1:4" x14ac:dyDescent="0.2">
      <c r="A3426" s="10">
        <v>3365</v>
      </c>
      <c r="D3426" s="2" t="str">
        <f t="shared" si="52"/>
        <v>OK</v>
      </c>
    </row>
    <row r="3427" spans="1:4" x14ac:dyDescent="0.2">
      <c r="A3427" s="5">
        <v>3366</v>
      </c>
      <c r="B3427" s="138">
        <f>'Assets-Liab 5-6'!I4</f>
        <v>445189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273519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187425</v>
      </c>
      <c r="C3446" s="2" t="s">
        <v>594</v>
      </c>
      <c r="D3446" s="2" t="str">
        <f t="shared" si="52"/>
        <v>Error?</v>
      </c>
    </row>
    <row r="3447" spans="1:4" x14ac:dyDescent="0.2">
      <c r="A3447" s="5">
        <v>3386</v>
      </c>
      <c r="B3447" s="138">
        <f>'Tax Sched 23'!D16</f>
        <v>186112</v>
      </c>
      <c r="C3447" s="2" t="s">
        <v>594</v>
      </c>
      <c r="D3447" s="2" t="str">
        <f t="shared" si="52"/>
        <v>Error?</v>
      </c>
    </row>
    <row r="3448" spans="1:4" x14ac:dyDescent="0.2">
      <c r="A3448" s="5">
        <v>3387</v>
      </c>
      <c r="B3448" s="138">
        <f>'Tax Sched 23'!C16</f>
        <v>1313</v>
      </c>
      <c r="D3448" s="2" t="str">
        <f t="shared" si="52"/>
        <v>Error?</v>
      </c>
    </row>
    <row r="3449" spans="1:4" x14ac:dyDescent="0.2">
      <c r="A3449" s="5">
        <v>3388</v>
      </c>
      <c r="B3449" s="138">
        <f>'Tax Sched 23'!F16</f>
        <v>184678</v>
      </c>
      <c r="C3449" s="2" t="s">
        <v>594</v>
      </c>
      <c r="D3449" s="2" t="str">
        <f t="shared" si="52"/>
        <v>Error?</v>
      </c>
    </row>
    <row r="3450" spans="1:4" x14ac:dyDescent="0.2">
      <c r="A3450" s="5">
        <v>3389</v>
      </c>
      <c r="B3450" s="138">
        <f>'Tax Sched 23'!E16</f>
        <v>185991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231407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10866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242273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242273</v>
      </c>
      <c r="D3567" s="2" t="str">
        <f t="shared" si="54"/>
        <v>Error?</v>
      </c>
    </row>
    <row r="3568" spans="1:4" x14ac:dyDescent="0.2">
      <c r="A3568" s="5">
        <v>3507</v>
      </c>
      <c r="B3568" s="138">
        <f>'Assets-Liab 5-6'!K41</f>
        <v>242273</v>
      </c>
      <c r="C3568" s="2" t="s">
        <v>594</v>
      </c>
      <c r="D3568" s="2" t="str">
        <f t="shared" si="54"/>
        <v>Error?</v>
      </c>
    </row>
    <row r="3569" spans="1:4" x14ac:dyDescent="0.2">
      <c r="A3569" s="5">
        <v>3508</v>
      </c>
      <c r="B3569" s="138">
        <f>'Acct Summary 7-8'!K4</f>
        <v>102739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102739</v>
      </c>
      <c r="C3571" s="2" t="s">
        <v>594</v>
      </c>
      <c r="D3571" s="2" t="str">
        <f t="shared" si="54"/>
        <v>Error?</v>
      </c>
    </row>
    <row r="3572" spans="1:4" x14ac:dyDescent="0.2">
      <c r="A3572" s="5">
        <v>3511</v>
      </c>
      <c r="B3572" s="138">
        <f>'Acct Summary 7-8'!K13</f>
        <v>32980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32980</v>
      </c>
      <c r="C3575" s="2" t="s">
        <v>594</v>
      </c>
      <c r="D3575" s="2" t="str">
        <f t="shared" si="54"/>
        <v>Error?</v>
      </c>
    </row>
    <row r="3576" spans="1:4" x14ac:dyDescent="0.2">
      <c r="A3576" s="5">
        <v>3515</v>
      </c>
      <c r="B3576" s="138">
        <f>'Acct Summary 7-8'!K20</f>
        <v>69759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69759</v>
      </c>
      <c r="C3588" s="2" t="s">
        <v>594</v>
      </c>
      <c r="D3588" s="2" t="str">
        <f t="shared" si="55"/>
        <v>Error?</v>
      </c>
    </row>
    <row r="3589" spans="1:4" x14ac:dyDescent="0.2">
      <c r="A3589" s="5">
        <v>3528</v>
      </c>
      <c r="B3589" s="138">
        <f>'Acct Summary 7-8'!K79</f>
        <v>172514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242273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32980</v>
      </c>
      <c r="D3632" s="2" t="str">
        <f t="shared" si="55"/>
        <v>Error?</v>
      </c>
    </row>
    <row r="3633" spans="1:4" x14ac:dyDescent="0.2">
      <c r="A3633" s="5">
        <v>3572</v>
      </c>
      <c r="B3633" s="138">
        <f>'Expenditures 15-22'!E350</f>
        <v>32980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32980</v>
      </c>
      <c r="C3635" s="2" t="s">
        <v>594</v>
      </c>
      <c r="D3635" s="2" t="str">
        <f t="shared" si="55"/>
        <v>Error?</v>
      </c>
    </row>
    <row r="3636" spans="1:4" x14ac:dyDescent="0.2">
      <c r="A3636" s="5">
        <v>3575</v>
      </c>
      <c r="B3636" s="138">
        <f>'Expenditures 15-22'!E367</f>
        <v>32980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32980</v>
      </c>
      <c r="C3669" s="2" t="s">
        <v>594</v>
      </c>
      <c r="D3669" s="2" t="str">
        <f t="shared" si="56"/>
        <v>Error?</v>
      </c>
    </row>
    <row r="3670" spans="1:4" x14ac:dyDescent="0.2">
      <c r="A3670" s="5">
        <v>3609</v>
      </c>
      <c r="B3670" s="138">
        <f>'Expenditures 15-22'!K350</f>
        <v>32980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32980</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32980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69759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102636</v>
      </c>
      <c r="C3725" s="2" t="s">
        <v>594</v>
      </c>
      <c r="D3725" s="2" t="str">
        <f t="shared" si="57"/>
        <v>Error?</v>
      </c>
    </row>
    <row r="3726" spans="1:4" x14ac:dyDescent="0.2">
      <c r="A3726" s="5">
        <v>3665</v>
      </c>
      <c r="B3726" s="138">
        <f>'Tax Sched 23'!D13</f>
        <v>101875</v>
      </c>
      <c r="C3726" s="2" t="s">
        <v>594</v>
      </c>
      <c r="D3726" s="2" t="str">
        <f t="shared" si="57"/>
        <v>Error?</v>
      </c>
    </row>
    <row r="3727" spans="1:4" x14ac:dyDescent="0.2">
      <c r="A3727" s="5">
        <v>3666</v>
      </c>
      <c r="B3727" s="138">
        <f>'Tax Sched 23'!C13</f>
        <v>761</v>
      </c>
      <c r="D3727" s="2" t="str">
        <f t="shared" si="57"/>
        <v>Error?</v>
      </c>
    </row>
    <row r="3728" spans="1:4" x14ac:dyDescent="0.2">
      <c r="A3728" s="5">
        <v>3667</v>
      </c>
      <c r="B3728" s="138">
        <f>'Tax Sched 23'!F13</f>
        <v>107048</v>
      </c>
      <c r="C3728" s="2" t="s">
        <v>594</v>
      </c>
      <c r="D3728" s="2" t="str">
        <f t="shared" si="57"/>
        <v>Error?</v>
      </c>
    </row>
    <row r="3729" spans="1:4" x14ac:dyDescent="0.2">
      <c r="A3729" s="5">
        <v>3668</v>
      </c>
      <c r="B3729" s="138">
        <f>'Tax Sched 23'!E13</f>
        <v>107809</v>
      </c>
      <c r="D3729" s="2" t="str">
        <f t="shared" si="57"/>
        <v>Error?</v>
      </c>
    </row>
    <row r="3730" spans="1:4" x14ac:dyDescent="0.2">
      <c r="A3730" s="5">
        <v>3669</v>
      </c>
      <c r="B3730" s="138">
        <f>'ICR Computation 30'!E10</f>
        <v>318739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503</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-503</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-1590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-2093</v>
      </c>
      <c r="D4111" s="2" t="str">
        <f t="shared" si="63"/>
        <v>Error?</v>
      </c>
    </row>
    <row r="4112" spans="1:4" x14ac:dyDescent="0.2">
      <c r="A4112" s="10">
        <v>4051</v>
      </c>
      <c r="D4112" s="2" t="str">
        <f t="shared" si="63"/>
        <v>OK</v>
      </c>
    </row>
    <row r="4113" spans="1:4" x14ac:dyDescent="0.2">
      <c r="A4113" s="5">
        <v>4052</v>
      </c>
      <c r="B4113" s="138">
        <f>'Acct Summary 7-8'!C9</f>
        <v>4412462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13794842</v>
      </c>
      <c r="C4122" s="2" t="s">
        <v>594</v>
      </c>
      <c r="D4122" s="2" t="str">
        <f t="shared" si="63"/>
        <v>Error?</v>
      </c>
    </row>
    <row r="4123" spans="1:4" x14ac:dyDescent="0.2">
      <c r="A4123" s="5">
        <v>4062</v>
      </c>
      <c r="B4123" s="138">
        <f>'Acct Summary 7-8'!D10</f>
        <v>1039949</v>
      </c>
      <c r="C4123" s="2" t="s">
        <v>594</v>
      </c>
      <c r="D4123" s="2" t="str">
        <f t="shared" si="63"/>
        <v>Error?</v>
      </c>
    </row>
    <row r="4124" spans="1:4" x14ac:dyDescent="0.2">
      <c r="A4124" s="5">
        <v>4063</v>
      </c>
      <c r="B4124" s="138">
        <f>'Acct Summary 7-8'!E10</f>
        <v>643331</v>
      </c>
      <c r="C4124" s="2" t="s">
        <v>594</v>
      </c>
      <c r="D4124" s="2" t="str">
        <f t="shared" si="63"/>
        <v>Error?</v>
      </c>
    </row>
    <row r="4125" spans="1:4" x14ac:dyDescent="0.2">
      <c r="A4125" s="5">
        <v>4064</v>
      </c>
      <c r="B4125" s="138">
        <f>'Acct Summary 7-8'!F10</f>
        <v>1079923</v>
      </c>
      <c r="C4125" s="2" t="s">
        <v>594</v>
      </c>
      <c r="D4125" s="2" t="str">
        <f t="shared" si="63"/>
        <v>Error?</v>
      </c>
    </row>
    <row r="4126" spans="1:4" x14ac:dyDescent="0.2">
      <c r="A4126" s="5">
        <v>4065</v>
      </c>
      <c r="B4126" s="138">
        <f>'Acct Summary 7-8'!G10</f>
        <v>350862</v>
      </c>
      <c r="C4126" s="2" t="s">
        <v>594</v>
      </c>
      <c r="D4126" s="2" t="str">
        <f t="shared" si="63"/>
        <v>Error?</v>
      </c>
    </row>
    <row r="4127" spans="1:4" x14ac:dyDescent="0.2">
      <c r="A4127" s="5">
        <v>4066</v>
      </c>
      <c r="B4127" s="138">
        <f>'Acct Summary 7-8'!H10</f>
        <v>148218</v>
      </c>
      <c r="C4127" s="2" t="s">
        <v>594</v>
      </c>
      <c r="D4127" s="2" t="str">
        <f t="shared" si="63"/>
        <v>Error?</v>
      </c>
    </row>
    <row r="4128" spans="1:4" x14ac:dyDescent="0.2">
      <c r="A4128" s="5">
        <v>4067</v>
      </c>
      <c r="B4128" s="138">
        <f>'Acct Summary 7-8'!I10</f>
        <v>102877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102739</v>
      </c>
      <c r="C4130" s="2" t="s">
        <v>594</v>
      </c>
      <c r="D4130" s="2" t="str">
        <f t="shared" si="63"/>
        <v>Error?</v>
      </c>
    </row>
    <row r="4131" spans="1:4" x14ac:dyDescent="0.2">
      <c r="A4131" s="5">
        <v>4070</v>
      </c>
      <c r="B4131" s="138">
        <f>'Acct Summary 7-8'!C18</f>
        <v>4412462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13608473</v>
      </c>
      <c r="C4136" s="2" t="s">
        <v>594</v>
      </c>
      <c r="D4136" s="2" t="str">
        <f t="shared" si="63"/>
        <v>Error?</v>
      </c>
    </row>
    <row r="4137" spans="1:4" x14ac:dyDescent="0.2">
      <c r="A4137" s="5">
        <v>4076</v>
      </c>
      <c r="B4137" s="138">
        <f>'Acct Summary 7-8'!D19</f>
        <v>973079</v>
      </c>
      <c r="C4137" s="2" t="s">
        <v>594</v>
      </c>
      <c r="D4137" s="2" t="str">
        <f t="shared" si="63"/>
        <v>Error?</v>
      </c>
    </row>
    <row r="4138" spans="1:4" x14ac:dyDescent="0.2">
      <c r="A4138" s="5">
        <v>4077</v>
      </c>
      <c r="B4138" s="138">
        <f>'Acct Summary 7-8'!E19</f>
        <v>665989</v>
      </c>
      <c r="C4138" s="2" t="s">
        <v>594</v>
      </c>
      <c r="D4138" s="2" t="str">
        <f t="shared" si="63"/>
        <v>Error?</v>
      </c>
    </row>
    <row r="4139" spans="1:4" x14ac:dyDescent="0.2">
      <c r="A4139" s="5">
        <v>4078</v>
      </c>
      <c r="B4139" s="138">
        <f>'Acct Summary 7-8'!F19</f>
        <v>1055788</v>
      </c>
      <c r="C4139" s="2" t="s">
        <v>594</v>
      </c>
      <c r="D4139" s="2" t="str">
        <f t="shared" si="63"/>
        <v>Error?</v>
      </c>
    </row>
    <row r="4140" spans="1:4" x14ac:dyDescent="0.2">
      <c r="A4140" s="5">
        <v>4079</v>
      </c>
      <c r="B4140" s="138">
        <f>'Acct Summary 7-8'!G19</f>
        <v>323425</v>
      </c>
      <c r="C4140" s="2" t="s">
        <v>594</v>
      </c>
      <c r="D4140" s="2" t="str">
        <f t="shared" si="63"/>
        <v>Error?</v>
      </c>
    </row>
    <row r="4141" spans="1:4" x14ac:dyDescent="0.2">
      <c r="A4141" s="5">
        <v>4080</v>
      </c>
      <c r="B4141" s="138">
        <f>'Acct Summary 7-8'!H19</f>
        <v>190224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32980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4246481</v>
      </c>
      <c r="C4171" s="2" t="s">
        <v>594</v>
      </c>
      <c r="D4171" s="2" t="str">
        <f t="shared" si="64"/>
        <v>Error?</v>
      </c>
    </row>
    <row r="4172" spans="1:4" x14ac:dyDescent="0.2">
      <c r="A4172" s="5">
        <v>4111</v>
      </c>
      <c r="B4172" s="138">
        <f>'Short-Term Long-Term Debt 24'!J49</f>
        <v>4163029</v>
      </c>
      <c r="C4172" s="2" t="s">
        <v>594</v>
      </c>
      <c r="D4172" s="2" t="str">
        <f t="shared" si="64"/>
        <v>Error?</v>
      </c>
    </row>
    <row r="4173" spans="1:4" x14ac:dyDescent="0.2">
      <c r="A4173" s="5">
        <v>4112</v>
      </c>
      <c r="B4173" s="138">
        <f>'Short-Term Long-Term Debt 24'!H49</f>
        <v>479868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3100</v>
      </c>
      <c r="C4268" s="2" t="s">
        <v>594</v>
      </c>
      <c r="D4268" s="2" t="str">
        <f t="shared" si="65"/>
        <v>Error?</v>
      </c>
    </row>
    <row r="4269" spans="1:5" x14ac:dyDescent="0.2">
      <c r="A4269" s="12">
        <v>4208</v>
      </c>
      <c r="B4269" s="138">
        <f>'FP Info 3'!J16</f>
        <v>3139168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47210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48011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1578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215617251</v>
      </c>
      <c r="D4995" s="2" t="str">
        <f t="shared" si="77"/>
        <v>Error?</v>
      </c>
    </row>
    <row r="4996" spans="1:4" x14ac:dyDescent="0.2">
      <c r="A4996" s="12">
        <v>4935</v>
      </c>
      <c r="B4996" s="138">
        <f>'FP Info 3'!H31</f>
        <v>29755180.638000004</v>
      </c>
      <c r="D4996" s="2" t="str">
        <f t="shared" si="77"/>
        <v>Error?</v>
      </c>
    </row>
    <row r="4997" spans="1:4" x14ac:dyDescent="0.2">
      <c r="A4997" s="12">
        <v>4936</v>
      </c>
      <c r="B4997" s="138">
        <f>'FP Info 3'!H37</f>
        <v>4246481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102636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4959721</v>
      </c>
      <c r="D5061" s="2" t="str">
        <f t="shared" si="78"/>
        <v>Error?</v>
      </c>
    </row>
    <row r="5062" spans="1:4" x14ac:dyDescent="0.2">
      <c r="A5062" s="10">
        <v>5001</v>
      </c>
      <c r="D5062" s="2" t="str">
        <f t="shared" si="78"/>
        <v>OK</v>
      </c>
    </row>
    <row r="5063" spans="1:4" x14ac:dyDescent="0.2">
      <c r="A5063" s="5">
        <v>5002</v>
      </c>
      <c r="B5063" s="138">
        <f>'Revenues 9-14'!C7</f>
        <v>82109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5144466</v>
      </c>
      <c r="C5066" s="2" t="s">
        <v>594</v>
      </c>
      <c r="D5066" s="2" t="str">
        <f t="shared" si="78"/>
        <v>Error?</v>
      </c>
    </row>
    <row r="5067" spans="1:4" x14ac:dyDescent="0.2">
      <c r="A5067" s="5">
        <v>5006</v>
      </c>
      <c r="B5067" s="138">
        <f>'Revenues 9-14'!C14</f>
        <v>196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310196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310392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9682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9682</v>
      </c>
      <c r="C5090" s="2" t="s">
        <v>594</v>
      </c>
      <c r="D5090" s="2" t="str">
        <f t="shared" si="78"/>
        <v>Error?</v>
      </c>
    </row>
    <row r="5091" spans="1:4" x14ac:dyDescent="0.2">
      <c r="A5091" s="5">
        <v>5030</v>
      </c>
      <c r="B5091" s="138">
        <f>'Revenues 9-14'!C70</f>
        <v>8588</v>
      </c>
      <c r="D5091" s="2" t="str">
        <f t="shared" si="78"/>
        <v>Error?</v>
      </c>
    </row>
    <row r="5092" spans="1:4" x14ac:dyDescent="0.2">
      <c r="A5092" s="5">
        <v>5031</v>
      </c>
      <c r="B5092" s="138">
        <f>'Revenues 9-14'!C71</f>
        <v>11452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6163</v>
      </c>
      <c r="D5094" s="2" t="str">
        <f t="shared" si="78"/>
        <v>Error?</v>
      </c>
    </row>
    <row r="5095" spans="1:4" x14ac:dyDescent="0.2">
      <c r="A5095" s="5">
        <v>5034</v>
      </c>
      <c r="B5095" s="138">
        <f>'Revenues 9-14'!C74</f>
        <v>4421</v>
      </c>
      <c r="D5095" s="2" t="str">
        <f t="shared" si="78"/>
        <v>Error?</v>
      </c>
    </row>
    <row r="5096" spans="1:4" x14ac:dyDescent="0.2">
      <c r="A5096" s="5">
        <v>5035</v>
      </c>
      <c r="B5096" s="138">
        <f>'Revenues 9-14'!C75</f>
        <v>139515</v>
      </c>
      <c r="C5096" s="2" t="s">
        <v>594</v>
      </c>
      <c r="D5096" s="2" t="str">
        <f t="shared" si="78"/>
        <v>Error?</v>
      </c>
    </row>
    <row r="5097" spans="1:4" x14ac:dyDescent="0.2">
      <c r="A5097" s="5">
        <v>5036</v>
      </c>
      <c r="B5097" s="138">
        <f>'Revenues 9-14'!C77</f>
        <v>18800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14382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33182</v>
      </c>
      <c r="C5102" s="2" t="s">
        <v>594</v>
      </c>
      <c r="D5102" s="2" t="str">
        <f t="shared" si="78"/>
        <v>Error?</v>
      </c>
    </row>
    <row r="5103" spans="1:4" x14ac:dyDescent="0.2">
      <c r="A5103" s="5">
        <v>5042</v>
      </c>
      <c r="B5103" s="138">
        <f>'Revenues 9-14'!C84</f>
        <v>34324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34324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29789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7729</v>
      </c>
      <c r="D5119" s="2" t="str">
        <f t="shared" ref="D5119:D5182" si="79">IF(ISBLANK(B5119),"OK",IF(A5119-B5119=0,"OK","Error?"))</f>
        <v>Error?</v>
      </c>
    </row>
    <row r="5120" spans="1:4" x14ac:dyDescent="0.2">
      <c r="A5120" s="5">
        <v>5059</v>
      </c>
      <c r="B5120" s="138">
        <f>'Revenues 9-14'!C108</f>
        <v>37518</v>
      </c>
      <c r="C5120" s="2" t="s">
        <v>594</v>
      </c>
      <c r="D5120" s="2" t="str">
        <f t="shared" si="79"/>
        <v>Error?</v>
      </c>
    </row>
    <row r="5121" spans="1:4" x14ac:dyDescent="0.2">
      <c r="A5121" s="5">
        <v>5060</v>
      </c>
      <c r="B5121" s="138">
        <f>'Revenues 9-14'!C109</f>
        <v>5709079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2038354</v>
      </c>
      <c r="D5126" s="2" t="str">
        <f t="shared" si="79"/>
        <v>Error?</v>
      </c>
    </row>
    <row r="5127" spans="1:4" x14ac:dyDescent="0.2">
      <c r="A5127" s="5">
        <v>5066</v>
      </c>
      <c r="B5127" s="138">
        <f>'Revenues 9-14'!C119</f>
        <v>193815</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2232169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80704</v>
      </c>
      <c r="D5134" s="2" t="str">
        <f t="shared" si="79"/>
        <v>Error?</v>
      </c>
    </row>
    <row r="5135" spans="1:4" x14ac:dyDescent="0.2">
      <c r="A5135" s="5">
        <v>5074</v>
      </c>
      <c r="B5135" s="138">
        <f>'Revenues 9-14'!C126</f>
        <v>101615</v>
      </c>
      <c r="D5135" s="2" t="str">
        <f t="shared" si="79"/>
        <v>Error?</v>
      </c>
    </row>
    <row r="5136" spans="1:4" x14ac:dyDescent="0.2">
      <c r="A5136" s="10">
        <v>5075</v>
      </c>
      <c r="D5136" s="2" t="str">
        <f t="shared" si="79"/>
        <v>OK</v>
      </c>
    </row>
    <row r="5137" spans="1:4" x14ac:dyDescent="0.2">
      <c r="A5137" s="5">
        <v>5076</v>
      </c>
      <c r="B5137" s="138">
        <f>'Revenues 9-14'!C127</f>
        <v>20785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203104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8220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12968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3796</v>
      </c>
      <c r="D5167" s="2" t="str">
        <f t="shared" si="79"/>
        <v>Error?</v>
      </c>
    </row>
    <row r="5168" spans="1:4" x14ac:dyDescent="0.2">
      <c r="A5168" s="5">
        <v>5107</v>
      </c>
      <c r="B5168" s="138">
        <f>'Revenues 9-14'!C147</f>
        <v>18292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389562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629300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2861469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231359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58066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289425</v>
      </c>
      <c r="C5246" s="2" t="s">
        <v>594</v>
      </c>
      <c r="D5246" s="2" t="str">
        <f t="shared" si="80"/>
        <v>Error?</v>
      </c>
    </row>
    <row r="5247" spans="1:4" x14ac:dyDescent="0.2">
      <c r="A5247" s="5">
        <v>5186</v>
      </c>
      <c r="B5247" s="138">
        <f>'Revenues 9-14'!C203</f>
        <v>406906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406906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7329</v>
      </c>
      <c r="D5278" s="2" t="str">
        <f t="shared" si="81"/>
        <v>Error?</v>
      </c>
    </row>
    <row r="5279" spans="1:4" x14ac:dyDescent="0.2">
      <c r="A5279" s="5">
        <v>5218</v>
      </c>
      <c r="B5279" s="138">
        <f>'Revenues 9-14'!C221</f>
        <v>4171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11500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3139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3139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811832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811832</v>
      </c>
      <c r="C5326" s="2" t="s">
        <v>594</v>
      </c>
      <c r="D5326" s="2" t="str">
        <f t="shared" si="82"/>
        <v>Error?</v>
      </c>
    </row>
    <row r="5327" spans="1:4" x14ac:dyDescent="0.2">
      <c r="A5327" s="5">
        <v>5266</v>
      </c>
      <c r="B5327" s="138">
        <f>'Revenues 9-14'!C275</f>
        <v>9382380</v>
      </c>
      <c r="C5327" s="2" t="s">
        <v>594</v>
      </c>
      <c r="D5327" s="2" t="str">
        <f t="shared" si="82"/>
        <v>Error?</v>
      </c>
    </row>
    <row r="5328" spans="1:4" x14ac:dyDescent="0.2">
      <c r="A5328" s="5">
        <v>5267</v>
      </c>
      <c r="B5328" s="138">
        <f>'Revenues 9-14'!D5</f>
        <v>1026360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1026360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3478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9585</v>
      </c>
      <c r="D5354" s="2" t="str">
        <f t="shared" si="82"/>
        <v>Error?</v>
      </c>
    </row>
    <row r="5355" spans="1:4" x14ac:dyDescent="0.2">
      <c r="A5355" s="5">
        <v>5294</v>
      </c>
      <c r="B5355" s="138">
        <f>'Revenues 9-14'!D108</f>
        <v>13063</v>
      </c>
      <c r="C5355" s="2" t="s">
        <v>594</v>
      </c>
      <c r="D5355" s="2" t="str">
        <f t="shared" si="82"/>
        <v>Error?</v>
      </c>
    </row>
    <row r="5356" spans="1:4" x14ac:dyDescent="0.2">
      <c r="A5356" s="5">
        <v>5295</v>
      </c>
      <c r="B5356" s="138">
        <f>'Revenues 9-14'!D109</f>
        <v>1039949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1039949</v>
      </c>
      <c r="C5508" s="2" t="s">
        <v>594</v>
      </c>
      <c r="D5508" s="2" t="str">
        <f t="shared" si="85"/>
        <v>Error?</v>
      </c>
    </row>
    <row r="5509" spans="1:4" x14ac:dyDescent="0.2">
      <c r="A5509" s="5">
        <v>5448</v>
      </c>
      <c r="B5509" s="138">
        <f>'Revenues 9-14'!E5</f>
        <v>395504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395504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247700</v>
      </c>
      <c r="C5526" s="2" t="s">
        <v>594</v>
      </c>
      <c r="D5526" s="2" t="str">
        <f t="shared" si="85"/>
        <v>Error?</v>
      </c>
    </row>
    <row r="5527" spans="1:4" x14ac:dyDescent="0.2">
      <c r="A5527" s="5">
        <v>5466</v>
      </c>
      <c r="B5527" s="138">
        <f>'Revenues 9-14'!E109</f>
        <v>643331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643331</v>
      </c>
      <c r="C5552" s="2" t="s">
        <v>594</v>
      </c>
      <c r="D5552" s="2" t="str">
        <f t="shared" si="85"/>
        <v>Error?</v>
      </c>
    </row>
    <row r="5553" spans="1:4" x14ac:dyDescent="0.2">
      <c r="A5553" s="5">
        <v>5492</v>
      </c>
      <c r="B5553" s="138">
        <f>'Revenues 9-14'!F5</f>
        <v>410546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410546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300</v>
      </c>
      <c r="D5586" s="2" t="str">
        <f t="shared" si="86"/>
        <v>Error?</v>
      </c>
    </row>
    <row r="5587" spans="1:4" x14ac:dyDescent="0.2">
      <c r="A5587" s="5">
        <v>5526</v>
      </c>
      <c r="B5587" s="138">
        <f>'Revenues 9-14'!F108</f>
        <v>300</v>
      </c>
      <c r="C5587" s="2" t="s">
        <v>594</v>
      </c>
      <c r="D5587" s="2" t="str">
        <f t="shared" si="86"/>
        <v>Error?</v>
      </c>
    </row>
    <row r="5588" spans="1:4" x14ac:dyDescent="0.2">
      <c r="A5588" s="5">
        <v>5527</v>
      </c>
      <c r="B5588" s="138">
        <f>'Revenues 9-14'!F109</f>
        <v>411062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359610</v>
      </c>
      <c r="D5615" s="2" t="str">
        <f t="shared" si="86"/>
        <v>Error?</v>
      </c>
    </row>
    <row r="5616" spans="1:4" x14ac:dyDescent="0.2">
      <c r="A5616" s="10">
        <v>5555</v>
      </c>
      <c r="D5616" s="2" t="str">
        <f t="shared" si="86"/>
        <v>OK</v>
      </c>
    </row>
    <row r="5617" spans="1:4" x14ac:dyDescent="0.2">
      <c r="A5617" s="5">
        <v>5556</v>
      </c>
      <c r="B5617" s="138">
        <f>'Revenues 9-14'!F152</f>
        <v>250769</v>
      </c>
      <c r="D5617" s="2" t="str">
        <f t="shared" si="86"/>
        <v>Error?</v>
      </c>
    </row>
    <row r="5618" spans="1:4" x14ac:dyDescent="0.2">
      <c r="A5618" s="5">
        <v>5557</v>
      </c>
      <c r="B5618" s="138">
        <f>'Revenues 9-14'!F154</f>
        <v>610379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58482</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668861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668861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1079923</v>
      </c>
      <c r="C5720" s="2" t="s">
        <v>594</v>
      </c>
      <c r="D5720" s="2" t="str">
        <f t="shared" si="88"/>
        <v>Error?</v>
      </c>
    </row>
    <row r="5721" spans="1:4" x14ac:dyDescent="0.2">
      <c r="A5721" s="5">
        <v>5660</v>
      </c>
      <c r="B5721" s="138">
        <f>'Revenues 9-14'!G5</f>
        <v>147179</v>
      </c>
      <c r="D5721" s="2" t="str">
        <f t="shared" si="88"/>
        <v>Error?</v>
      </c>
    </row>
    <row r="5722" spans="1:4" x14ac:dyDescent="0.2">
      <c r="A5722" s="5">
        <v>5661</v>
      </c>
      <c r="B5722" s="138">
        <f>'Revenues 9-14'!G7</f>
        <v>0</v>
      </c>
      <c r="D5722" s="2" t="str">
        <f t="shared" si="88"/>
        <v>Error?</v>
      </c>
    </row>
    <row r="5723" spans="1:4" x14ac:dyDescent="0.2">
      <c r="A5723" s="5">
        <v>5662</v>
      </c>
      <c r="B5723" s="138">
        <f>'Revenues 9-14'!G8</f>
        <v>187425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334604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16000</v>
      </c>
      <c r="C5730" s="2" t="s">
        <v>594</v>
      </c>
      <c r="D5730" s="2" t="str">
        <f t="shared" si="88"/>
        <v>Error?</v>
      </c>
    </row>
    <row r="5731" spans="1:4" x14ac:dyDescent="0.2">
      <c r="A5731" s="5">
        <v>5670</v>
      </c>
      <c r="B5731" s="138">
        <f>'Revenues 9-14'!G65</f>
        <v>258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350862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148093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148218</v>
      </c>
      <c r="C5915" s="2" t="s">
        <v>594</v>
      </c>
      <c r="D5915" s="2" t="str">
        <f t="shared" si="91"/>
        <v>Error?</v>
      </c>
    </row>
    <row r="5916" spans="1:4" x14ac:dyDescent="0.2">
      <c r="A5916" s="5">
        <v>5855</v>
      </c>
      <c r="B5916" s="138">
        <f>'Revenues 9-14'!I5</f>
        <v>102635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102635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102877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102635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102635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102739</v>
      </c>
      <c r="C6023" s="2" t="s">
        <v>594</v>
      </c>
      <c r="D6023" s="2" t="str">
        <f t="shared" si="93"/>
        <v>Error?</v>
      </c>
    </row>
    <row r="6024" spans="1:5" x14ac:dyDescent="0.2">
      <c r="A6024" s="5">
        <v>5963</v>
      </c>
      <c r="B6024" s="138">
        <f>'Revenues 9-14'!G109</f>
        <v>350862</v>
      </c>
      <c r="C6024" s="2" t="s">
        <v>594</v>
      </c>
      <c r="D6024" s="2" t="str">
        <f t="shared" si="93"/>
        <v>Error?</v>
      </c>
    </row>
    <row r="6025" spans="1:5" x14ac:dyDescent="0.2">
      <c r="A6025" s="5">
        <v>5964</v>
      </c>
      <c r="B6025" s="138">
        <f>'Revenues 9-14'!H109</f>
        <v>148218</v>
      </c>
      <c r="C6025" s="2" t="s">
        <v>594</v>
      </c>
      <c r="D6025" s="2" t="str">
        <f t="shared" si="93"/>
        <v>Error?</v>
      </c>
    </row>
    <row r="6026" spans="1:5" x14ac:dyDescent="0.2">
      <c r="A6026" s="5">
        <v>5965</v>
      </c>
      <c r="B6026" s="138">
        <f>'Revenues 9-14'!I109</f>
        <v>102877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102739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108891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31156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325000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172899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325000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70412</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70412</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102487</v>
      </c>
      <c r="D6215" s="2" t="str">
        <f t="shared" si="96"/>
        <v>Error?</v>
      </c>
      <c r="E6215" s="2" t="s">
        <v>199</v>
      </c>
    </row>
    <row r="6216" spans="1:5" x14ac:dyDescent="0.2">
      <c r="A6216">
        <v>6155</v>
      </c>
      <c r="B6216" s="138">
        <f>'Assets-Liab 5-6'!J41</f>
        <v>172899</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172899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303499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303499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303499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294071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294071</v>
      </c>
      <c r="D6229" s="2" t="str">
        <f t="shared" si="96"/>
        <v>Error?</v>
      </c>
      <c r="E6229" s="2" t="s">
        <v>199</v>
      </c>
    </row>
    <row r="6230" spans="1:5" x14ac:dyDescent="0.2">
      <c r="A6230">
        <v>6169</v>
      </c>
      <c r="B6230" s="138">
        <f>'Acct Summary 7-8'!J20</f>
        <v>9428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19868</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2133</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9428</v>
      </c>
      <c r="D6263" s="2" t="str">
        <f t="shared" si="96"/>
        <v>Error?</v>
      </c>
      <c r="E6263" s="2" t="s">
        <v>199</v>
      </c>
    </row>
    <row r="6264" spans="1:5" x14ac:dyDescent="0.2">
      <c r="A6264">
        <v>6203</v>
      </c>
      <c r="B6264" s="138">
        <f>'Acct Summary 7-8'!J79</f>
        <v>93059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102487</v>
      </c>
      <c r="D6266" s="2" t="str">
        <f t="shared" si="96"/>
        <v>Error?</v>
      </c>
      <c r="E6266" s="2" t="s">
        <v>199</v>
      </c>
    </row>
    <row r="6267" spans="1:5" x14ac:dyDescent="0.2">
      <c r="A6267">
        <v>6206</v>
      </c>
      <c r="B6267" s="138">
        <f>'Acct Summary 7-8'!C82</f>
        <v>164368</v>
      </c>
      <c r="D6267" s="2" t="str">
        <f t="shared" si="96"/>
        <v>Error?</v>
      </c>
      <c r="E6267" s="2" t="s">
        <v>199</v>
      </c>
    </row>
    <row r="6268" spans="1:5" x14ac:dyDescent="0.2">
      <c r="A6268">
        <v>6207</v>
      </c>
      <c r="B6268" s="138">
        <f>'Acct Summary 7-8'!D82</f>
        <v>66870</v>
      </c>
      <c r="D6268" s="2" t="str">
        <f t="shared" si="96"/>
        <v>Error?</v>
      </c>
      <c r="E6268" s="2" t="s">
        <v>199</v>
      </c>
    </row>
    <row r="6269" spans="1:5" x14ac:dyDescent="0.2">
      <c r="A6269">
        <v>6208</v>
      </c>
      <c r="B6269" s="138">
        <f>'Acct Summary 7-8'!E82</f>
        <v>-657</v>
      </c>
      <c r="D6269" s="2" t="str">
        <f t="shared" si="96"/>
        <v>Error?</v>
      </c>
      <c r="E6269" s="2" t="s">
        <v>199</v>
      </c>
    </row>
    <row r="6270" spans="1:5" x14ac:dyDescent="0.2">
      <c r="A6270">
        <v>6209</v>
      </c>
      <c r="B6270" s="138">
        <f>'Acct Summary 7-8'!F82</f>
        <v>77135</v>
      </c>
      <c r="D6270" s="2" t="str">
        <f t="shared" si="96"/>
        <v>Error?</v>
      </c>
      <c r="E6270" s="2" t="s">
        <v>199</v>
      </c>
    </row>
    <row r="6271" spans="1:5" x14ac:dyDescent="0.2">
      <c r="A6271">
        <v>6210</v>
      </c>
      <c r="B6271" s="138">
        <f>'Acct Summary 7-8'!G82</f>
        <v>27437</v>
      </c>
      <c r="D6271" s="2" t="str">
        <f t="shared" ref="D6271:D6334" si="97">IF(ISBLANK(B6271),"OK",IF(A6271-B6271=0,"OK","Error?"))</f>
        <v>Error?</v>
      </c>
      <c r="E6271" s="2" t="s">
        <v>199</v>
      </c>
    </row>
    <row r="6272" spans="1:5" x14ac:dyDescent="0.2">
      <c r="A6272">
        <v>6211</v>
      </c>
      <c r="B6272" s="138">
        <f>'Acct Summary 7-8'!H82</f>
        <v>-42006</v>
      </c>
      <c r="D6272" s="2" t="str">
        <f t="shared" si="97"/>
        <v>Error?</v>
      </c>
      <c r="E6272" s="2" t="s">
        <v>199</v>
      </c>
    </row>
    <row r="6273" spans="1:5" x14ac:dyDescent="0.2">
      <c r="A6273">
        <v>6212</v>
      </c>
      <c r="B6273" s="138">
        <f>'Acct Summary 7-8'!I82</f>
        <v>49877</v>
      </c>
      <c r="D6273" s="2" t="str">
        <f t="shared" si="97"/>
        <v>Error?</v>
      </c>
      <c r="E6273" s="2" t="s">
        <v>199</v>
      </c>
    </row>
    <row r="6274" spans="1:5" x14ac:dyDescent="0.2">
      <c r="A6274">
        <v>6213</v>
      </c>
      <c r="B6274" s="138">
        <f>'Acct Summary 7-8'!J82</f>
        <v>9428</v>
      </c>
      <c r="D6274" s="2" t="str">
        <f t="shared" si="97"/>
        <v>Error?</v>
      </c>
      <c r="E6274" s="2" t="s">
        <v>199</v>
      </c>
    </row>
    <row r="6275" spans="1:5" x14ac:dyDescent="0.2">
      <c r="A6275">
        <v>6214</v>
      </c>
      <c r="B6275" s="138">
        <f>'Acct Summary 7-8'!K82</f>
        <v>69759</v>
      </c>
      <c r="D6275" s="2" t="str">
        <f t="shared" si="97"/>
        <v>Error?</v>
      </c>
      <c r="E6275" s="2" t="s">
        <v>199</v>
      </c>
    </row>
    <row r="6276" spans="1:5" x14ac:dyDescent="0.2">
      <c r="A6276">
        <v>6215</v>
      </c>
      <c r="B6276" s="138">
        <f>'Acct Summary 7-8'!C83</f>
        <v>7.2226335667377795E-2</v>
      </c>
      <c r="D6276" s="2" t="str">
        <f t="shared" si="97"/>
        <v>Error?</v>
      </c>
      <c r="E6276" s="2" t="s">
        <v>199</v>
      </c>
    </row>
    <row r="6277" spans="1:5" x14ac:dyDescent="0.2">
      <c r="A6277">
        <v>6216</v>
      </c>
      <c r="B6277" s="138">
        <f>'Acct Summary 7-8'!D83</f>
        <v>0.11886922252382451</v>
      </c>
      <c r="D6277" s="2" t="str">
        <f t="shared" si="97"/>
        <v>Error?</v>
      </c>
      <c r="E6277" s="2" t="s">
        <v>199</v>
      </c>
    </row>
    <row r="6278" spans="1:5" x14ac:dyDescent="0.2">
      <c r="A6278">
        <v>6217</v>
      </c>
      <c r="B6278" s="138">
        <f>'Acct Summary 7-8'!E83</f>
        <v>-7.8727891482528872E-3</v>
      </c>
      <c r="D6278" s="2" t="str">
        <f t="shared" si="97"/>
        <v>Error?</v>
      </c>
      <c r="E6278" s="2" t="s">
        <v>199</v>
      </c>
    </row>
    <row r="6279" spans="1:5" x14ac:dyDescent="0.2">
      <c r="A6279">
        <v>6218</v>
      </c>
      <c r="B6279" s="138">
        <f>'Acct Summary 7-8'!F83</f>
        <v>-0.53452015494743843</v>
      </c>
      <c r="D6279" s="2" t="str">
        <f t="shared" si="97"/>
        <v>Error?</v>
      </c>
      <c r="E6279" s="2" t="s">
        <v>199</v>
      </c>
    </row>
    <row r="6280" spans="1:5" x14ac:dyDescent="0.2">
      <c r="A6280">
        <v>6219</v>
      </c>
      <c r="B6280" s="138">
        <f>'Acct Summary 7-8'!G83</f>
        <v>7.2771397501525073E-2</v>
      </c>
      <c r="D6280" s="2" t="str">
        <f t="shared" si="97"/>
        <v>Error?</v>
      </c>
      <c r="E6280" s="2" t="s">
        <v>199</v>
      </c>
    </row>
    <row r="6281" spans="1:5" x14ac:dyDescent="0.2">
      <c r="A6281">
        <v>6220</v>
      </c>
      <c r="B6281" s="138">
        <f>'Acct Summary 7-8'!H83</f>
        <v>-0.11867308539851511</v>
      </c>
      <c r="D6281" s="2" t="str">
        <f t="shared" si="97"/>
        <v>Error?</v>
      </c>
      <c r="E6281" s="2" t="s">
        <v>199</v>
      </c>
    </row>
    <row r="6282" spans="1:5" x14ac:dyDescent="0.2">
      <c r="A6282">
        <v>6221</v>
      </c>
      <c r="B6282" s="138">
        <f>'Acct Summary 7-8'!I83</f>
        <v>0.11203556242404911</v>
      </c>
      <c r="D6282" s="2" t="str">
        <f t="shared" si="97"/>
        <v>Error?</v>
      </c>
      <c r="E6282" s="2" t="s">
        <v>199</v>
      </c>
    </row>
    <row r="6283" spans="1:5" x14ac:dyDescent="0.2">
      <c r="A6283">
        <v>6222</v>
      </c>
      <c r="B6283" s="138">
        <f>'Acct Summary 7-8'!J83</f>
        <v>9.199215510259838E-2</v>
      </c>
      <c r="D6283" s="2" t="str">
        <f t="shared" si="97"/>
        <v>Error?</v>
      </c>
      <c r="E6283" s="2" t="s">
        <v>199</v>
      </c>
    </row>
    <row r="6284" spans="1:5" x14ac:dyDescent="0.2">
      <c r="A6284">
        <v>6223</v>
      </c>
      <c r="B6284" s="138">
        <f>'Acct Summary 7-8'!K83</f>
        <v>0.28793551076677965</v>
      </c>
      <c r="D6284" s="2" t="str">
        <f t="shared" si="97"/>
        <v>Error?</v>
      </c>
      <c r="E6284" s="2" t="s">
        <v>199</v>
      </c>
    </row>
    <row r="6285" spans="1:5" x14ac:dyDescent="0.2">
      <c r="A6285">
        <v>6224</v>
      </c>
      <c r="B6285" s="138">
        <f>'Acct Summary 7-8'!E37</f>
        <v>19868</v>
      </c>
      <c r="D6285" s="2" t="str">
        <f t="shared" si="97"/>
        <v>Error?</v>
      </c>
      <c r="E6285" s="2" t="s">
        <v>199</v>
      </c>
    </row>
    <row r="6286" spans="1:5" x14ac:dyDescent="0.2">
      <c r="A6286">
        <v>6225</v>
      </c>
      <c r="B6286" s="138">
        <f>'Acct Summary 7-8'!E38</f>
        <v>2133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303409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303409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t="str">
        <f>'Revenues 9-14'!C97</f>
        <v xml:space="preserve"> </v>
      </c>
      <c r="D6320" s="2" t="e">
        <f t="shared" si="97"/>
        <v>#VALUE!</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303499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4748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171918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213613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10194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253259</v>
      </c>
      <c r="D6983" s="2" t="str">
        <f t="shared" si="108"/>
        <v>Error?</v>
      </c>
    </row>
    <row r="6984" spans="1:4" x14ac:dyDescent="0.2">
      <c r="A6984">
        <v>6923</v>
      </c>
      <c r="B6984" s="138">
        <f>'Expenditures 15-22'!K86</f>
        <v>253259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253259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294071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303499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11720</v>
      </c>
      <c r="D7073" s="2" t="str">
        <f t="shared" si="109"/>
        <v>Error?</v>
      </c>
    </row>
    <row r="7074" spans="1:4" x14ac:dyDescent="0.2">
      <c r="A7074">
        <v>7013</v>
      </c>
      <c r="B7074" s="138">
        <f>'Expenditures 15-22'!K216</f>
        <v>11720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121</v>
      </c>
      <c r="D7079" s="2" t="str">
        <f t="shared" si="109"/>
        <v>Error?</v>
      </c>
    </row>
    <row r="7080" spans="1:4" x14ac:dyDescent="0.2">
      <c r="A7080">
        <v>7019</v>
      </c>
      <c r="B7080" s="138">
        <f>'Expenditures 15-22'!K226</f>
        <v>121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144026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144026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150045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150045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150045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144026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294071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150045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144026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294071</v>
      </c>
      <c r="D7224" s="2" t="str">
        <f t="shared" si="111"/>
        <v>Error?</v>
      </c>
    </row>
    <row r="7225" spans="1:4" x14ac:dyDescent="0.2">
      <c r="A7225">
        <v>7164</v>
      </c>
      <c r="B7225" s="138">
        <f>'Expenditures 15-22'!K343</f>
        <v>9428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41695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8548</v>
      </c>
      <c r="D7263" s="2" t="str">
        <f t="shared" si="112"/>
        <v>Error?</v>
      </c>
    </row>
    <row r="7264" spans="1:4" x14ac:dyDescent="0.2">
      <c r="A7264">
        <f t="shared" si="113"/>
        <v>7203</v>
      </c>
      <c r="B7264" s="138">
        <f>'Expenditures 15-22'!D17</f>
        <v>1646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50857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50857</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50857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50857</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472151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228901</v>
      </c>
      <c r="D7708" s="2" t="str">
        <f t="shared" si="126"/>
        <v>Error?</v>
      </c>
      <c r="E7708" s="2" t="s">
        <v>881</v>
      </c>
    </row>
    <row r="7709" spans="1:5" x14ac:dyDescent="0.2">
      <c r="A7709">
        <v>7648</v>
      </c>
      <c r="B7709" s="138">
        <f>'Rest Tax Levies-Tort Im 25'!K3</f>
        <v>49019</v>
      </c>
      <c r="D7709" s="2" t="str">
        <f t="shared" si="126"/>
        <v>Error?</v>
      </c>
      <c r="E7709" s="2" t="s">
        <v>881</v>
      </c>
    </row>
    <row r="7710" spans="1:5" x14ac:dyDescent="0.2">
      <c r="A7710">
        <v>7649</v>
      </c>
      <c r="B7710" s="138">
        <f>'Rest Tax Levies-Tort Im 25'!J6</f>
        <v>73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148093</v>
      </c>
      <c r="D7713" s="2" t="str">
        <f t="shared" si="126"/>
        <v>Error?</v>
      </c>
      <c r="E7713" s="2" t="s">
        <v>881</v>
      </c>
    </row>
    <row r="7714" spans="1:6" x14ac:dyDescent="0.2">
      <c r="A7714">
        <v>7653</v>
      </c>
      <c r="B7714" s="138">
        <f>'Rest Tax Levies-Tort Im 25'!K9</f>
        <v>18292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148166</v>
      </c>
      <c r="D7718" s="2" t="str">
        <f t="shared" si="126"/>
        <v>Error?</v>
      </c>
      <c r="E7718" s="2" t="s">
        <v>881</v>
      </c>
    </row>
    <row r="7719" spans="1:6" x14ac:dyDescent="0.2">
      <c r="A7719">
        <v>7658</v>
      </c>
      <c r="B7719" s="138">
        <f>'Rest Tax Levies-Tort Im 25'!K12</f>
        <v>18292</v>
      </c>
      <c r="D7719" s="2" t="str">
        <f t="shared" si="126"/>
        <v>Error?</v>
      </c>
      <c r="E7719" s="2" t="s">
        <v>881</v>
      </c>
    </row>
    <row r="7720" spans="1:6" x14ac:dyDescent="0.2">
      <c r="A7720">
        <v>7659</v>
      </c>
      <c r="B7720" s="138">
        <f>'Rest Tax Levies-Tort Im 25'!H14</f>
        <v>82109</v>
      </c>
      <c r="D7720" s="2" t="str">
        <f t="shared" si="126"/>
        <v>Error?</v>
      </c>
      <c r="E7720" s="2" t="s">
        <v>881</v>
      </c>
    </row>
    <row r="7721" spans="1:6" x14ac:dyDescent="0.2">
      <c r="A7721">
        <v>7660</v>
      </c>
      <c r="B7721" s="138">
        <f>'Rest Tax Levies-Tort Im 25'!K14</f>
        <v>10193</v>
      </c>
      <c r="D7721" s="2" t="str">
        <f t="shared" si="126"/>
        <v>Error?</v>
      </c>
      <c r="E7721" s="2" t="s">
        <v>881</v>
      </c>
    </row>
    <row r="7722" spans="1:6" x14ac:dyDescent="0.2">
      <c r="A7722">
        <v>7661</v>
      </c>
      <c r="B7722" s="138">
        <f>'Rest Tax Levies-Tort Im 25'!J15</f>
        <v>190224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247700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190224</v>
      </c>
      <c r="D7730" s="2" t="str">
        <f t="shared" si="126"/>
        <v>Error?</v>
      </c>
      <c r="E7730" s="2" t="s">
        <v>881</v>
      </c>
    </row>
    <row r="7731" spans="1:6" x14ac:dyDescent="0.2">
      <c r="A7731">
        <v>7670</v>
      </c>
      <c r="B7731" s="138">
        <f>'Revenues 9-14'!H103</f>
        <v>148093</v>
      </c>
      <c r="D7731" s="2" t="str">
        <f t="shared" si="126"/>
        <v>Error?</v>
      </c>
      <c r="E7731" s="2" t="s">
        <v>881</v>
      </c>
    </row>
    <row r="7732" spans="1:6" x14ac:dyDescent="0.2">
      <c r="A7732">
        <v>7671</v>
      </c>
      <c r="B7732" s="138">
        <f>'Rest Tax Levies-Tort Im 25'!J24</f>
        <v>186843</v>
      </c>
      <c r="D7732" s="2" t="str">
        <f t="shared" si="126"/>
        <v>Error?</v>
      </c>
      <c r="E7732" s="2" t="s">
        <v>881</v>
      </c>
    </row>
    <row r="7733" spans="1:6" x14ac:dyDescent="0.2">
      <c r="A7733">
        <v>7672</v>
      </c>
      <c r="B7733" s="138">
        <f>'Rest Tax Levies-Tort Im 25'!K24</f>
        <v>57118</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186843</v>
      </c>
      <c r="D7742" s="2" t="str">
        <f t="shared" si="126"/>
        <v>Error?</v>
      </c>
      <c r="E7742" s="2" t="s">
        <v>881</v>
      </c>
    </row>
    <row r="7743" spans="1:6" x14ac:dyDescent="0.2">
      <c r="A7743">
        <v>7682</v>
      </c>
      <c r="B7743" s="138">
        <f>'Rest Tax Levies-Tort Im 25'!K26</f>
        <v>57118</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53000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1965</v>
      </c>
    </row>
    <row r="7775" spans="1:5" x14ac:dyDescent="0.2">
      <c r="A7775">
        <v>7714</v>
      </c>
      <c r="B7775" s="138" t="str">
        <f>'Expenditures 15-22'!H133</f>
        <v xml:space="preserve"> </v>
      </c>
      <c r="D7775" s="2" t="e">
        <f t="shared" si="127"/>
        <v>#VALUE!</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t="str">
        <f>'Expenditures 15-22'!H158</f>
        <v xml:space="preserve"> </v>
      </c>
      <c r="D7779" s="2" t="e">
        <f t="shared" si="127"/>
        <v>#VALUE!</v>
      </c>
      <c r="E7779" s="4" t="s">
        <v>1965</v>
      </c>
    </row>
    <row r="7780" spans="1:5" x14ac:dyDescent="0.2">
      <c r="A7780">
        <v>7719</v>
      </c>
      <c r="B7780" s="138" t="str">
        <f>'Expenditures 15-22'!K158</f>
        <v xml:space="preserve"> </v>
      </c>
      <c r="D7780" s="2" t="e">
        <f t="shared" si="127"/>
        <v>#VALUE!</v>
      </c>
      <c r="E7780" s="4" t="s">
        <v>1965</v>
      </c>
    </row>
    <row r="7781" spans="1:5" x14ac:dyDescent="0.2">
      <c r="A7781">
        <v>7720</v>
      </c>
      <c r="B7781" s="138" t="str">
        <f>'Expenditures 15-22'!H159</f>
        <v xml:space="preserve"> </v>
      </c>
      <c r="D7781" s="2" t="e">
        <f t="shared" si="127"/>
        <v>#VALUE!</v>
      </c>
      <c r="E7781" s="4" t="s">
        <v>1965</v>
      </c>
    </row>
    <row r="7782" spans="1:5" x14ac:dyDescent="0.2">
      <c r="A7782">
        <v>7721</v>
      </c>
      <c r="B7782" s="138" t="str">
        <f>'Expenditures 15-22'!K159</f>
        <v xml:space="preserve"> </v>
      </c>
      <c r="D7782" s="2" t="e">
        <f t="shared" si="127"/>
        <v>#VALUE!</v>
      </c>
      <c r="E7782" s="4" t="s">
        <v>1965</v>
      </c>
    </row>
    <row r="7783" spans="1:5" x14ac:dyDescent="0.2">
      <c r="A7783">
        <v>7722</v>
      </c>
      <c r="B7783" s="138" t="str">
        <f>'Expenditures 15-22'!D282</f>
        <v xml:space="preserve"> </v>
      </c>
      <c r="D7783" s="2" t="e">
        <f t="shared" si="127"/>
        <v>#VALUE!</v>
      </c>
      <c r="E7783" s="4" t="s">
        <v>1965</v>
      </c>
    </row>
    <row r="7784" spans="1:5" x14ac:dyDescent="0.2">
      <c r="A7784">
        <v>7723</v>
      </c>
      <c r="B7784" s="138" t="str">
        <f>'Expenditures 15-22'!K282</f>
        <v xml:space="preserve"> </v>
      </c>
      <c r="D7784" s="2" t="e">
        <f t="shared" si="127"/>
        <v>#VALUE!</v>
      </c>
      <c r="E7784" s="4" t="s">
        <v>1965</v>
      </c>
    </row>
    <row r="7785" spans="1:5" x14ac:dyDescent="0.2">
      <c r="A7785">
        <v>7724</v>
      </c>
      <c r="B7785" s="138" t="str">
        <f>'Expenditures 15-22'!H332</f>
        <v xml:space="preserve"> </v>
      </c>
      <c r="D7785" s="2" t="e">
        <f t="shared" si="127"/>
        <v>#VALUE!</v>
      </c>
      <c r="E7785" s="4" t="s">
        <v>1965</v>
      </c>
    </row>
    <row r="7786" spans="1:5" x14ac:dyDescent="0.2">
      <c r="A7786">
        <v>7725</v>
      </c>
      <c r="B7786" s="138" t="str">
        <f>'Expenditures 15-22'!K332</f>
        <v xml:space="preserve"> </v>
      </c>
      <c r="D7786" s="2" t="e">
        <f t="shared" si="127"/>
        <v>#VALUE!</v>
      </c>
      <c r="E7786" s="4" t="s">
        <v>1965</v>
      </c>
    </row>
    <row r="7787" spans="1:5" x14ac:dyDescent="0.2">
      <c r="A7787">
        <v>7726</v>
      </c>
      <c r="B7787" s="138" t="str">
        <f>'Expenditures 15-22'!H333</f>
        <v xml:space="preserve"> </v>
      </c>
      <c r="D7787" s="2" t="e">
        <f t="shared" si="127"/>
        <v>#VALUE!</v>
      </c>
      <c r="E7787" s="4" t="s">
        <v>1965</v>
      </c>
    </row>
    <row r="7788" spans="1:5" x14ac:dyDescent="0.2">
      <c r="A7788">
        <v>7727</v>
      </c>
      <c r="B7788" s="138" t="str">
        <f>'Expenditures 15-22'!K333</f>
        <v xml:space="preserve"> </v>
      </c>
      <c r="D7788" s="2" t="e">
        <f t="shared" si="127"/>
        <v>#VALUE!</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t="str">
        <f>'Expenditures 15-22'!H354</f>
        <v xml:space="preserve"> </v>
      </c>
      <c r="D7791" s="2" t="e">
        <f t="shared" si="127"/>
        <v>#VALUE!</v>
      </c>
      <c r="E7791" s="4" t="s">
        <v>1965</v>
      </c>
    </row>
    <row r="7792" spans="1:5" x14ac:dyDescent="0.2">
      <c r="A7792">
        <v>7731</v>
      </c>
      <c r="B7792" s="138" t="str">
        <f>'Expenditures 15-22'!K354</f>
        <v xml:space="preserve"> </v>
      </c>
      <c r="D7792" s="2" t="e">
        <f t="shared" si="127"/>
        <v>#VALUE!</v>
      </c>
      <c r="E7792" s="4" t="s">
        <v>1965</v>
      </c>
    </row>
    <row r="7793" spans="1:5" x14ac:dyDescent="0.2">
      <c r="A7793">
        <v>7732</v>
      </c>
      <c r="B7793" s="138" t="str">
        <f>'Expenditures 15-22'!H355</f>
        <v xml:space="preserve"> </v>
      </c>
      <c r="D7793" s="2" t="e">
        <f t="shared" si="127"/>
        <v>#VALUE!</v>
      </c>
      <c r="E7793" s="4" t="s">
        <v>1965</v>
      </c>
    </row>
    <row r="7794" spans="1:5" x14ac:dyDescent="0.2">
      <c r="A7794">
        <v>7733</v>
      </c>
      <c r="B7794" s="138" t="str">
        <f>'Expenditures 15-22'!K355</f>
        <v xml:space="preserve"> </v>
      </c>
      <c r="D7794" s="2" t="e">
        <f t="shared" si="127"/>
        <v>#VALUE!</v>
      </c>
      <c r="E7794" s="4" t="s">
        <v>1965</v>
      </c>
    </row>
    <row r="7795" spans="1:5" x14ac:dyDescent="0.2">
      <c r="A7795">
        <v>7734</v>
      </c>
      <c r="B7795" s="138" t="str">
        <f>'Expenditures 15-22'!E138</f>
        <v xml:space="preserve"> </v>
      </c>
      <c r="D7795" s="2" t="e">
        <f t="shared" si="127"/>
        <v>#VALUE!</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1278955</v>
      </c>
      <c r="D7797" s="2" t="str">
        <f t="shared" si="127"/>
        <v>Error?</v>
      </c>
      <c r="E7797" s="4" t="s">
        <v>2018</v>
      </c>
    </row>
    <row r="7798" spans="1:5" x14ac:dyDescent="0.2">
      <c r="A7798">
        <v>7737</v>
      </c>
      <c r="B7798" s="138">
        <f>'Contracts Paid in CY 29'!F141</f>
        <v>100000</v>
      </c>
      <c r="D7798" s="2" t="str">
        <f t="shared" si="127"/>
        <v>Error?</v>
      </c>
      <c r="E7798" s="4" t="s">
        <v>2018</v>
      </c>
    </row>
    <row r="7799" spans="1:5" x14ac:dyDescent="0.2">
      <c r="A7799">
        <v>7738</v>
      </c>
      <c r="B7799" s="138">
        <f>'Contracts Paid in CY 29'!G141</f>
        <v>1178955</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B29" sqref="B29"/>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3" t="str">
        <f>COVER!A17</f>
        <v>Arthur CUSD 305</v>
      </c>
      <c r="B7" s="2414"/>
      <c r="C7" s="2414"/>
      <c r="D7" s="2451"/>
      <c r="E7" s="2452">
        <f>COVER!A13</f>
        <v>11021305026</v>
      </c>
      <c r="F7" s="2453"/>
      <c r="G7" s="2420" t="str">
        <f>COVER!T23</f>
        <v>066-003845</v>
      </c>
      <c r="H7" s="2421"/>
      <c r="I7" s="2421"/>
      <c r="J7" s="2421"/>
      <c r="K7" s="2421"/>
      <c r="L7" s="242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3"/>
      <c r="B9" s="2424"/>
      <c r="C9" s="2424"/>
      <c r="D9" s="2424"/>
      <c r="E9" s="2424"/>
      <c r="F9" s="2425"/>
      <c r="G9" s="2426" t="str">
        <f>COVER!T13</f>
        <v>MOSE, YOCKEY, BROWN &amp; KULL, LLC</v>
      </c>
      <c r="H9" s="2427"/>
      <c r="I9" s="2427"/>
      <c r="J9" s="2427"/>
      <c r="K9" s="2427"/>
      <c r="L9" s="2428"/>
    </row>
    <row r="10" spans="1:29" ht="13.5" customHeight="1" x14ac:dyDescent="0.2">
      <c r="A10" s="2410" t="str">
        <f>COVER!A38</f>
        <v>KENNY SCHWENGEL</v>
      </c>
      <c r="B10" s="2411"/>
      <c r="C10" s="2411"/>
      <c r="D10" s="2411"/>
      <c r="E10" s="2411"/>
      <c r="F10" s="2412"/>
      <c r="G10" s="2426" t="str">
        <f>COVER!T17</f>
        <v>230 N. MORGAN, PO BOX 317</v>
      </c>
      <c r="H10" s="2439"/>
      <c r="I10" s="2439"/>
      <c r="J10" s="2439"/>
      <c r="K10" s="2439"/>
      <c r="L10" s="2440"/>
    </row>
    <row r="11" spans="1:29" ht="13.5" customHeight="1" x14ac:dyDescent="0.2">
      <c r="A11" s="1183" t="s">
        <v>1599</v>
      </c>
      <c r="B11" s="1184"/>
      <c r="C11" s="1185"/>
      <c r="D11" s="1190"/>
      <c r="E11" s="1185"/>
      <c r="F11" s="1189"/>
      <c r="G11" s="2426" t="str">
        <f>COVER!T19</f>
        <v>SHELBYVILLE</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mybkcpas@consolidated.net</v>
      </c>
      <c r="J13" s="2448"/>
      <c r="K13" s="2448"/>
      <c r="L13" s="2449"/>
    </row>
    <row r="14" spans="1:29" ht="13.5" customHeight="1" x14ac:dyDescent="0.2">
      <c r="A14" s="2426" t="str">
        <f>COVER!A19</f>
        <v>301 EAST COLUMBIA</v>
      </c>
      <c r="B14" s="2439"/>
      <c r="C14" s="2439"/>
      <c r="D14" s="2439"/>
      <c r="E14" s="2439"/>
      <c r="F14" s="2440"/>
      <c r="G14" s="1194" t="s">
        <v>1247</v>
      </c>
      <c r="H14" s="1192"/>
      <c r="I14" s="1192"/>
      <c r="J14" s="1192"/>
      <c r="K14" s="1192"/>
      <c r="L14" s="1193"/>
    </row>
    <row r="15" spans="1:29" ht="13.5" customHeight="1" x14ac:dyDescent="0.2">
      <c r="A15" s="2426" t="str">
        <f>COVER!A21</f>
        <v xml:space="preserve">ARTHUR  </v>
      </c>
      <c r="B15" s="2439"/>
      <c r="C15" s="2439"/>
      <c r="D15" s="2439"/>
      <c r="E15" s="2439"/>
      <c r="F15" s="2440"/>
      <c r="G15" s="2436" t="str">
        <f>COVER!T15</f>
        <v>ROBIN R. YOCKEY</v>
      </c>
      <c r="H15" s="2437"/>
      <c r="I15" s="2437"/>
      <c r="J15" s="2437"/>
      <c r="K15" s="2437"/>
      <c r="L15" s="2438"/>
    </row>
    <row r="16" spans="1:29" ht="12.2" customHeight="1" x14ac:dyDescent="0.2">
      <c r="A16" s="2416">
        <f>COVER!A25</f>
        <v>61911</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4" t="s">
        <v>1246</v>
      </c>
      <c r="H17" s="1192"/>
      <c r="I17" s="1192"/>
      <c r="J17" s="1192"/>
      <c r="K17" s="1196" t="s">
        <v>1245</v>
      </c>
      <c r="L17" s="1189"/>
      <c r="M17" s="1182"/>
    </row>
    <row r="18" spans="1:13" ht="12.2" customHeight="1" x14ac:dyDescent="0.2">
      <c r="A18" s="2410"/>
      <c r="B18" s="2411"/>
      <c r="C18" s="2411"/>
      <c r="D18" s="2411"/>
      <c r="E18" s="2411"/>
      <c r="F18" s="2412"/>
      <c r="G18" s="2413" t="str">
        <f>COVER!T21</f>
        <v>217-774-9587</v>
      </c>
      <c r="H18" s="2414"/>
      <c r="I18" s="2414"/>
      <c r="J18" s="2414"/>
      <c r="K18" s="2413" t="str">
        <f>COVER!X21</f>
        <v>217-774-9589</v>
      </c>
      <c r="L18" s="241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B29" sqref="B29"/>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4" t="str">
        <f>'Single Audit Cover'!A7</f>
        <v>Arthur CUSD 305</v>
      </c>
      <c r="B1" s="2450"/>
      <c r="C1" s="2450"/>
      <c r="D1" s="2450"/>
    </row>
    <row r="2" spans="1:11" s="1213" customFormat="1" ht="12.75" x14ac:dyDescent="0.2">
      <c r="A2" s="2455">
        <f>'Single Audit Cover'!E7</f>
        <v>11021305026</v>
      </c>
      <c r="B2" s="2456"/>
      <c r="C2" s="2456"/>
      <c r="D2" s="2456"/>
    </row>
    <row r="3" spans="1:11" s="1213" customFormat="1" ht="12.75" x14ac:dyDescent="0.2">
      <c r="A3" s="2454" t="s">
        <v>1593</v>
      </c>
      <c r="B3" s="2450"/>
      <c r="C3" s="2450"/>
      <c r="D3" s="245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19" sqref="D19"/>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8" t="str">
        <f>'Single Audit Cover'!A7</f>
        <v>Arthur CUSD 305</v>
      </c>
      <c r="B1" s="2458"/>
      <c r="C1" s="2458"/>
      <c r="D1" s="2458"/>
      <c r="E1" s="2458"/>
    </row>
    <row r="2" spans="1:5" x14ac:dyDescent="0.2">
      <c r="A2" s="2459">
        <f>'Single Audit Cover'!E7</f>
        <v>11021305026</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58" t="s">
        <v>1305</v>
      </c>
    </row>
    <row r="10" spans="1:5" x14ac:dyDescent="0.2">
      <c r="A10" s="1259" t="s">
        <v>1304</v>
      </c>
      <c r="B10" s="1260" t="s">
        <v>1303</v>
      </c>
      <c r="C10" s="1260"/>
      <c r="D10" s="1261">
        <f>SUM('Acct Summary 7-8'!C7:K7)</f>
        <v>811832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31156</v>
      </c>
    </row>
    <row r="15" spans="1:5" x14ac:dyDescent="0.2">
      <c r="A15" s="1259"/>
      <c r="B15" s="1260"/>
      <c r="C15" s="1260"/>
    </row>
    <row r="16" spans="1:5" x14ac:dyDescent="0.2">
      <c r="A16" s="1259" t="s">
        <v>1954</v>
      </c>
      <c r="B16" s="1260"/>
      <c r="C16" s="1260"/>
    </row>
    <row r="17" spans="1:4" x14ac:dyDescent="0.2">
      <c r="A17" s="1259" t="s">
        <v>1601</v>
      </c>
      <c r="B17" s="1260" t="s">
        <v>1298</v>
      </c>
      <c r="C17" s="1260"/>
      <c r="D17" s="1262">
        <f>-SUM('Revenues 9-14'!C271:D271,'Revenues 9-14'!F271:G271)</f>
        <v>-47210</v>
      </c>
    </row>
    <row r="19" spans="1:4" ht="13.5" thickBot="1" x14ac:dyDescent="0.25">
      <c r="A19" s="1263" t="s">
        <v>1297</v>
      </c>
      <c r="D19" s="1264">
        <f>SUM(D10:D17)</f>
        <v>795778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60" t="s">
        <v>2132</v>
      </c>
      <c r="B24" s="2460"/>
      <c r="D24" s="1266">
        <v>1</v>
      </c>
    </row>
    <row r="25" spans="1:4" x14ac:dyDescent="0.2">
      <c r="A25" s="2457"/>
      <c r="B25" s="2457"/>
      <c r="D25" s="1266"/>
    </row>
    <row r="26" spans="1:4" x14ac:dyDescent="0.2">
      <c r="A26" s="2457"/>
      <c r="B26" s="2457"/>
      <c r="D26" s="1266"/>
    </row>
    <row r="27" spans="1:4" x14ac:dyDescent="0.2">
      <c r="A27" s="2457"/>
      <c r="B27" s="2457"/>
      <c r="D27" s="1266"/>
    </row>
    <row r="28" spans="1:4" x14ac:dyDescent="0.2">
      <c r="A28" s="2457"/>
      <c r="B28" s="2457"/>
      <c r="D28" s="1266"/>
    </row>
    <row r="29" spans="1:4" x14ac:dyDescent="0.2">
      <c r="A29" s="2457"/>
      <c r="B29" s="2457"/>
      <c r="D29" s="1266"/>
    </row>
    <row r="30" spans="1:4" x14ac:dyDescent="0.2">
      <c r="A30" s="2457"/>
      <c r="B30" s="2457"/>
      <c r="D30" s="1266"/>
    </row>
    <row r="32" spans="1:4" x14ac:dyDescent="0.2">
      <c r="A32" s="1258" t="s">
        <v>1295</v>
      </c>
      <c r="D32" s="1261">
        <f>SUM(D19:D30)</f>
        <v>795779</v>
      </c>
    </row>
    <row r="33" spans="1:4" x14ac:dyDescent="0.2">
      <c r="D33" s="1267"/>
    </row>
    <row r="34" spans="1:4" x14ac:dyDescent="0.2">
      <c r="A34" s="317" t="s">
        <v>1294</v>
      </c>
    </row>
    <row r="35" spans="1:4" x14ac:dyDescent="0.2">
      <c r="A35" s="317" t="s">
        <v>1293</v>
      </c>
      <c r="B35" s="1256" t="s">
        <v>1292</v>
      </c>
      <c r="D35" s="1268">
        <v>795779</v>
      </c>
    </row>
    <row r="37" spans="1:4" x14ac:dyDescent="0.2">
      <c r="A37" s="1258" t="s">
        <v>1291</v>
      </c>
    </row>
    <row r="39" spans="1:4" ht="13.35" customHeight="1" x14ac:dyDescent="0.2">
      <c r="A39" s="1265" t="s">
        <v>1290</v>
      </c>
    </row>
    <row r="40" spans="1:4" x14ac:dyDescent="0.2">
      <c r="A40" s="2457"/>
      <c r="B40" s="2457"/>
      <c r="D40" s="1266"/>
    </row>
    <row r="41" spans="1:4" x14ac:dyDescent="0.2">
      <c r="A41" s="2457"/>
      <c r="B41" s="2457"/>
      <c r="D41" s="1269"/>
    </row>
    <row r="42" spans="1:4" x14ac:dyDescent="0.2">
      <c r="A42" s="2457"/>
      <c r="B42" s="2457"/>
      <c r="D42" s="1269"/>
    </row>
    <row r="43" spans="1:4" x14ac:dyDescent="0.2">
      <c r="A43" s="2457"/>
      <c r="B43" s="2457"/>
      <c r="D43" s="1269"/>
    </row>
    <row r="44" spans="1:4" x14ac:dyDescent="0.2">
      <c r="A44" s="2457"/>
      <c r="B44" s="2457"/>
      <c r="D44" s="1269"/>
    </row>
    <row r="45" spans="1:4" x14ac:dyDescent="0.2">
      <c r="A45" s="2457"/>
      <c r="B45" s="2457"/>
      <c r="D45" s="1269"/>
    </row>
    <row r="47" spans="1:4" x14ac:dyDescent="0.2">
      <c r="B47" s="1270" t="s">
        <v>1289</v>
      </c>
      <c r="C47" s="1270"/>
      <c r="D47" s="1271">
        <f>SUM(D35:D45)</f>
        <v>795779</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37"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9" t="str">
        <f>'Single Audit Cover'!A7</f>
        <v>Arthur CUSD 305</v>
      </c>
      <c r="C1" s="2462"/>
      <c r="D1" s="2462"/>
      <c r="E1" s="2462"/>
      <c r="F1" s="2462"/>
      <c r="G1" s="2462"/>
      <c r="H1" s="2462"/>
      <c r="I1" s="2462"/>
      <c r="J1" s="2462"/>
      <c r="K1" s="2462"/>
      <c r="L1" s="2462"/>
      <c r="M1" s="2462"/>
    </row>
    <row r="2" spans="2:14" ht="15" x14ac:dyDescent="0.2">
      <c r="B2" s="2463">
        <f>'Single Audit Cover'!E7</f>
        <v>11021305026</v>
      </c>
      <c r="C2" s="2463"/>
      <c r="D2" s="2463"/>
      <c r="E2" s="2463"/>
      <c r="F2" s="2463"/>
      <c r="G2" s="2463"/>
      <c r="H2" s="2463"/>
      <c r="I2" s="2463"/>
      <c r="J2" s="2463"/>
      <c r="K2" s="2463"/>
      <c r="L2" s="2463"/>
      <c r="M2" s="2463"/>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1835</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0"/>
      <c r="C8" s="1311" t="s">
        <v>1326</v>
      </c>
      <c r="D8" s="1312" t="s">
        <v>1325</v>
      </c>
      <c r="E8" s="1320" t="s">
        <v>1324</v>
      </c>
      <c r="F8" s="1321" t="s">
        <v>1324</v>
      </c>
      <c r="G8" s="1322" t="s">
        <v>1324</v>
      </c>
      <c r="H8" s="1315" t="s">
        <v>1663</v>
      </c>
      <c r="I8" s="1317" t="s">
        <v>1324</v>
      </c>
      <c r="J8" s="1316" t="s">
        <v>1948</v>
      </c>
      <c r="K8" s="1317" t="s">
        <v>1323</v>
      </c>
      <c r="L8" s="1318" t="s">
        <v>1319</v>
      </c>
      <c r="M8" s="1319" t="s">
        <v>30</v>
      </c>
    </row>
    <row r="9" spans="2:14" ht="14.25" x14ac:dyDescent="0.2">
      <c r="B9" s="1323" t="s">
        <v>1321</v>
      </c>
      <c r="C9" s="1311" t="s">
        <v>1836</v>
      </c>
      <c r="D9" s="1312" t="s">
        <v>1837</v>
      </c>
      <c r="E9" s="1320" t="s">
        <v>1663</v>
      </c>
      <c r="F9" s="1321" t="s">
        <v>1948</v>
      </c>
      <c r="G9" s="1322" t="s">
        <v>1663</v>
      </c>
      <c r="H9" s="1315" t="s">
        <v>1664</v>
      </c>
      <c r="I9" s="1317" t="s">
        <v>1948</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952" t="s">
        <v>2133</v>
      </c>
      <c r="C11" s="1336"/>
      <c r="D11" s="1337"/>
      <c r="E11" s="1338"/>
      <c r="F11" s="1338"/>
      <c r="G11" s="1338"/>
      <c r="H11" s="1338"/>
      <c r="I11" s="1338"/>
      <c r="J11" s="1338"/>
      <c r="K11" s="1338"/>
      <c r="L11" s="1338"/>
      <c r="M11" s="1338"/>
    </row>
    <row r="12" spans="2:14" ht="20.100000000000001" customHeight="1" x14ac:dyDescent="0.2">
      <c r="B12" s="1952" t="s">
        <v>2134</v>
      </c>
      <c r="C12" s="1339"/>
      <c r="D12" s="1340"/>
      <c r="E12" s="1341"/>
      <c r="F12" s="1341"/>
      <c r="G12" s="1341"/>
      <c r="H12" s="1341"/>
      <c r="I12" s="1341"/>
      <c r="J12" s="1341"/>
      <c r="K12" s="1341"/>
      <c r="L12" s="1338"/>
      <c r="M12" s="1341"/>
    </row>
    <row r="13" spans="2:14" ht="20.100000000000001" customHeight="1" x14ac:dyDescent="0.2">
      <c r="B13" s="1335" t="s">
        <v>974</v>
      </c>
      <c r="C13" s="1339" t="s">
        <v>2135</v>
      </c>
      <c r="D13" s="1340" t="s">
        <v>2136</v>
      </c>
      <c r="E13" s="1341">
        <v>305015</v>
      </c>
      <c r="F13" s="1341">
        <v>153939</v>
      </c>
      <c r="G13" s="1341">
        <v>406906</v>
      </c>
      <c r="H13" s="1341"/>
      <c r="I13" s="1341">
        <v>52319</v>
      </c>
      <c r="J13" s="1341"/>
      <c r="K13" s="1341"/>
      <c r="L13" s="1338">
        <f t="shared" ref="L13:L25" si="0">+G13+I13+K13</f>
        <v>459225</v>
      </c>
      <c r="M13" s="1341">
        <v>488872</v>
      </c>
    </row>
    <row r="14" spans="2:14" ht="20.100000000000001" customHeight="1" x14ac:dyDescent="0.2">
      <c r="B14" s="1335" t="s">
        <v>974</v>
      </c>
      <c r="C14" s="1339" t="s">
        <v>2135</v>
      </c>
      <c r="D14" s="1340" t="s">
        <v>2137</v>
      </c>
      <c r="E14" s="1953"/>
      <c r="F14" s="1953">
        <v>252967</v>
      </c>
      <c r="G14" s="1953"/>
      <c r="H14" s="1953"/>
      <c r="I14" s="1953">
        <v>357784</v>
      </c>
      <c r="J14" s="1953"/>
      <c r="K14" s="1953">
        <v>39784</v>
      </c>
      <c r="L14" s="1953">
        <f t="shared" si="0"/>
        <v>397568</v>
      </c>
      <c r="M14" s="1341">
        <v>417805</v>
      </c>
    </row>
    <row r="15" spans="2:14" ht="20.100000000000001" customHeight="1" x14ac:dyDescent="0.2">
      <c r="B15" s="1335" t="s">
        <v>1231</v>
      </c>
      <c r="C15" s="1339"/>
      <c r="D15" s="1340"/>
      <c r="E15" s="1338"/>
      <c r="F15" s="1338"/>
      <c r="G15" s="1338"/>
      <c r="H15" s="1338"/>
      <c r="I15" s="1338"/>
      <c r="J15" s="1338"/>
      <c r="K15" s="1338"/>
      <c r="L15" s="1338"/>
      <c r="M15" s="1341"/>
    </row>
    <row r="16" spans="2:14" ht="20.100000000000001" customHeight="1" x14ac:dyDescent="0.2">
      <c r="B16" s="1335" t="s">
        <v>2138</v>
      </c>
      <c r="C16" s="1339"/>
      <c r="D16" s="1340"/>
      <c r="E16" s="1953">
        <f>SUM(E13:E15)</f>
        <v>305015</v>
      </c>
      <c r="F16" s="1953">
        <f t="shared" ref="F16:K16" si="1">SUM(F13:F15)</f>
        <v>406906</v>
      </c>
      <c r="G16" s="1953">
        <f t="shared" si="1"/>
        <v>406906</v>
      </c>
      <c r="H16" s="1953">
        <f t="shared" si="1"/>
        <v>0</v>
      </c>
      <c r="I16" s="1953">
        <f t="shared" si="1"/>
        <v>410103</v>
      </c>
      <c r="J16" s="1953">
        <f t="shared" si="1"/>
        <v>0</v>
      </c>
      <c r="K16" s="1953">
        <f t="shared" si="1"/>
        <v>39784</v>
      </c>
      <c r="L16" s="1953">
        <f t="shared" si="0"/>
        <v>856793</v>
      </c>
      <c r="M16" s="1341"/>
    </row>
    <row r="17" spans="2:14" ht="20.100000000000001" customHeight="1" x14ac:dyDescent="0.2">
      <c r="B17" s="1335"/>
      <c r="C17" s="1339"/>
      <c r="D17" s="1340"/>
      <c r="E17" s="1338"/>
      <c r="F17" s="1341"/>
      <c r="G17" s="1341"/>
      <c r="H17" s="1341"/>
      <c r="I17" s="1341"/>
      <c r="J17" s="1341"/>
      <c r="K17" s="1341"/>
      <c r="L17" s="1338"/>
      <c r="M17" s="1341"/>
    </row>
    <row r="18" spans="2:14" ht="20.100000000000001" customHeight="1" x14ac:dyDescent="0.2">
      <c r="B18" s="1952" t="s">
        <v>2139</v>
      </c>
      <c r="C18" s="1339"/>
      <c r="D18" s="1340"/>
      <c r="E18" s="1341"/>
      <c r="F18" s="1341"/>
      <c r="G18" s="1341"/>
      <c r="H18" s="1341"/>
      <c r="I18" s="1341"/>
      <c r="J18" s="1341"/>
      <c r="K18" s="1341"/>
      <c r="L18" s="1338"/>
      <c r="M18" s="1341"/>
    </row>
    <row r="19" spans="2:14" ht="20.100000000000001" customHeight="1" x14ac:dyDescent="0.2">
      <c r="B19" s="1335" t="s">
        <v>782</v>
      </c>
      <c r="C19" s="1339" t="s">
        <v>2140</v>
      </c>
      <c r="D19" s="1340" t="s">
        <v>2141</v>
      </c>
      <c r="E19" s="1341">
        <v>15110</v>
      </c>
      <c r="F19" s="1341">
        <v>20531</v>
      </c>
      <c r="G19" s="1341">
        <v>27433</v>
      </c>
      <c r="H19" s="1341"/>
      <c r="I19" s="1341">
        <v>8208</v>
      </c>
      <c r="J19" s="1341"/>
      <c r="K19" s="1341"/>
      <c r="L19" s="1338">
        <v>35641</v>
      </c>
      <c r="M19" s="1341">
        <v>63896</v>
      </c>
    </row>
    <row r="20" spans="2:14" ht="20.100000000000001" customHeight="1" x14ac:dyDescent="0.2">
      <c r="B20" s="1335" t="s">
        <v>782</v>
      </c>
      <c r="C20" s="1339" t="s">
        <v>2140</v>
      </c>
      <c r="D20" s="1340" t="s">
        <v>2142</v>
      </c>
      <c r="E20" s="1953"/>
      <c r="F20" s="1953">
        <v>27480</v>
      </c>
      <c r="G20" s="1953"/>
      <c r="H20" s="1953"/>
      <c r="I20" s="1953">
        <v>30194</v>
      </c>
      <c r="J20" s="1953"/>
      <c r="K20" s="1953"/>
      <c r="L20" s="1953">
        <f t="shared" si="0"/>
        <v>30194</v>
      </c>
      <c r="M20" s="1341">
        <v>35170</v>
      </c>
    </row>
    <row r="21" spans="2:14" ht="20.100000000000001" customHeight="1" x14ac:dyDescent="0.2">
      <c r="B21" s="1335"/>
      <c r="C21" s="1339"/>
      <c r="D21" s="1340"/>
      <c r="E21" s="1338"/>
      <c r="F21" s="1338"/>
      <c r="G21" s="1338"/>
      <c r="H21" s="1338"/>
      <c r="I21" s="1338"/>
      <c r="J21" s="1338"/>
      <c r="K21" s="1338"/>
      <c r="L21" s="1338"/>
      <c r="M21" s="1341"/>
    </row>
    <row r="22" spans="2:14" ht="20.100000000000001" customHeight="1" x14ac:dyDescent="0.2">
      <c r="B22" s="1335" t="s">
        <v>2143</v>
      </c>
      <c r="C22" s="1339"/>
      <c r="D22" s="1340"/>
      <c r="E22" s="1953">
        <f>SUM(E19:E21)</f>
        <v>15110</v>
      </c>
      <c r="F22" s="1953">
        <f t="shared" ref="F22:L22" si="2">SUM(F19:F21)</f>
        <v>48011</v>
      </c>
      <c r="G22" s="1953">
        <f t="shared" si="2"/>
        <v>27433</v>
      </c>
      <c r="H22" s="1953">
        <f t="shared" si="2"/>
        <v>0</v>
      </c>
      <c r="I22" s="1953">
        <f t="shared" si="2"/>
        <v>38402</v>
      </c>
      <c r="J22" s="1953">
        <f t="shared" si="2"/>
        <v>0</v>
      </c>
      <c r="K22" s="1953">
        <f t="shared" si="2"/>
        <v>0</v>
      </c>
      <c r="L22" s="1953">
        <f t="shared" si="2"/>
        <v>65835</v>
      </c>
      <c r="M22" s="1341"/>
    </row>
    <row r="23" spans="2:14" ht="20.100000000000001" customHeight="1" x14ac:dyDescent="0.2">
      <c r="B23" s="1335"/>
      <c r="C23" s="1339"/>
      <c r="D23" s="1340"/>
      <c r="E23" s="1338"/>
      <c r="F23" s="1341"/>
      <c r="G23" s="1341"/>
      <c r="H23" s="1341"/>
      <c r="I23" s="1341"/>
      <c r="J23" s="1341"/>
      <c r="K23" s="1341"/>
      <c r="L23" s="1338"/>
      <c r="M23" s="1341"/>
    </row>
    <row r="24" spans="2:14" ht="24" customHeight="1" x14ac:dyDescent="0.2">
      <c r="B24" s="1952" t="s">
        <v>2144</v>
      </c>
      <c r="C24" s="1339"/>
      <c r="D24" s="1340"/>
      <c r="E24" s="1341"/>
      <c r="F24" s="1341"/>
      <c r="G24" s="1341"/>
      <c r="H24" s="1341"/>
      <c r="I24" s="1341"/>
      <c r="J24" s="1341"/>
      <c r="K24" s="1341"/>
      <c r="L24" s="1338"/>
      <c r="M24" s="1341"/>
    </row>
    <row r="25" spans="2:14" ht="27" customHeight="1" x14ac:dyDescent="0.2">
      <c r="B25" s="1335" t="s">
        <v>2145</v>
      </c>
      <c r="C25" s="1339">
        <v>84.048000000000002</v>
      </c>
      <c r="D25" s="1340" t="s">
        <v>2146</v>
      </c>
      <c r="E25" s="1953"/>
      <c r="F25" s="1953">
        <v>3139</v>
      </c>
      <c r="G25" s="1953"/>
      <c r="H25" s="1953"/>
      <c r="I25" s="1953">
        <v>9276</v>
      </c>
      <c r="J25" s="1953"/>
      <c r="K25" s="1953"/>
      <c r="L25" s="1953">
        <f t="shared" si="0"/>
        <v>9276</v>
      </c>
      <c r="M25" s="1341" t="s">
        <v>2147</v>
      </c>
    </row>
    <row r="26" spans="2:14" ht="20.100000000000001" customHeight="1" x14ac:dyDescent="0.2">
      <c r="B26" s="1335"/>
      <c r="C26" s="1339"/>
      <c r="D26" s="1340"/>
      <c r="E26" s="1338"/>
      <c r="F26" s="1338"/>
      <c r="G26" s="1338"/>
      <c r="H26" s="1338"/>
      <c r="I26" s="1338"/>
      <c r="J26" s="1338"/>
      <c r="K26" s="1338"/>
      <c r="L26" s="1338"/>
      <c r="M26" s="1341"/>
    </row>
    <row r="27" spans="2:14" ht="20.100000000000001" customHeight="1" x14ac:dyDescent="0.2">
      <c r="B27" s="1335"/>
      <c r="C27" s="1339"/>
      <c r="D27" s="1340"/>
      <c r="E27" s="1341"/>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1838</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1949</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1839</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1840</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1841</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1842</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2"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9" t="str">
        <f>'Single Audit Cover'!A7</f>
        <v>Arthur CUSD 305</v>
      </c>
      <c r="C1" s="2462"/>
      <c r="D1" s="2462"/>
      <c r="E1" s="2462"/>
      <c r="F1" s="2462"/>
      <c r="G1" s="2462"/>
      <c r="H1" s="2462"/>
      <c r="I1" s="2462"/>
      <c r="J1" s="2462"/>
      <c r="K1" s="2462"/>
      <c r="L1" s="2462"/>
      <c r="M1" s="2462"/>
    </row>
    <row r="2" spans="2:14" ht="15" x14ac:dyDescent="0.2">
      <c r="B2" s="2463">
        <f>'Single Audit Cover'!E7</f>
        <v>11021305026</v>
      </c>
      <c r="C2" s="2463"/>
      <c r="D2" s="2463"/>
      <c r="E2" s="2463"/>
      <c r="F2" s="2463"/>
      <c r="G2" s="2463"/>
      <c r="H2" s="2463"/>
      <c r="I2" s="2463"/>
      <c r="J2" s="2463"/>
      <c r="K2" s="2463"/>
      <c r="L2" s="2463"/>
      <c r="M2" s="2463"/>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1835</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0"/>
      <c r="C8" s="1311" t="s">
        <v>1326</v>
      </c>
      <c r="D8" s="1312" t="s">
        <v>1325</v>
      </c>
      <c r="E8" s="1320" t="s">
        <v>1324</v>
      </c>
      <c r="F8" s="1321" t="s">
        <v>1324</v>
      </c>
      <c r="G8" s="1322" t="s">
        <v>1324</v>
      </c>
      <c r="H8" s="1315" t="s">
        <v>1663</v>
      </c>
      <c r="I8" s="1317" t="s">
        <v>1324</v>
      </c>
      <c r="J8" s="1316" t="s">
        <v>1948</v>
      </c>
      <c r="K8" s="1317" t="s">
        <v>1323</v>
      </c>
      <c r="L8" s="1318" t="s">
        <v>1319</v>
      </c>
      <c r="M8" s="1319" t="s">
        <v>30</v>
      </c>
    </row>
    <row r="9" spans="2:14" ht="14.25" x14ac:dyDescent="0.2">
      <c r="B9" s="1323" t="s">
        <v>1321</v>
      </c>
      <c r="C9" s="1311" t="s">
        <v>1836</v>
      </c>
      <c r="D9" s="1312" t="s">
        <v>1837</v>
      </c>
      <c r="E9" s="1320" t="s">
        <v>1663</v>
      </c>
      <c r="F9" s="1321" t="s">
        <v>1948</v>
      </c>
      <c r="G9" s="1322" t="s">
        <v>1663</v>
      </c>
      <c r="H9" s="1315" t="s">
        <v>1664</v>
      </c>
      <c r="I9" s="1317" t="s">
        <v>1948</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952" t="s">
        <v>2148</v>
      </c>
      <c r="C11" s="1336"/>
      <c r="D11" s="1337"/>
      <c r="E11" s="1338"/>
      <c r="F11" s="1338"/>
      <c r="G11" s="1338"/>
      <c r="H11" s="1338"/>
      <c r="I11" s="1338"/>
      <c r="J11" s="1338"/>
      <c r="K11" s="1338"/>
      <c r="L11" s="1338"/>
      <c r="M11" s="1338"/>
    </row>
    <row r="12" spans="2:14" ht="20.100000000000001" customHeight="1" x14ac:dyDescent="0.2">
      <c r="B12" s="1952" t="s">
        <v>2134</v>
      </c>
      <c r="C12" s="1339"/>
      <c r="D12" s="1340"/>
      <c r="E12" s="1341"/>
      <c r="F12" s="1341"/>
      <c r="G12" s="1341"/>
      <c r="H12" s="1341"/>
      <c r="I12" s="1341"/>
      <c r="J12" s="1341"/>
      <c r="K12" s="1341"/>
      <c r="L12" s="1338"/>
      <c r="M12" s="1341"/>
    </row>
    <row r="13" spans="2:14" ht="20.100000000000001" customHeight="1" x14ac:dyDescent="0.2">
      <c r="B13" s="1335" t="s">
        <v>2149</v>
      </c>
      <c r="C13" s="1339" t="s">
        <v>2150</v>
      </c>
      <c r="D13" s="1340" t="s">
        <v>2151</v>
      </c>
      <c r="E13" s="1341"/>
      <c r="F13" s="1341">
        <v>4171</v>
      </c>
      <c r="G13" s="1341">
        <v>4171</v>
      </c>
      <c r="H13" s="1341"/>
      <c r="I13" s="1341"/>
      <c r="J13" s="1341"/>
      <c r="K13" s="1341"/>
      <c r="L13" s="1338">
        <f t="shared" ref="L13:L24" si="0">+G13+I13+K13</f>
        <v>4171</v>
      </c>
      <c r="M13" s="1341" t="s">
        <v>2147</v>
      </c>
    </row>
    <row r="14" spans="2:14" ht="25.5" customHeight="1" x14ac:dyDescent="0.2">
      <c r="B14" s="1952" t="s">
        <v>2152</v>
      </c>
      <c r="C14" s="1339"/>
      <c r="D14" s="1340"/>
      <c r="E14" s="1341"/>
      <c r="F14" s="1341"/>
      <c r="G14" s="1341"/>
      <c r="H14" s="1341"/>
      <c r="I14" s="1341"/>
      <c r="J14" s="1341"/>
      <c r="K14" s="1341"/>
      <c r="L14" s="1338"/>
      <c r="M14" s="1341"/>
    </row>
    <row r="15" spans="2:14" ht="20.100000000000001" customHeight="1" x14ac:dyDescent="0.2">
      <c r="B15" s="1335" t="s">
        <v>2153</v>
      </c>
      <c r="C15" s="1339" t="s">
        <v>2150</v>
      </c>
      <c r="D15" s="1340" t="s">
        <v>2154</v>
      </c>
      <c r="E15" s="1953"/>
      <c r="F15" s="1953">
        <v>7329</v>
      </c>
      <c r="G15" s="1953"/>
      <c r="H15" s="1953"/>
      <c r="I15" s="1953">
        <v>7329</v>
      </c>
      <c r="J15" s="1953"/>
      <c r="K15" s="1953"/>
      <c r="L15" s="1953">
        <f t="shared" si="0"/>
        <v>7329</v>
      </c>
      <c r="M15" s="1341">
        <v>7329</v>
      </c>
    </row>
    <row r="16" spans="2:14" ht="20.100000000000001" customHeight="1" x14ac:dyDescent="0.2">
      <c r="B16" s="1335"/>
      <c r="C16" s="1339"/>
      <c r="D16" s="1340"/>
      <c r="E16" s="1338"/>
      <c r="F16" s="1338"/>
      <c r="G16" s="1338"/>
      <c r="H16" s="1338"/>
      <c r="I16" s="1338"/>
      <c r="J16" s="1338"/>
      <c r="K16" s="1338"/>
      <c r="L16" s="1338"/>
      <c r="M16" s="1341"/>
    </row>
    <row r="17" spans="2:14" ht="28.5" customHeight="1" x14ac:dyDescent="0.2">
      <c r="B17" s="1335" t="s">
        <v>2155</v>
      </c>
      <c r="C17" s="1339"/>
      <c r="D17" s="1340"/>
      <c r="E17" s="1953">
        <f>SUM(E13:E16)</f>
        <v>0</v>
      </c>
      <c r="F17" s="1953">
        <f t="shared" ref="F17:K17" si="1">SUM(F13:F16)</f>
        <v>11500</v>
      </c>
      <c r="G17" s="1953">
        <f t="shared" si="1"/>
        <v>4171</v>
      </c>
      <c r="H17" s="1953">
        <f t="shared" si="1"/>
        <v>0</v>
      </c>
      <c r="I17" s="1953">
        <f t="shared" si="1"/>
        <v>7329</v>
      </c>
      <c r="J17" s="1953">
        <f t="shared" si="1"/>
        <v>0</v>
      </c>
      <c r="K17" s="1953">
        <f t="shared" si="1"/>
        <v>0</v>
      </c>
      <c r="L17" s="1953">
        <f t="shared" si="0"/>
        <v>11500</v>
      </c>
      <c r="M17" s="1341"/>
    </row>
    <row r="18" spans="2:14" ht="20.100000000000001" customHeight="1" x14ac:dyDescent="0.2">
      <c r="B18" s="1335"/>
      <c r="C18" s="1339"/>
      <c r="D18" s="1340"/>
      <c r="E18" s="1338"/>
      <c r="F18" s="1338"/>
      <c r="G18" s="1338"/>
      <c r="H18" s="1338"/>
      <c r="I18" s="1338"/>
      <c r="J18" s="1338"/>
      <c r="K18" s="1338"/>
      <c r="L18" s="1338"/>
      <c r="M18" s="1341"/>
    </row>
    <row r="19" spans="2:14" s="1258" customFormat="1" ht="20.100000000000001" customHeight="1" x14ac:dyDescent="0.2">
      <c r="B19" s="1952" t="s">
        <v>2156</v>
      </c>
      <c r="C19" s="1954"/>
      <c r="D19" s="1955"/>
      <c r="E19" s="1956">
        <f>E17+' SEFA (3)'!E25+' SEFA (3)'!E22+' SEFA (3)'!E16</f>
        <v>320125</v>
      </c>
      <c r="F19" s="1956">
        <f>F17+' SEFA (3)'!F25+' SEFA (3)'!F22+' SEFA (3)'!F16</f>
        <v>469556</v>
      </c>
      <c r="G19" s="1956">
        <f>G17+' SEFA (3)'!G25+' SEFA (3)'!G22+' SEFA (3)'!G16</f>
        <v>438510</v>
      </c>
      <c r="H19" s="1956">
        <f>H17+' SEFA (3)'!H25+' SEFA (3)'!H22+' SEFA (3)'!H16</f>
        <v>0</v>
      </c>
      <c r="I19" s="1956">
        <f>I17+' SEFA (3)'!I25+' SEFA (3)'!I22+' SEFA (3)'!I16</f>
        <v>465110</v>
      </c>
      <c r="J19" s="1956">
        <f>J17+' SEFA (3)'!J25+' SEFA (3)'!J22+' SEFA (3)'!J16</f>
        <v>0</v>
      </c>
      <c r="K19" s="1956">
        <f>K17+' SEFA (3)'!K25+' SEFA (3)'!K22+' SEFA (3)'!K16</f>
        <v>39784</v>
      </c>
      <c r="L19" s="1956">
        <f>L17+' SEFA (3)'!L25+' SEFA (3)'!L22+' SEFA (3)'!L16</f>
        <v>943404</v>
      </c>
      <c r="M19" s="1957"/>
    </row>
    <row r="20" spans="2:14" ht="20.100000000000001" customHeight="1" x14ac:dyDescent="0.2">
      <c r="B20" s="1335"/>
      <c r="C20" s="1339"/>
      <c r="D20" s="1340"/>
      <c r="E20" s="1338"/>
      <c r="F20" s="1338"/>
      <c r="G20" s="1338"/>
      <c r="H20" s="1338"/>
      <c r="I20" s="1338"/>
      <c r="J20" s="1338"/>
      <c r="K20" s="1338"/>
      <c r="L20" s="1338"/>
      <c r="M20" s="1341"/>
    </row>
    <row r="21" spans="2:14" ht="20.100000000000001" customHeight="1" x14ac:dyDescent="0.2">
      <c r="B21" s="1952" t="s">
        <v>2157</v>
      </c>
      <c r="C21" s="1339"/>
      <c r="D21" s="1340"/>
      <c r="E21" s="1341"/>
      <c r="F21" s="1341"/>
      <c r="G21" s="1341"/>
      <c r="H21" s="1341"/>
      <c r="I21" s="1341"/>
      <c r="J21" s="1341"/>
      <c r="K21" s="1341"/>
      <c r="L21" s="1338"/>
      <c r="M21" s="1341"/>
    </row>
    <row r="22" spans="2:14" ht="26.25" customHeight="1" x14ac:dyDescent="0.2">
      <c r="B22" s="1952" t="s">
        <v>2158</v>
      </c>
      <c r="C22" s="1339"/>
      <c r="D22" s="1340"/>
      <c r="E22" s="1341"/>
      <c r="F22" s="1341"/>
      <c r="G22" s="1341"/>
      <c r="H22" s="1341"/>
      <c r="I22" s="1341"/>
      <c r="J22" s="1341"/>
      <c r="K22" s="1341"/>
      <c r="L22" s="1338"/>
      <c r="M22" s="1341"/>
    </row>
    <row r="23" spans="2:14" ht="20.100000000000001" customHeight="1" x14ac:dyDescent="0.2">
      <c r="B23" s="1335" t="s">
        <v>2161</v>
      </c>
      <c r="C23" s="1339">
        <v>93.778000000000006</v>
      </c>
      <c r="D23" s="1340" t="s">
        <v>2159</v>
      </c>
      <c r="E23" s="1341">
        <v>17592</v>
      </c>
      <c r="F23" s="1341"/>
      <c r="G23" s="1341">
        <v>18325</v>
      </c>
      <c r="H23" s="1341"/>
      <c r="I23" s="1341"/>
      <c r="J23" s="1341"/>
      <c r="K23" s="1341"/>
      <c r="L23" s="1338">
        <f t="shared" si="0"/>
        <v>18325</v>
      </c>
      <c r="M23" s="1341" t="s">
        <v>2147</v>
      </c>
    </row>
    <row r="24" spans="2:14" ht="20.100000000000001" customHeight="1" x14ac:dyDescent="0.2">
      <c r="B24" s="1335" t="s">
        <v>2161</v>
      </c>
      <c r="C24" s="1339">
        <v>93.778000000000006</v>
      </c>
      <c r="D24" s="1340" t="s">
        <v>2160</v>
      </c>
      <c r="E24" s="1953"/>
      <c r="F24" s="1953">
        <v>5641</v>
      </c>
      <c r="G24" s="1953"/>
      <c r="H24" s="1953"/>
      <c r="I24" s="1953">
        <v>13312</v>
      </c>
      <c r="J24" s="1953"/>
      <c r="K24" s="1953"/>
      <c r="L24" s="1953">
        <f t="shared" si="0"/>
        <v>13312</v>
      </c>
      <c r="M24" s="1341" t="s">
        <v>2147</v>
      </c>
    </row>
    <row r="25" spans="2:14" ht="20.100000000000001" customHeight="1" x14ac:dyDescent="0.2">
      <c r="B25" s="1335"/>
      <c r="C25" s="1339"/>
      <c r="D25" s="1340"/>
      <c r="E25" s="1338"/>
      <c r="F25" s="1338"/>
      <c r="G25" s="1338"/>
      <c r="H25" s="1338"/>
      <c r="I25" s="1338"/>
      <c r="J25" s="1338"/>
      <c r="K25" s="1338"/>
      <c r="L25" s="1338"/>
      <c r="M25" s="1341"/>
    </row>
    <row r="26" spans="2:14" s="1258" customFormat="1" ht="20.100000000000001" customHeight="1" x14ac:dyDescent="0.2">
      <c r="B26" s="1952" t="s">
        <v>2162</v>
      </c>
      <c r="C26" s="1954"/>
      <c r="D26" s="1955"/>
      <c r="E26" s="1956">
        <f>SUM(E23:E25)</f>
        <v>17592</v>
      </c>
      <c r="F26" s="1956">
        <f t="shared" ref="F26:L26" si="2">SUM(F23:F25)</f>
        <v>5641</v>
      </c>
      <c r="G26" s="1956">
        <f t="shared" si="2"/>
        <v>18325</v>
      </c>
      <c r="H26" s="1956">
        <f t="shared" si="2"/>
        <v>0</v>
      </c>
      <c r="I26" s="1956">
        <f t="shared" si="2"/>
        <v>13312</v>
      </c>
      <c r="J26" s="1956">
        <f t="shared" si="2"/>
        <v>0</v>
      </c>
      <c r="K26" s="1956">
        <f t="shared" si="2"/>
        <v>0</v>
      </c>
      <c r="L26" s="1956">
        <f t="shared" si="2"/>
        <v>31637</v>
      </c>
      <c r="M26" s="1957"/>
    </row>
    <row r="27" spans="2:14" ht="20.100000000000001" customHeight="1" x14ac:dyDescent="0.2">
      <c r="B27" s="1335"/>
      <c r="C27" s="1339"/>
      <c r="D27" s="1340"/>
      <c r="E27" s="1338"/>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ht="13.5" customHeight="1" x14ac:dyDescent="0.2">
      <c r="B29" s="1280" t="s">
        <v>1838</v>
      </c>
      <c r="C29" s="1347"/>
      <c r="D29" s="1348"/>
      <c r="E29" s="1255"/>
      <c r="F29" s="1255"/>
      <c r="G29" s="1248"/>
      <c r="H29" s="1248"/>
      <c r="I29" s="1248"/>
      <c r="J29" s="1248"/>
      <c r="K29" s="1248"/>
      <c r="L29" s="1248"/>
      <c r="M29" s="1255"/>
      <c r="N29" s="1342"/>
    </row>
    <row r="30" spans="2:14" ht="8.25" customHeight="1" x14ac:dyDescent="0.2">
      <c r="B30" s="1280"/>
      <c r="C30" s="1347"/>
      <c r="D30" s="1348"/>
      <c r="E30" s="1255"/>
      <c r="F30" s="1255"/>
      <c r="G30" s="1248"/>
      <c r="H30" s="1248"/>
      <c r="I30" s="1248"/>
      <c r="J30" s="1248"/>
      <c r="K30" s="1248"/>
      <c r="L30" s="1248"/>
      <c r="M30" s="1255"/>
      <c r="N30" s="1342"/>
    </row>
    <row r="31" spans="2:14" x14ac:dyDescent="0.2">
      <c r="B31" s="1349" t="s">
        <v>1949</v>
      </c>
      <c r="C31" s="1350"/>
      <c r="D31" s="1351"/>
      <c r="E31" s="1352"/>
      <c r="F31" s="1352"/>
      <c r="G31" s="1352"/>
      <c r="H31" s="1352"/>
      <c r="I31" s="317"/>
      <c r="J31" s="317"/>
    </row>
    <row r="32" spans="2:14" x14ac:dyDescent="0.2">
      <c r="B32" s="1275"/>
      <c r="C32" s="1353"/>
      <c r="D32" s="1354"/>
      <c r="E32" s="1276"/>
      <c r="F32" s="1276"/>
      <c r="G32" s="317"/>
      <c r="H32" s="317"/>
      <c r="I32" s="317"/>
      <c r="J32" s="317"/>
    </row>
    <row r="33" spans="2:13" ht="13.5" customHeight="1" x14ac:dyDescent="0.2">
      <c r="B33" s="1274" t="s">
        <v>1308</v>
      </c>
      <c r="G33" s="317"/>
      <c r="H33" s="317"/>
      <c r="I33" s="317"/>
      <c r="J33" s="317"/>
    </row>
    <row r="34" spans="2:13" ht="13.5" customHeight="1" x14ac:dyDescent="0.2">
      <c r="B34" s="1357"/>
      <c r="C34" s="1358"/>
      <c r="D34" s="1359"/>
      <c r="E34" s="1295"/>
      <c r="F34" s="1295"/>
      <c r="G34" s="1295"/>
      <c r="H34" s="1295"/>
      <c r="I34" s="1295"/>
      <c r="J34" s="1295"/>
      <c r="K34" s="1360"/>
      <c r="L34" s="1360"/>
      <c r="M34" s="1295"/>
    </row>
    <row r="35" spans="2:13" ht="9.6" customHeight="1" x14ac:dyDescent="0.2">
      <c r="B35" s="1361"/>
      <c r="G35" s="317"/>
      <c r="H35" s="317"/>
      <c r="I35" s="317"/>
      <c r="J35" s="317"/>
    </row>
    <row r="36" spans="2:13" ht="11.25" customHeight="1" x14ac:dyDescent="0.2">
      <c r="B36" s="1362" t="s">
        <v>1839</v>
      </c>
      <c r="C36" s="1363"/>
      <c r="D36" s="1363"/>
      <c r="E36" s="1363"/>
      <c r="F36" s="1363"/>
      <c r="G36" s="1363"/>
      <c r="H36" s="1363"/>
      <c r="I36" s="1364"/>
      <c r="J36" s="1364"/>
      <c r="K36" s="1364"/>
      <c r="L36" s="1364"/>
      <c r="M36" s="1364"/>
    </row>
    <row r="37" spans="2:13" ht="11.25" customHeight="1" x14ac:dyDescent="0.2">
      <c r="B37" s="1365" t="s">
        <v>1666</v>
      </c>
      <c r="C37" s="1364"/>
      <c r="D37" s="1364"/>
      <c r="E37" s="1364"/>
      <c r="F37" s="1364"/>
      <c r="G37" s="1364"/>
      <c r="H37" s="1364"/>
      <c r="I37" s="1364"/>
      <c r="J37" s="1364"/>
      <c r="K37" s="1364"/>
      <c r="L37" s="1364"/>
      <c r="M37" s="1364"/>
    </row>
    <row r="38" spans="2:13" ht="3.95" customHeight="1" x14ac:dyDescent="0.2">
      <c r="B38" s="1365"/>
      <c r="C38" s="1364"/>
      <c r="D38" s="1364"/>
      <c r="E38" s="1364"/>
      <c r="F38" s="1364"/>
      <c r="G38" s="1364"/>
      <c r="H38" s="1364"/>
      <c r="I38" s="1364"/>
      <c r="J38" s="1364"/>
      <c r="K38" s="1364"/>
      <c r="L38" s="1364"/>
      <c r="M38" s="1364"/>
    </row>
    <row r="39" spans="2:13" ht="11.25" customHeight="1" x14ac:dyDescent="0.2">
      <c r="B39" s="1362" t="s">
        <v>1840</v>
      </c>
      <c r="C39" s="1364"/>
      <c r="D39" s="1364"/>
      <c r="E39" s="1364"/>
      <c r="F39" s="1364"/>
      <c r="G39" s="1364"/>
      <c r="H39" s="1364"/>
      <c r="I39" s="1364"/>
      <c r="J39" s="1364"/>
      <c r="K39" s="1364"/>
      <c r="L39" s="1364"/>
      <c r="M39" s="1364"/>
    </row>
    <row r="40" spans="2:13" ht="11.25" customHeight="1" x14ac:dyDescent="0.2">
      <c r="B40" s="1298" t="s">
        <v>1667</v>
      </c>
      <c r="C40" s="1366"/>
      <c r="D40" s="1367"/>
      <c r="E40" s="1298"/>
      <c r="F40" s="1298"/>
      <c r="G40" s="1298"/>
      <c r="H40" s="1298"/>
      <c r="I40" s="1298"/>
      <c r="J40" s="1298"/>
      <c r="K40" s="1368"/>
      <c r="L40" s="1368"/>
      <c r="M40" s="1298"/>
    </row>
    <row r="41" spans="2:13" ht="3.95" customHeight="1" x14ac:dyDescent="0.2">
      <c r="B41" s="1298"/>
      <c r="C41" s="1366"/>
      <c r="D41" s="1367"/>
      <c r="E41" s="1298"/>
      <c r="F41" s="1298"/>
      <c r="G41" s="1298"/>
      <c r="H41" s="1298"/>
      <c r="I41" s="1298"/>
      <c r="J41" s="1298"/>
      <c r="K41" s="1368"/>
      <c r="L41" s="1368"/>
      <c r="M41" s="1298"/>
    </row>
    <row r="42" spans="2:13" ht="11.25" customHeight="1" x14ac:dyDescent="0.2">
      <c r="B42" s="1369" t="s">
        <v>1841</v>
      </c>
      <c r="C42" s="1366"/>
      <c r="D42" s="1367"/>
      <c r="E42" s="1298"/>
      <c r="F42" s="1298"/>
      <c r="G42" s="1298"/>
      <c r="H42" s="1298"/>
      <c r="I42" s="1298"/>
      <c r="J42" s="1298"/>
      <c r="K42" s="1368"/>
      <c r="L42" s="1368"/>
      <c r="M42" s="1298"/>
    </row>
    <row r="43" spans="2:13" ht="3.95" customHeight="1" x14ac:dyDescent="0.2">
      <c r="B43" s="1369"/>
      <c r="C43" s="1366"/>
      <c r="D43" s="1367"/>
      <c r="E43" s="1298"/>
      <c r="F43" s="1298"/>
      <c r="G43" s="1298"/>
      <c r="H43" s="1298"/>
      <c r="I43" s="1298"/>
      <c r="J43" s="1298"/>
      <c r="K43" s="1368"/>
      <c r="L43" s="1368"/>
      <c r="M43" s="1298"/>
    </row>
    <row r="44" spans="2:13" ht="11.25" customHeight="1" x14ac:dyDescent="0.2">
      <c r="B44" s="1370" t="s">
        <v>1842</v>
      </c>
      <c r="C44" s="1366"/>
      <c r="D44" s="1367"/>
      <c r="E44" s="1298"/>
      <c r="F44" s="1298"/>
      <c r="G44" s="1298"/>
      <c r="H44" s="1298"/>
      <c r="I44" s="1298"/>
      <c r="J44" s="1298"/>
      <c r="K44" s="1368"/>
      <c r="L44" s="1368"/>
      <c r="M44" s="1298"/>
    </row>
    <row r="45" spans="2:13" ht="11.25" customHeight="1" x14ac:dyDescent="0.2">
      <c r="B45" s="1298" t="s">
        <v>1668</v>
      </c>
      <c r="G45" s="317"/>
      <c r="H45" s="317"/>
      <c r="I45" s="317"/>
      <c r="J45" s="317"/>
    </row>
    <row r="46" spans="2:13" ht="11.1" customHeight="1" x14ac:dyDescent="0.2">
      <c r="B46" s="1298"/>
      <c r="G46" s="317"/>
      <c r="H46" s="317"/>
      <c r="I46" s="317"/>
      <c r="J46" s="317"/>
    </row>
    <row r="47" spans="2:13" ht="11.1" customHeight="1" x14ac:dyDescent="0.2">
      <c r="B47" s="1298"/>
      <c r="G47" s="317"/>
      <c r="H47" s="317"/>
      <c r="I47" s="317"/>
      <c r="J47" s="317"/>
    </row>
    <row r="48" spans="2:13" ht="13.5" customHeight="1" x14ac:dyDescent="0.2">
      <c r="M48" s="1371"/>
    </row>
    <row r="49" spans="7:13" ht="13.5" customHeight="1" x14ac:dyDescent="0.2">
      <c r="M49" s="1371"/>
    </row>
    <row r="50" spans="7:13" ht="13.5" customHeight="1" x14ac:dyDescent="0.2">
      <c r="M50" s="1371"/>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2082</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2082</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t="s">
        <v>2214</v>
      </c>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t="s">
        <v>2188</v>
      </c>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2075</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379</v>
      </c>
      <c r="E119" s="310"/>
      <c r="F119" s="1855" t="s">
        <v>2020</v>
      </c>
      <c r="G119" s="328"/>
      <c r="H119" s="328"/>
      <c r="I119" s="304"/>
    </row>
    <row r="120" spans="1:9" x14ac:dyDescent="0.2">
      <c r="A120" s="329"/>
      <c r="B120" s="180"/>
      <c r="C120" s="330"/>
      <c r="D120" s="256"/>
      <c r="E120" s="256"/>
      <c r="F120" s="256"/>
      <c r="G120" s="256"/>
      <c r="H120" s="256"/>
      <c r="I120" s="304"/>
    </row>
    <row r="121" spans="1:9" x14ac:dyDescent="0.2">
      <c r="A121" s="329"/>
      <c r="B121" s="1504"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&amp;P&amp;R&amp;8Page &amp;P</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7"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9" t="str">
        <f>'Single Audit Cover'!A7</f>
        <v>Arthur CUSD 305</v>
      </c>
      <c r="C1" s="2462"/>
      <c r="D1" s="2462"/>
      <c r="E1" s="2462"/>
      <c r="F1" s="2462"/>
      <c r="G1" s="2462"/>
      <c r="H1" s="2462"/>
      <c r="I1" s="2462"/>
      <c r="J1" s="2462"/>
      <c r="K1" s="2462"/>
      <c r="L1" s="2462"/>
      <c r="M1" s="2462"/>
    </row>
    <row r="2" spans="2:14" ht="15" x14ac:dyDescent="0.2">
      <c r="B2" s="2463">
        <f>'Single Audit Cover'!E7</f>
        <v>11021305026</v>
      </c>
      <c r="C2" s="2463"/>
      <c r="D2" s="2463"/>
      <c r="E2" s="2463"/>
      <c r="F2" s="2463"/>
      <c r="G2" s="2463"/>
      <c r="H2" s="2463"/>
      <c r="I2" s="2463"/>
      <c r="J2" s="2463"/>
      <c r="K2" s="2463"/>
      <c r="L2" s="2463"/>
      <c r="M2" s="2463"/>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1835</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0"/>
      <c r="C8" s="1311" t="s">
        <v>1326</v>
      </c>
      <c r="D8" s="1312" t="s">
        <v>1325</v>
      </c>
      <c r="E8" s="1320" t="s">
        <v>1324</v>
      </c>
      <c r="F8" s="1321" t="s">
        <v>1324</v>
      </c>
      <c r="G8" s="1322" t="s">
        <v>1324</v>
      </c>
      <c r="H8" s="1315" t="s">
        <v>1663</v>
      </c>
      <c r="I8" s="1317" t="s">
        <v>1324</v>
      </c>
      <c r="J8" s="1316" t="s">
        <v>1948</v>
      </c>
      <c r="K8" s="1317" t="s">
        <v>1323</v>
      </c>
      <c r="L8" s="1318" t="s">
        <v>1319</v>
      </c>
      <c r="M8" s="1319" t="s">
        <v>30</v>
      </c>
    </row>
    <row r="9" spans="2:14" ht="14.25" x14ac:dyDescent="0.2">
      <c r="B9" s="1323" t="s">
        <v>1321</v>
      </c>
      <c r="C9" s="1311" t="s">
        <v>1836</v>
      </c>
      <c r="D9" s="1312" t="s">
        <v>1837</v>
      </c>
      <c r="E9" s="1320" t="s">
        <v>1663</v>
      </c>
      <c r="F9" s="1321" t="s">
        <v>1948</v>
      </c>
      <c r="G9" s="1322" t="s">
        <v>1663</v>
      </c>
      <c r="H9" s="1315" t="s">
        <v>1664</v>
      </c>
      <c r="I9" s="1317" t="s">
        <v>1948</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952" t="s">
        <v>2163</v>
      </c>
      <c r="C11" s="1336"/>
      <c r="D11" s="1337"/>
      <c r="E11" s="1338"/>
      <c r="F11" s="1338"/>
      <c r="G11" s="1338"/>
      <c r="H11" s="1338"/>
      <c r="I11" s="1338"/>
      <c r="J11" s="1338"/>
      <c r="K11" s="1338"/>
      <c r="L11" s="1338"/>
      <c r="M11" s="1338"/>
    </row>
    <row r="12" spans="2:14" ht="20.100000000000001" customHeight="1" x14ac:dyDescent="0.2">
      <c r="B12" s="1952" t="s">
        <v>2164</v>
      </c>
      <c r="C12" s="1339"/>
      <c r="D12" s="1340"/>
      <c r="E12" s="1341"/>
      <c r="F12" s="1341"/>
      <c r="G12" s="1341"/>
      <c r="H12" s="1341"/>
      <c r="I12" s="1341"/>
      <c r="J12" s="1341"/>
      <c r="K12" s="1341"/>
      <c r="L12" s="1338"/>
      <c r="M12" s="1341"/>
    </row>
    <row r="13" spans="2:14" ht="20.100000000000001" customHeight="1" x14ac:dyDescent="0.2">
      <c r="B13" s="1952" t="s">
        <v>2165</v>
      </c>
      <c r="C13" s="1339"/>
      <c r="D13" s="1340"/>
      <c r="E13" s="1341"/>
      <c r="F13" s="1341"/>
      <c r="G13" s="1341"/>
      <c r="H13" s="1341"/>
      <c r="I13" s="1341"/>
      <c r="J13" s="1341"/>
      <c r="K13" s="1341"/>
      <c r="L13" s="1338"/>
      <c r="M13" s="1341"/>
    </row>
    <row r="14" spans="2:14" ht="20.100000000000001" customHeight="1" x14ac:dyDescent="0.2">
      <c r="B14" s="1335" t="s">
        <v>2166</v>
      </c>
      <c r="C14" s="1339">
        <v>10.555</v>
      </c>
      <c r="D14" s="1340" t="s">
        <v>2167</v>
      </c>
      <c r="E14" s="1341"/>
      <c r="F14" s="1341">
        <v>5707</v>
      </c>
      <c r="G14" s="1341"/>
      <c r="H14" s="1341"/>
      <c r="I14" s="1341">
        <v>5707</v>
      </c>
      <c r="J14" s="1341"/>
      <c r="K14" s="1341"/>
      <c r="L14" s="1338">
        <f t="shared" ref="L14:L23" si="0">+G14+I14+K14</f>
        <v>5707</v>
      </c>
      <c r="M14" s="1341" t="s">
        <v>2147</v>
      </c>
    </row>
    <row r="15" spans="2:14" ht="20.100000000000001" customHeight="1" x14ac:dyDescent="0.2">
      <c r="B15" s="1952" t="s">
        <v>2134</v>
      </c>
      <c r="C15" s="1339"/>
      <c r="D15" s="1340"/>
      <c r="E15" s="1341"/>
      <c r="F15" s="1341"/>
      <c r="G15" s="1341"/>
      <c r="H15" s="1341"/>
      <c r="I15" s="1341"/>
      <c r="J15" s="1341"/>
      <c r="K15" s="1341"/>
      <c r="L15" s="1338"/>
      <c r="M15" s="1341"/>
    </row>
    <row r="16" spans="2:14" ht="20.100000000000001" customHeight="1" x14ac:dyDescent="0.2">
      <c r="B16" s="1335" t="s">
        <v>2168</v>
      </c>
      <c r="C16" s="1339">
        <v>10.555</v>
      </c>
      <c r="D16" s="1340" t="s">
        <v>2167</v>
      </c>
      <c r="E16" s="1341"/>
      <c r="F16" s="1341">
        <v>25449</v>
      </c>
      <c r="G16" s="1341"/>
      <c r="H16" s="1341"/>
      <c r="I16" s="1341">
        <v>25449</v>
      </c>
      <c r="J16" s="1341"/>
      <c r="K16" s="1341"/>
      <c r="L16" s="1338">
        <f t="shared" si="0"/>
        <v>25449</v>
      </c>
      <c r="M16" s="1341" t="s">
        <v>2147</v>
      </c>
    </row>
    <row r="17" spans="2:14" ht="20.100000000000001" customHeight="1" x14ac:dyDescent="0.2">
      <c r="B17" s="1335" t="s">
        <v>2170</v>
      </c>
      <c r="C17" s="1339">
        <v>10.555</v>
      </c>
      <c r="D17" s="1340" t="s">
        <v>2169</v>
      </c>
      <c r="E17" s="1341">
        <v>181565</v>
      </c>
      <c r="F17" s="1341">
        <v>40553</v>
      </c>
      <c r="G17" s="1341">
        <v>181565</v>
      </c>
      <c r="H17" s="1341"/>
      <c r="I17" s="1341">
        <v>40553</v>
      </c>
      <c r="J17" s="1341"/>
      <c r="K17" s="1341"/>
      <c r="L17" s="1338">
        <f t="shared" si="0"/>
        <v>222118</v>
      </c>
      <c r="M17" s="1341" t="s">
        <v>2147</v>
      </c>
    </row>
    <row r="18" spans="2:14" ht="20.100000000000001" customHeight="1" x14ac:dyDescent="0.2">
      <c r="B18" s="1335" t="s">
        <v>2170</v>
      </c>
      <c r="C18" s="1339">
        <v>10.555</v>
      </c>
      <c r="D18" s="1340" t="s">
        <v>2171</v>
      </c>
      <c r="E18" s="1953"/>
      <c r="F18" s="1953">
        <v>190806</v>
      </c>
      <c r="G18" s="1953"/>
      <c r="H18" s="1953"/>
      <c r="I18" s="1953">
        <v>190806</v>
      </c>
      <c r="J18" s="1953"/>
      <c r="K18" s="1953"/>
      <c r="L18" s="1953">
        <f t="shared" si="0"/>
        <v>190806</v>
      </c>
      <c r="M18" s="1341" t="s">
        <v>2147</v>
      </c>
    </row>
    <row r="19" spans="2:14" ht="20.100000000000001" customHeight="1" x14ac:dyDescent="0.2">
      <c r="B19" s="1335" t="s">
        <v>2172</v>
      </c>
      <c r="C19" s="1339"/>
      <c r="D19" s="1340"/>
      <c r="E19" s="1953">
        <f t="shared" ref="E19:L19" si="1">SUM(E14:E18)</f>
        <v>181565</v>
      </c>
      <c r="F19" s="1953">
        <f t="shared" si="1"/>
        <v>262515</v>
      </c>
      <c r="G19" s="1953">
        <f t="shared" si="1"/>
        <v>181565</v>
      </c>
      <c r="H19" s="1953">
        <f t="shared" si="1"/>
        <v>0</v>
      </c>
      <c r="I19" s="1953">
        <f t="shared" si="1"/>
        <v>262515</v>
      </c>
      <c r="J19" s="1953">
        <f t="shared" si="1"/>
        <v>0</v>
      </c>
      <c r="K19" s="1953">
        <f t="shared" si="1"/>
        <v>0</v>
      </c>
      <c r="L19" s="1953">
        <f t="shared" si="1"/>
        <v>444080</v>
      </c>
      <c r="M19" s="1341"/>
    </row>
    <row r="20" spans="2:14" ht="20.100000000000001" customHeight="1" x14ac:dyDescent="0.2">
      <c r="B20" s="1335"/>
      <c r="C20" s="1339"/>
      <c r="D20" s="1340"/>
      <c r="E20" s="1338"/>
      <c r="F20" s="1341"/>
      <c r="G20" s="1341"/>
      <c r="H20" s="1341"/>
      <c r="I20" s="1341"/>
      <c r="J20" s="1341"/>
      <c r="K20" s="1341"/>
      <c r="L20" s="1338"/>
      <c r="M20" s="1341"/>
    </row>
    <row r="21" spans="2:14" ht="20.100000000000001" customHeight="1" x14ac:dyDescent="0.2">
      <c r="B21" s="1952" t="s">
        <v>2134</v>
      </c>
      <c r="C21" s="1339"/>
      <c r="D21" s="1340"/>
      <c r="E21" s="1341"/>
      <c r="F21" s="1341"/>
      <c r="G21" s="1341"/>
      <c r="H21" s="1341"/>
      <c r="I21" s="1341"/>
      <c r="J21" s="1341"/>
      <c r="K21" s="1341"/>
      <c r="L21" s="1338"/>
      <c r="M21" s="1341"/>
    </row>
    <row r="22" spans="2:14" ht="20.100000000000001" customHeight="1" x14ac:dyDescent="0.2">
      <c r="B22" s="1335" t="s">
        <v>2173</v>
      </c>
      <c r="C22" s="1339">
        <v>10.553000000000001</v>
      </c>
      <c r="D22" s="1340" t="s">
        <v>2174</v>
      </c>
      <c r="E22" s="1341">
        <v>41320</v>
      </c>
      <c r="F22" s="1341">
        <v>9841</v>
      </c>
      <c r="G22" s="1341">
        <v>41320</v>
      </c>
      <c r="H22" s="1341"/>
      <c r="I22" s="1341">
        <v>9841</v>
      </c>
      <c r="J22" s="1341"/>
      <c r="K22" s="1341"/>
      <c r="L22" s="1338">
        <f t="shared" si="0"/>
        <v>51161</v>
      </c>
      <c r="M22" s="1341" t="s">
        <v>2147</v>
      </c>
    </row>
    <row r="23" spans="2:14" ht="20.100000000000001" customHeight="1" x14ac:dyDescent="0.2">
      <c r="B23" s="1335" t="s">
        <v>2173</v>
      </c>
      <c r="C23" s="1339">
        <v>10.553000000000001</v>
      </c>
      <c r="D23" s="1340" t="s">
        <v>2175</v>
      </c>
      <c r="E23" s="1953"/>
      <c r="F23" s="1953">
        <v>48226</v>
      </c>
      <c r="G23" s="1953"/>
      <c r="H23" s="1953"/>
      <c r="I23" s="1953">
        <v>48226</v>
      </c>
      <c r="J23" s="1953"/>
      <c r="K23" s="1953"/>
      <c r="L23" s="1953">
        <f t="shared" si="0"/>
        <v>48226</v>
      </c>
      <c r="M23" s="1341" t="s">
        <v>2147</v>
      </c>
    </row>
    <row r="24" spans="2:14" ht="20.100000000000001" customHeight="1" x14ac:dyDescent="0.2">
      <c r="B24" s="1335" t="s">
        <v>2176</v>
      </c>
      <c r="C24" s="1339"/>
      <c r="D24" s="1340"/>
      <c r="E24" s="1958">
        <f>SUM(E22:E23)</f>
        <v>41320</v>
      </c>
      <c r="F24" s="1958">
        <f t="shared" ref="F24:L24" si="2">SUM(F22:F23)</f>
        <v>58067</v>
      </c>
      <c r="G24" s="1958">
        <f t="shared" si="2"/>
        <v>41320</v>
      </c>
      <c r="H24" s="1958">
        <f t="shared" si="2"/>
        <v>0</v>
      </c>
      <c r="I24" s="1958">
        <f t="shared" si="2"/>
        <v>58067</v>
      </c>
      <c r="J24" s="1958">
        <f t="shared" si="2"/>
        <v>0</v>
      </c>
      <c r="K24" s="1958">
        <f t="shared" si="2"/>
        <v>0</v>
      </c>
      <c r="L24" s="1958">
        <f t="shared" si="2"/>
        <v>99387</v>
      </c>
      <c r="M24" s="1341"/>
    </row>
    <row r="25" spans="2:14" ht="20.100000000000001" customHeight="1" x14ac:dyDescent="0.2">
      <c r="B25" s="1335"/>
      <c r="C25" s="1339"/>
      <c r="D25" s="1340"/>
      <c r="E25" s="1338"/>
      <c r="F25" s="1338"/>
      <c r="G25" s="1338"/>
      <c r="H25" s="1338"/>
      <c r="I25" s="1338"/>
      <c r="J25" s="1338"/>
      <c r="K25" s="1338"/>
      <c r="L25" s="1338"/>
      <c r="M25" s="1341"/>
    </row>
    <row r="26" spans="2:14" s="1258" customFormat="1" ht="25.5" customHeight="1" x14ac:dyDescent="0.2">
      <c r="B26" s="1952" t="s">
        <v>2177</v>
      </c>
      <c r="C26" s="1954"/>
      <c r="D26" s="1955"/>
      <c r="E26" s="1956">
        <f>E24+E19</f>
        <v>222885</v>
      </c>
      <c r="F26" s="1956">
        <f t="shared" ref="F26:L26" si="3">F24+F19</f>
        <v>320582</v>
      </c>
      <c r="G26" s="1956">
        <f t="shared" si="3"/>
        <v>222885</v>
      </c>
      <c r="H26" s="1956">
        <f t="shared" si="3"/>
        <v>0</v>
      </c>
      <c r="I26" s="1956">
        <f t="shared" si="3"/>
        <v>320582</v>
      </c>
      <c r="J26" s="1956">
        <f t="shared" si="3"/>
        <v>0</v>
      </c>
      <c r="K26" s="1956">
        <f t="shared" si="3"/>
        <v>0</v>
      </c>
      <c r="L26" s="1956">
        <f t="shared" si="3"/>
        <v>543467</v>
      </c>
      <c r="M26" s="1957"/>
    </row>
    <row r="27" spans="2:14" ht="20.100000000000001" customHeight="1" x14ac:dyDescent="0.2">
      <c r="B27" s="1335"/>
      <c r="C27" s="1339"/>
      <c r="D27" s="1340"/>
      <c r="E27" s="1338"/>
      <c r="F27" s="1341"/>
      <c r="G27" s="1341"/>
      <c r="H27" s="1341"/>
      <c r="I27" s="1341"/>
      <c r="J27" s="1341"/>
      <c r="K27" s="1341"/>
      <c r="L27" s="1338"/>
      <c r="M27" s="1341"/>
    </row>
    <row r="28" spans="2:14" s="1258" customFormat="1" ht="20.100000000000001" customHeight="1" thickBot="1" x14ac:dyDescent="0.25">
      <c r="B28" s="1952" t="s">
        <v>2178</v>
      </c>
      <c r="C28" s="1954"/>
      <c r="D28" s="1955"/>
      <c r="E28" s="1960">
        <f>E26+' SEFA'!E26+' SEFA'!E19</f>
        <v>560602</v>
      </c>
      <c r="F28" s="1960">
        <f>F26+' SEFA'!F26+' SEFA'!F19</f>
        <v>795779</v>
      </c>
      <c r="G28" s="1960">
        <f>G26+' SEFA'!G26+' SEFA'!G19</f>
        <v>679720</v>
      </c>
      <c r="H28" s="1960">
        <f>H26+' SEFA'!H26+' SEFA'!H19</f>
        <v>0</v>
      </c>
      <c r="I28" s="1960">
        <f>I26+' SEFA'!I26+' SEFA'!I19</f>
        <v>799004</v>
      </c>
      <c r="J28" s="1960">
        <f>J26+' SEFA'!J26+' SEFA'!J19</f>
        <v>0</v>
      </c>
      <c r="K28" s="1960">
        <f>K26+' SEFA'!K26+' SEFA'!K19</f>
        <v>39784</v>
      </c>
      <c r="L28" s="1960">
        <f>L26+' SEFA'!L26+' SEFA'!L19</f>
        <v>1518508</v>
      </c>
      <c r="M28" s="1957"/>
      <c r="N28" s="1959"/>
    </row>
    <row r="29" spans="2:14" ht="12.75" customHeight="1" thickTop="1" x14ac:dyDescent="0.2">
      <c r="B29" s="1343"/>
      <c r="C29" s="1344"/>
      <c r="D29" s="1345"/>
      <c r="E29" s="1346"/>
      <c r="F29" s="1346"/>
      <c r="G29" s="1346"/>
      <c r="H29" s="1346"/>
      <c r="I29" s="1346"/>
      <c r="J29" s="1346"/>
      <c r="K29" s="1346"/>
      <c r="L29" s="1346"/>
      <c r="M29" s="1346"/>
      <c r="N29" s="1342"/>
    </row>
    <row r="30" spans="2:14" ht="13.5" customHeight="1" x14ac:dyDescent="0.2">
      <c r="B30" s="1280" t="s">
        <v>1838</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1839</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1840</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1841</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1842</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zoomScaleNormal="100" workbookViewId="0">
      <selection activeCell="B29" sqref="B29"/>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Arthur CUSD 305</v>
      </c>
      <c r="B1" s="2467"/>
      <c r="C1" s="2467"/>
      <c r="D1" s="2467"/>
      <c r="E1" s="2467"/>
      <c r="F1" s="2467"/>
    </row>
    <row r="2" spans="1:7" ht="13.5" customHeight="1" x14ac:dyDescent="0.2">
      <c r="A2" s="2463">
        <f>'Single Audit Cover'!E7</f>
        <v>11021305026</v>
      </c>
      <c r="B2" s="2463"/>
      <c r="C2" s="2463"/>
      <c r="D2" s="2463"/>
      <c r="E2" s="2463"/>
      <c r="F2" s="2463"/>
      <c r="G2" s="1273"/>
    </row>
    <row r="3" spans="1:7" ht="15.75" customHeight="1" x14ac:dyDescent="0.2">
      <c r="A3" s="2468" t="s">
        <v>1333</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4" t="s">
        <v>1831</v>
      </c>
      <c r="C6" s="317"/>
      <c r="D6" s="317"/>
    </row>
    <row r="7" spans="1:7" ht="60.95" customHeight="1" x14ac:dyDescent="0.2">
      <c r="A7" s="2466" t="s">
        <v>2179</v>
      </c>
      <c r="B7" s="2466"/>
      <c r="C7" s="2466"/>
      <c r="D7" s="2466"/>
      <c r="E7" s="2466"/>
      <c r="F7" s="2466"/>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2082</v>
      </c>
      <c r="F10" s="1278" t="s">
        <v>101</v>
      </c>
      <c r="G10" s="1276"/>
    </row>
    <row r="11" spans="1:7" ht="12" customHeight="1" x14ac:dyDescent="0.2">
      <c r="A11" s="1277"/>
      <c r="B11" s="1278"/>
      <c r="C11" s="1920"/>
      <c r="D11" s="1278"/>
      <c r="E11" s="1920"/>
      <c r="F11" s="1278"/>
      <c r="G11" s="1276"/>
    </row>
    <row r="12" spans="1:7" x14ac:dyDescent="0.2">
      <c r="A12" s="1274" t="s">
        <v>1669</v>
      </c>
      <c r="C12" s="1258"/>
      <c r="D12" s="1258"/>
    </row>
    <row r="13" spans="1:7" ht="15" customHeight="1" x14ac:dyDescent="0.2">
      <c r="A13" s="2466" t="s">
        <v>1833</v>
      </c>
      <c r="B13" s="2466"/>
      <c r="C13" s="2466"/>
      <c r="D13" s="2466"/>
      <c r="E13" s="2466"/>
      <c r="F13" s="2466"/>
    </row>
    <row r="14" spans="1:7" ht="9.75" customHeight="1" x14ac:dyDescent="0.2">
      <c r="C14" s="1258"/>
      <c r="D14" s="1258"/>
    </row>
    <row r="15" spans="1:7" ht="13.5" customHeight="1" x14ac:dyDescent="0.2">
      <c r="C15" s="1864" t="s">
        <v>1332</v>
      </c>
      <c r="D15" s="2470" t="s">
        <v>1331</v>
      </c>
      <c r="E15" s="2470"/>
      <c r="F15" s="2470"/>
    </row>
    <row r="16" spans="1:7" ht="13.5" customHeight="1" x14ac:dyDescent="0.2">
      <c r="A16" s="1280"/>
      <c r="B16" s="1274" t="s">
        <v>1330</v>
      </c>
      <c r="C16" s="1864" t="s">
        <v>1329</v>
      </c>
      <c r="D16" s="2471" t="s">
        <v>1670</v>
      </c>
      <c r="E16" s="2471"/>
      <c r="F16" s="2471"/>
    </row>
    <row r="17" spans="1:6" ht="20.45" customHeight="1" x14ac:dyDescent="0.2">
      <c r="A17" s="1281"/>
      <c r="B17" s="1282" t="s">
        <v>2180</v>
      </c>
      <c r="C17" s="1283"/>
      <c r="D17" s="2472"/>
      <c r="E17" s="2472"/>
      <c r="F17" s="2472"/>
    </row>
    <row r="18" spans="1:6" ht="20.65" customHeight="1" x14ac:dyDescent="0.2">
      <c r="A18" s="1281"/>
      <c r="B18" s="1282"/>
      <c r="C18" s="1283"/>
      <c r="D18" s="2472"/>
      <c r="E18" s="2472"/>
      <c r="F18" s="2472"/>
    </row>
    <row r="19" spans="1:6" ht="12" customHeight="1" x14ac:dyDescent="0.2">
      <c r="A19" s="328"/>
      <c r="B19" s="328"/>
      <c r="C19" s="1473"/>
      <c r="D19" s="1921"/>
      <c r="E19" s="1284"/>
    </row>
    <row r="20" spans="1:6" ht="12" customHeight="1" x14ac:dyDescent="0.2">
      <c r="A20" s="1285" t="s">
        <v>1630</v>
      </c>
      <c r="B20" s="328"/>
      <c r="C20" s="1473"/>
      <c r="D20" s="1921"/>
      <c r="E20" s="1284"/>
    </row>
    <row r="21" spans="1:6" ht="30" customHeight="1" x14ac:dyDescent="0.2">
      <c r="A21" s="2474" t="s">
        <v>2189</v>
      </c>
      <c r="B21" s="2474"/>
      <c r="C21" s="2474"/>
      <c r="D21" s="2474"/>
      <c r="E21" s="2474"/>
      <c r="F21" s="2474"/>
    </row>
    <row r="22" spans="1:6" ht="13.5" customHeight="1" x14ac:dyDescent="0.2">
      <c r="A22" s="328" t="s">
        <v>1509</v>
      </c>
      <c r="B22" s="328"/>
      <c r="C22" s="1286">
        <v>31156</v>
      </c>
      <c r="D22" s="1921"/>
      <c r="E22" s="1284"/>
    </row>
    <row r="23" spans="1:6" ht="13.5" customHeight="1" x14ac:dyDescent="0.2">
      <c r="A23" s="328" t="s">
        <v>1947</v>
      </c>
      <c r="B23" s="328"/>
      <c r="C23" s="1287">
        <v>0</v>
      </c>
      <c r="D23" s="1921" t="s">
        <v>1671</v>
      </c>
      <c r="E23" s="2475">
        <f>+C22+C23</f>
        <v>31156</v>
      </c>
      <c r="F23" s="2476"/>
    </row>
    <row r="24" spans="1:6" ht="12" customHeight="1" x14ac:dyDescent="0.2">
      <c r="A24" s="328"/>
      <c r="B24" s="328"/>
      <c r="C24" s="1922"/>
      <c r="D24" s="1921"/>
      <c r="E24" s="1288"/>
      <c r="F24" s="1289"/>
    </row>
    <row r="25" spans="1:6" ht="13.5" customHeight="1" x14ac:dyDescent="0.2">
      <c r="A25" s="1285" t="s">
        <v>1631</v>
      </c>
      <c r="B25" s="328"/>
      <c r="C25" s="1473"/>
      <c r="D25" s="1921"/>
      <c r="E25" s="1284"/>
    </row>
    <row r="26" spans="1:6" ht="14.25" customHeight="1" x14ac:dyDescent="0.2">
      <c r="A26" s="328" t="s">
        <v>1563</v>
      </c>
      <c r="B26" s="328"/>
      <c r="C26" s="1923"/>
      <c r="D26" s="1921"/>
      <c r="E26" s="1284"/>
    </row>
    <row r="27" spans="1:6" ht="14.25" customHeight="1" x14ac:dyDescent="0.2">
      <c r="A27" s="328"/>
      <c r="B27" s="328" t="s">
        <v>1510</v>
      </c>
      <c r="C27" s="1290" t="s">
        <v>2180</v>
      </c>
      <c r="D27" s="1921"/>
      <c r="E27" s="1284"/>
    </row>
    <row r="28" spans="1:6" ht="14.25" customHeight="1" x14ac:dyDescent="0.2">
      <c r="A28" s="328"/>
      <c r="B28" s="328" t="s">
        <v>1511</v>
      </c>
      <c r="C28" s="1290" t="s">
        <v>2180</v>
      </c>
      <c r="D28" s="1921"/>
      <c r="E28" s="1284"/>
    </row>
    <row r="29" spans="1:6" ht="14.25" customHeight="1" x14ac:dyDescent="0.2">
      <c r="A29" s="328"/>
      <c r="B29" s="328" t="s">
        <v>1512</v>
      </c>
      <c r="C29" s="1290" t="s">
        <v>2180</v>
      </c>
      <c r="D29" s="1921"/>
      <c r="E29" s="1284"/>
    </row>
    <row r="30" spans="1:6" ht="14.25" customHeight="1" x14ac:dyDescent="0.2">
      <c r="A30" s="328"/>
      <c r="B30" s="328" t="s">
        <v>1513</v>
      </c>
      <c r="C30" s="1290" t="s">
        <v>2180</v>
      </c>
      <c r="D30" s="1921"/>
      <c r="E30" s="1284"/>
    </row>
    <row r="31" spans="1:6" ht="14.25" customHeight="1" x14ac:dyDescent="0.2">
      <c r="A31" s="328" t="s">
        <v>1514</v>
      </c>
      <c r="B31" s="328"/>
      <c r="C31" s="1919" t="s">
        <v>2180</v>
      </c>
      <c r="D31" s="1921"/>
      <c r="E31" s="1284"/>
    </row>
    <row r="32" spans="1:6" ht="14.25" customHeight="1" x14ac:dyDescent="0.2">
      <c r="A32" s="328" t="s">
        <v>1515</v>
      </c>
      <c r="B32" s="328"/>
      <c r="C32" s="1291" t="s">
        <v>401</v>
      </c>
      <c r="D32" s="1921"/>
      <c r="E32" s="1284"/>
    </row>
    <row r="33" spans="1:6" ht="14.25" customHeight="1" x14ac:dyDescent="0.2">
      <c r="A33" s="328"/>
      <c r="B33" s="328"/>
      <c r="C33" s="1923" t="s">
        <v>1516</v>
      </c>
      <c r="D33" s="1921"/>
      <c r="E33" s="1284"/>
    </row>
    <row r="34" spans="1:6" ht="13.5" customHeight="1" x14ac:dyDescent="0.2">
      <c r="B34" s="322"/>
      <c r="C34" s="1292"/>
      <c r="D34" s="1292"/>
    </row>
    <row r="35" spans="1:6" x14ac:dyDescent="0.2">
      <c r="A35" s="1293" t="s">
        <v>1834</v>
      </c>
      <c r="C35" s="317"/>
      <c r="D35" s="317"/>
    </row>
    <row r="36" spans="1:6" s="322" customFormat="1" ht="11.25" customHeight="1" x14ac:dyDescent="0.2">
      <c r="A36" s="1294"/>
      <c r="B36" s="1295"/>
      <c r="C36" s="1295"/>
      <c r="D36" s="1295"/>
      <c r="E36" s="1295"/>
      <c r="F36" s="1295"/>
    </row>
    <row r="37" spans="1:6" s="322" customFormat="1" ht="6" customHeight="1" x14ac:dyDescent="0.2">
      <c r="A37" s="1296"/>
    </row>
    <row r="38" spans="1:6" s="1298" customFormat="1" ht="23.25" customHeight="1" x14ac:dyDescent="0.2">
      <c r="A38" s="1297">
        <v>5</v>
      </c>
      <c r="B38" s="2477" t="s">
        <v>1672</v>
      </c>
      <c r="C38" s="2477"/>
      <c r="D38" s="2477"/>
      <c r="E38" s="1397"/>
    </row>
    <row r="39" spans="1:6" s="1298" customFormat="1" ht="3.75" customHeight="1" x14ac:dyDescent="0.2">
      <c r="A39" s="1297"/>
      <c r="B39" s="1863"/>
      <c r="C39" s="1863"/>
      <c r="D39" s="1863"/>
      <c r="E39" s="1397"/>
    </row>
    <row r="40" spans="1:6" s="1298" customFormat="1" ht="20.25" customHeight="1" x14ac:dyDescent="0.2">
      <c r="A40" s="1299">
        <v>6</v>
      </c>
      <c r="B40" s="2473" t="s">
        <v>1632</v>
      </c>
      <c r="C40" s="2473"/>
      <c r="D40" s="2473"/>
    </row>
    <row r="41" spans="1:6" ht="14.25" customHeight="1" x14ac:dyDescent="0.2">
      <c r="A41" s="1299"/>
      <c r="B41" s="2473"/>
      <c r="C41" s="2473"/>
      <c r="D41" s="2473"/>
    </row>
  </sheetData>
  <mergeCells count="15">
    <mergeCell ref="B40:D40"/>
    <mergeCell ref="B41:D41"/>
    <mergeCell ref="A21:F21"/>
    <mergeCell ref="E23:F23"/>
    <mergeCell ref="B38:D38"/>
    <mergeCell ref="D15:F15"/>
    <mergeCell ref="D16:F16"/>
    <mergeCell ref="D17:F17"/>
    <mergeCell ref="D18:F18"/>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14" zoomScaleNormal="100" workbookViewId="0">
      <selection activeCell="B29" sqref="B29"/>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Arthur CUSD 305</v>
      </c>
      <c r="C1" s="2483"/>
      <c r="D1" s="2483"/>
      <c r="E1" s="2483"/>
      <c r="F1" s="2483"/>
      <c r="G1" s="2483"/>
      <c r="H1" s="2483"/>
      <c r="I1" s="2483"/>
      <c r="J1" s="1420"/>
    </row>
    <row r="2" spans="2:10" s="317" customFormat="1" ht="12.75" customHeight="1" x14ac:dyDescent="0.2">
      <c r="B2" s="2484">
        <f>'Single Audit Cover'!E7</f>
        <v>11021305026</v>
      </c>
      <c r="C2" s="2485"/>
      <c r="D2" s="2485"/>
      <c r="E2" s="2485"/>
      <c r="F2" s="2485"/>
      <c r="G2" s="2485"/>
      <c r="H2" s="2485"/>
      <c r="I2" s="2485"/>
      <c r="J2" s="1420"/>
    </row>
    <row r="3" spans="2:10" s="317" customFormat="1" ht="12.75" customHeight="1" x14ac:dyDescent="0.2">
      <c r="B3" s="2486" t="s">
        <v>1347</v>
      </c>
      <c r="C3" s="2487"/>
      <c r="D3" s="2487"/>
      <c r="E3" s="2487"/>
      <c r="F3" s="2487"/>
      <c r="G3" s="2487"/>
      <c r="H3" s="2487"/>
      <c r="I3" s="2487"/>
      <c r="J3" s="1421"/>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6" t="s">
        <v>1346</v>
      </c>
      <c r="C7" s="2487"/>
      <c r="D7" s="2487"/>
      <c r="E7" s="2487"/>
      <c r="F7" s="2487"/>
      <c r="G7" s="2487"/>
      <c r="H7" s="2487"/>
      <c r="I7" s="2487"/>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8" t="s">
        <v>1226</v>
      </c>
      <c r="D11" s="2488"/>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t="s">
        <v>2082</v>
      </c>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t="s">
        <v>2082</v>
      </c>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t="s">
        <v>2082</v>
      </c>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2082</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2082</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9" t="s">
        <v>2215</v>
      </c>
      <c r="E29" s="2489"/>
      <c r="F29" s="2489"/>
      <c r="G29" s="2489"/>
      <c r="H29" s="2489"/>
      <c r="I29" s="2489"/>
    </row>
    <row r="30" spans="2:9" s="317" customFormat="1" x14ac:dyDescent="0.2">
      <c r="B30" s="1366"/>
      <c r="C30" s="322"/>
      <c r="D30" s="1431" t="s">
        <v>1849</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2082</v>
      </c>
      <c r="H33" s="1298" t="s">
        <v>101</v>
      </c>
    </row>
    <row r="35" spans="2:9" x14ac:dyDescent="0.2">
      <c r="B35" s="1439" t="s">
        <v>1850</v>
      </c>
      <c r="C35" s="1440"/>
      <c r="D35" s="1265"/>
    </row>
    <row r="36" spans="2:9" ht="6" customHeight="1" x14ac:dyDescent="0.2">
      <c r="B36" s="1439"/>
      <c r="C36" s="1440"/>
      <c r="D36" s="1265"/>
    </row>
    <row r="37" spans="2:9" ht="17.25" customHeight="1" x14ac:dyDescent="0.2">
      <c r="B37" s="1441" t="s">
        <v>1851</v>
      </c>
      <c r="C37" s="2490" t="s">
        <v>1852</v>
      </c>
      <c r="D37" s="2491"/>
      <c r="E37" s="2491"/>
      <c r="F37" s="2492"/>
      <c r="G37" s="2490" t="s">
        <v>1674</v>
      </c>
      <c r="H37" s="2491"/>
      <c r="I37" s="2492"/>
    </row>
    <row r="38" spans="2:9" ht="16.5" customHeight="1" x14ac:dyDescent="0.2">
      <c r="B38" s="1442"/>
      <c r="C38" s="2478" t="s">
        <v>2164</v>
      </c>
      <c r="D38" s="2479"/>
      <c r="E38" s="2479"/>
      <c r="F38" s="2480"/>
      <c r="G38" s="2493"/>
      <c r="H38" s="2494"/>
      <c r="I38" s="2495"/>
    </row>
    <row r="39" spans="2:9" ht="16.5" customHeight="1" x14ac:dyDescent="0.2">
      <c r="B39" s="1442">
        <v>10.555</v>
      </c>
      <c r="C39" s="2478" t="s">
        <v>1118</v>
      </c>
      <c r="D39" s="2479"/>
      <c r="E39" s="2479"/>
      <c r="F39" s="2480"/>
      <c r="G39" s="2481">
        <v>262515</v>
      </c>
      <c r="H39" s="2481"/>
      <c r="I39" s="2481"/>
    </row>
    <row r="40" spans="2:9" ht="16.5" customHeight="1" x14ac:dyDescent="0.2">
      <c r="B40" s="1442">
        <v>10.553000000000001</v>
      </c>
      <c r="C40" s="2478" t="s">
        <v>1119</v>
      </c>
      <c r="D40" s="2479"/>
      <c r="E40" s="2479"/>
      <c r="F40" s="2480"/>
      <c r="G40" s="2481">
        <v>58067</v>
      </c>
      <c r="H40" s="2481"/>
      <c r="I40" s="2481"/>
    </row>
    <row r="41" spans="2:9" ht="16.5" customHeight="1" x14ac:dyDescent="0.2">
      <c r="B41" s="1442"/>
      <c r="C41" s="2478"/>
      <c r="D41" s="2479"/>
      <c r="E41" s="2479"/>
      <c r="F41" s="2480"/>
      <c r="G41" s="2481"/>
      <c r="H41" s="2481"/>
      <c r="I41" s="2481"/>
    </row>
    <row r="42" spans="2:9" ht="16.5" customHeight="1" x14ac:dyDescent="0.2">
      <c r="B42" s="1442"/>
      <c r="C42" s="2478"/>
      <c r="D42" s="2479"/>
      <c r="E42" s="2479"/>
      <c r="F42" s="2480"/>
      <c r="G42" s="2481"/>
      <c r="H42" s="2481"/>
      <c r="I42" s="2481"/>
    </row>
    <row r="43" spans="2:9" ht="16.5" customHeight="1" x14ac:dyDescent="0.2">
      <c r="B43" s="1442"/>
      <c r="C43" s="2496" t="s">
        <v>1675</v>
      </c>
      <c r="D43" s="2497"/>
      <c r="E43" s="2497"/>
      <c r="F43" s="2498"/>
      <c r="G43" s="2499">
        <f>SUM(G38:I42)</f>
        <v>320582</v>
      </c>
      <c r="H43" s="2499"/>
      <c r="I43" s="2499"/>
    </row>
    <row r="44" spans="2:9" ht="12.75" customHeight="1" x14ac:dyDescent="0.2"/>
    <row r="45" spans="2:9" ht="12.75" customHeight="1" x14ac:dyDescent="0.2">
      <c r="B45" s="1433" t="s">
        <v>1950</v>
      </c>
      <c r="D45" s="2500">
        <v>799004</v>
      </c>
      <c r="E45" s="2501"/>
    </row>
    <row r="46" spans="2:9" ht="5.25" customHeight="1" x14ac:dyDescent="0.2">
      <c r="B46" s="1443"/>
      <c r="D46" s="1444"/>
      <c r="E46" s="1445"/>
    </row>
    <row r="47" spans="2:9" ht="12.75" customHeight="1" x14ac:dyDescent="0.2">
      <c r="B47" s="1298" t="s">
        <v>1676</v>
      </c>
      <c r="C47" s="1298"/>
      <c r="D47" s="1446">
        <f>+G43/D45</f>
        <v>0.40122702764942353</v>
      </c>
      <c r="E47" s="1447"/>
      <c r="F47" s="1448"/>
      <c r="I47" s="1449"/>
    </row>
    <row r="48" spans="2:9" ht="9.9499999999999993" customHeight="1" x14ac:dyDescent="0.2"/>
    <row r="49" spans="1:9" x14ac:dyDescent="0.2">
      <c r="B49" s="1366" t="s">
        <v>1335</v>
      </c>
      <c r="C49" s="1280"/>
      <c r="D49" s="1280"/>
      <c r="E49" s="2502">
        <v>750000</v>
      </c>
      <c r="F49" s="2502"/>
      <c r="G49" s="2502"/>
      <c r="H49" s="322"/>
    </row>
    <row r="51" spans="1:9" ht="13.5" customHeight="1" x14ac:dyDescent="0.2">
      <c r="B51" s="1366" t="s">
        <v>1334</v>
      </c>
      <c r="C51" s="1280"/>
      <c r="E51" s="1436"/>
      <c r="F51" s="1298" t="s">
        <v>940</v>
      </c>
      <c r="G51" s="1436" t="s">
        <v>2082</v>
      </c>
      <c r="H51" s="1298" t="s">
        <v>101</v>
      </c>
    </row>
    <row r="52" spans="1:9" x14ac:dyDescent="0.2">
      <c r="B52" s="1358"/>
      <c r="C52" s="1295"/>
      <c r="D52" s="1450"/>
      <c r="E52" s="1451"/>
      <c r="F52" s="1452"/>
      <c r="G52" s="1452"/>
      <c r="H52" s="1452"/>
      <c r="I52" s="1452"/>
    </row>
    <row r="53" spans="1:9" s="1456" customFormat="1" ht="14.25" x14ac:dyDescent="0.2">
      <c r="A53" s="1453"/>
      <c r="B53" s="1454" t="s">
        <v>1853</v>
      </c>
      <c r="C53" s="1455"/>
      <c r="D53" s="1455"/>
    </row>
    <row r="54" spans="1:9" s="1456" customFormat="1" ht="12.75" customHeight="1" x14ac:dyDescent="0.2">
      <c r="A54" s="1453"/>
      <c r="B54" s="1457" t="s">
        <v>1677</v>
      </c>
      <c r="C54" s="1453"/>
      <c r="D54" s="1453"/>
    </row>
    <row r="55" spans="1:9" s="1456" customFormat="1" ht="12.75" customHeight="1" x14ac:dyDescent="0.2">
      <c r="A55" s="1453"/>
      <c r="B55" s="1457" t="s">
        <v>1678</v>
      </c>
      <c r="C55" s="1453"/>
      <c r="D55" s="1453"/>
    </row>
    <row r="56" spans="1:9" s="1456" customFormat="1" ht="3.95" customHeight="1" x14ac:dyDescent="0.2">
      <c r="A56" s="1453"/>
      <c r="B56" s="1457"/>
      <c r="C56" s="1453"/>
      <c r="D56" s="1453"/>
    </row>
    <row r="57" spans="1:9" s="1456" customFormat="1" ht="13.5" customHeight="1" x14ac:dyDescent="0.2">
      <c r="A57" s="1453"/>
      <c r="B57" s="1458" t="s">
        <v>1854</v>
      </c>
      <c r="C57" s="1459"/>
      <c r="D57" s="1459"/>
    </row>
    <row r="58" spans="1:9" s="1456" customFormat="1" ht="3.95" customHeight="1" x14ac:dyDescent="0.2">
      <c r="A58" s="1453"/>
      <c r="B58" s="1458"/>
      <c r="C58" s="1459"/>
      <c r="D58" s="1459"/>
    </row>
    <row r="59" spans="1:9" s="1456" customFormat="1" ht="13.5" customHeight="1" x14ac:dyDescent="0.2">
      <c r="A59" s="1453"/>
      <c r="B59" s="1458" t="s">
        <v>1855</v>
      </c>
      <c r="C59" s="1459"/>
      <c r="D59" s="1459"/>
    </row>
    <row r="60" spans="1:9" s="1456" customFormat="1" ht="3.95" customHeight="1" x14ac:dyDescent="0.2">
      <c r="A60" s="1453"/>
      <c r="B60" s="1458"/>
      <c r="C60" s="1459"/>
      <c r="D60" s="1459"/>
    </row>
    <row r="61" spans="1:9" s="1456" customFormat="1" ht="12.75" customHeight="1" x14ac:dyDescent="0.2">
      <c r="A61" s="1453"/>
      <c r="B61" s="1458" t="s">
        <v>1856</v>
      </c>
      <c r="C61" s="1459"/>
      <c r="D61" s="1459"/>
    </row>
    <row r="62" spans="1:9" s="1456" customFormat="1" ht="13.5" customHeight="1" x14ac:dyDescent="0.2">
      <c r="A62" s="1453"/>
      <c r="B62" s="1457" t="s">
        <v>1679</v>
      </c>
      <c r="C62" s="1453"/>
      <c r="D62" s="14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B29" sqref="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Arthur CUSD 305</v>
      </c>
      <c r="C1" s="2482"/>
      <c r="D1" s="2482"/>
      <c r="E1" s="2482"/>
      <c r="F1" s="2482"/>
      <c r="G1" s="2482"/>
      <c r="H1" s="2482"/>
      <c r="I1" s="2482"/>
      <c r="J1" s="2482"/>
      <c r="K1" s="2482"/>
      <c r="L1" s="1372"/>
      <c r="M1" s="1372"/>
    </row>
    <row r="2" spans="1:13" ht="12" customHeight="1" x14ac:dyDescent="0.2">
      <c r="B2" s="2484">
        <f>'Single Audit Cover'!E7</f>
        <v>11021305026</v>
      </c>
      <c r="C2" s="2484"/>
      <c r="D2" s="2484"/>
      <c r="E2" s="2484"/>
      <c r="F2" s="2484"/>
      <c r="G2" s="2484"/>
      <c r="H2" s="2484"/>
      <c r="I2" s="2484"/>
      <c r="J2" s="2484"/>
      <c r="K2" s="2484"/>
      <c r="L2" s="1373"/>
      <c r="M2" s="1374"/>
    </row>
    <row r="3" spans="1:13" ht="10.35" customHeight="1" x14ac:dyDescent="0.2">
      <c r="B3" s="2505" t="s">
        <v>1347</v>
      </c>
      <c r="C3" s="2505"/>
      <c r="D3" s="2505"/>
      <c r="E3" s="2505"/>
      <c r="F3" s="2505"/>
      <c r="G3" s="2505"/>
      <c r="H3" s="2505"/>
      <c r="I3" s="2505"/>
      <c r="J3" s="2505"/>
      <c r="K3" s="2505"/>
      <c r="L3" s="1375"/>
      <c r="M3" s="1375"/>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6" t="s">
        <v>1363</v>
      </c>
      <c r="C7" s="2506"/>
      <c r="D7" s="2507"/>
      <c r="E7" s="2507"/>
      <c r="F7" s="2507"/>
      <c r="G7" s="2507"/>
      <c r="H7" s="2507"/>
      <c r="I7" s="2507"/>
      <c r="J7" s="2507"/>
      <c r="K7" s="250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t="s">
        <v>1951</v>
      </c>
      <c r="D10" s="1384">
        <v>1</v>
      </c>
      <c r="E10" s="322"/>
      <c r="F10" s="1385" t="s">
        <v>1362</v>
      </c>
      <c r="G10" s="1386"/>
      <c r="H10" s="1387" t="s">
        <v>1361</v>
      </c>
      <c r="I10" s="1386" t="s">
        <v>2082</v>
      </c>
      <c r="J10" s="1388" t="s">
        <v>1360</v>
      </c>
      <c r="K10" s="322"/>
      <c r="L10" s="1379"/>
    </row>
    <row r="11" spans="1:13" ht="13.5" customHeight="1" x14ac:dyDescent="0.2">
      <c r="B11" s="322"/>
      <c r="C11" s="322"/>
      <c r="D11" s="322"/>
      <c r="E11" s="322"/>
      <c r="F11" s="322"/>
      <c r="G11" s="1381"/>
      <c r="H11" s="322"/>
      <c r="I11" s="1389" t="s">
        <v>1359</v>
      </c>
      <c r="J11" s="322"/>
      <c r="K11" s="1390">
        <v>1987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4" t="s">
        <v>2190</v>
      </c>
      <c r="C14" s="2504"/>
      <c r="D14" s="2504"/>
      <c r="E14" s="2504"/>
      <c r="F14" s="2504"/>
      <c r="G14" s="2504"/>
      <c r="H14" s="2504"/>
      <c r="I14" s="2504"/>
      <c r="J14" s="2504"/>
      <c r="K14" s="250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4" t="s">
        <v>2183</v>
      </c>
      <c r="C17" s="2504"/>
      <c r="D17" s="2504"/>
      <c r="E17" s="2504"/>
      <c r="F17" s="2504"/>
      <c r="G17" s="2504"/>
      <c r="H17" s="2504"/>
      <c r="I17" s="2504"/>
      <c r="J17" s="2504"/>
      <c r="K17" s="2504"/>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08" t="s">
        <v>2181</v>
      </c>
      <c r="C20" s="2508"/>
      <c r="D20" s="2504"/>
      <c r="E20" s="2504"/>
      <c r="F20" s="2504"/>
      <c r="G20" s="2504"/>
      <c r="H20" s="2504"/>
      <c r="I20" s="2504"/>
      <c r="J20" s="2504"/>
      <c r="K20" s="250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20.25" customHeight="1" x14ac:dyDescent="0.2">
      <c r="B23" s="2504" t="s">
        <v>2182</v>
      </c>
      <c r="C23" s="2504"/>
      <c r="D23" s="2504"/>
      <c r="E23" s="2504"/>
      <c r="F23" s="2504"/>
      <c r="G23" s="2504"/>
      <c r="H23" s="2504"/>
      <c r="I23" s="2504"/>
      <c r="J23" s="2504"/>
      <c r="K23" s="2504"/>
      <c r="L23" s="1379"/>
    </row>
    <row r="24" spans="2:12" ht="4.5" hidden="1"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33" customHeight="1" x14ac:dyDescent="0.2">
      <c r="B26" s="2504" t="s">
        <v>2191</v>
      </c>
      <c r="C26" s="2504"/>
      <c r="D26" s="2504"/>
      <c r="E26" s="2504"/>
      <c r="F26" s="2504"/>
      <c r="G26" s="2504"/>
      <c r="H26" s="2504"/>
      <c r="I26" s="2504"/>
      <c r="J26" s="2504"/>
      <c r="K26" s="2504"/>
      <c r="L26" s="1379"/>
    </row>
    <row r="27" spans="2:12" ht="4.5" hidden="1"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4" customHeight="1" x14ac:dyDescent="0.2">
      <c r="B29" s="2503" t="s">
        <v>2200</v>
      </c>
      <c r="C29" s="2503"/>
      <c r="D29" s="2504"/>
      <c r="E29" s="2504"/>
      <c r="F29" s="2504"/>
      <c r="G29" s="2504"/>
      <c r="H29" s="2504"/>
      <c r="I29" s="2504"/>
      <c r="J29" s="2504"/>
      <c r="K29" s="2504"/>
      <c r="L29" s="1379"/>
    </row>
    <row r="30" spans="2:12" ht="15" customHeight="1" x14ac:dyDescent="0.2">
      <c r="B30" s="1400"/>
      <c r="C30" s="1400"/>
      <c r="D30" s="322"/>
      <c r="E30" s="322"/>
      <c r="F30" s="322"/>
      <c r="G30" s="1381"/>
      <c r="H30" s="322"/>
      <c r="I30" s="1381"/>
      <c r="J30" s="322"/>
      <c r="K30" s="322"/>
      <c r="L30" s="1379"/>
    </row>
    <row r="31" spans="2:12" s="322" customFormat="1" ht="15" customHeight="1" x14ac:dyDescent="0.2">
      <c r="B31" s="1401" t="s">
        <v>1845</v>
      </c>
      <c r="C31" s="1401"/>
      <c r="D31" s="1376"/>
      <c r="E31" s="1377"/>
      <c r="F31" s="1377"/>
      <c r="G31" s="1378"/>
      <c r="H31" s="1377"/>
      <c r="I31" s="1378"/>
      <c r="J31" s="1377"/>
      <c r="K31" s="1377"/>
      <c r="L31" s="1379"/>
    </row>
    <row r="32" spans="2:12" s="322" customFormat="1" ht="44.25" customHeight="1" x14ac:dyDescent="0.2">
      <c r="B32" s="2503" t="s">
        <v>2192</v>
      </c>
      <c r="C32" s="2503"/>
      <c r="D32" s="2504"/>
      <c r="E32" s="2504"/>
      <c r="F32" s="2504"/>
      <c r="G32" s="2504"/>
      <c r="H32" s="2504"/>
      <c r="I32" s="2504"/>
      <c r="J32" s="2504"/>
      <c r="K32" s="2504"/>
      <c r="L32" s="1379"/>
    </row>
    <row r="33" spans="1:13" s="322" customFormat="1" ht="4.5" customHeight="1" x14ac:dyDescent="0.2">
      <c r="B33" s="1400"/>
      <c r="C33" s="1400"/>
      <c r="G33" s="1381"/>
      <c r="I33" s="1381"/>
      <c r="L33" s="1379"/>
    </row>
    <row r="34" spans="1:13" s="322" customFormat="1" ht="1.5" customHeigh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1847</v>
      </c>
      <c r="C38" s="1418"/>
    </row>
    <row r="39" spans="1:13" ht="9.6" customHeight="1" x14ac:dyDescent="0.2">
      <c r="B39" s="1298" t="s">
        <v>1348</v>
      </c>
      <c r="C39" s="1298"/>
      <c r="M39" s="1419"/>
    </row>
    <row r="40" spans="1:13" ht="12.6" customHeight="1" x14ac:dyDescent="0.2">
      <c r="B40" s="1418" t="s">
        <v>1848</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B29" sqref="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Arthur CUSD 305</v>
      </c>
      <c r="C1" s="2482"/>
      <c r="D1" s="2482"/>
      <c r="E1" s="2482"/>
      <c r="F1" s="2482"/>
      <c r="G1" s="2482"/>
      <c r="H1" s="2482"/>
      <c r="I1" s="2482"/>
      <c r="J1" s="2482"/>
      <c r="K1" s="2482"/>
      <c r="L1" s="1372"/>
      <c r="M1" s="1372"/>
    </row>
    <row r="2" spans="1:13" ht="12" customHeight="1" x14ac:dyDescent="0.2">
      <c r="B2" s="2484">
        <f>'Single Audit Cover'!E7</f>
        <v>11021305026</v>
      </c>
      <c r="C2" s="2484"/>
      <c r="D2" s="2484"/>
      <c r="E2" s="2484"/>
      <c r="F2" s="2484"/>
      <c r="G2" s="2484"/>
      <c r="H2" s="2484"/>
      <c r="I2" s="2484"/>
      <c r="J2" s="2484"/>
      <c r="K2" s="2484"/>
      <c r="L2" s="1373"/>
      <c r="M2" s="1374"/>
    </row>
    <row r="3" spans="1:13" ht="10.35" customHeight="1" x14ac:dyDescent="0.2">
      <c r="B3" s="2505" t="s">
        <v>1347</v>
      </c>
      <c r="C3" s="2505"/>
      <c r="D3" s="2505"/>
      <c r="E3" s="2505"/>
      <c r="F3" s="2505"/>
      <c r="G3" s="2505"/>
      <c r="H3" s="2505"/>
      <c r="I3" s="2505"/>
      <c r="J3" s="2505"/>
      <c r="K3" s="2505"/>
      <c r="L3" s="1962"/>
      <c r="M3" s="1962"/>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6" t="s">
        <v>1363</v>
      </c>
      <c r="C7" s="2506"/>
      <c r="D7" s="2507"/>
      <c r="E7" s="2507"/>
      <c r="F7" s="2507"/>
      <c r="G7" s="2507"/>
      <c r="H7" s="2507"/>
      <c r="I7" s="2507"/>
      <c r="J7" s="2507"/>
      <c r="K7" s="250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t="s">
        <v>1951</v>
      </c>
      <c r="D10" s="1384">
        <v>2</v>
      </c>
      <c r="E10" s="322"/>
      <c r="F10" s="1385" t="s">
        <v>1362</v>
      </c>
      <c r="G10" s="1386" t="s">
        <v>2082</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7.75" customHeight="1" x14ac:dyDescent="0.2">
      <c r="B14" s="2504" t="s">
        <v>2199</v>
      </c>
      <c r="C14" s="2504"/>
      <c r="D14" s="2504"/>
      <c r="E14" s="2504"/>
      <c r="F14" s="2504"/>
      <c r="G14" s="2504"/>
      <c r="H14" s="2504"/>
      <c r="I14" s="2504"/>
      <c r="J14" s="2504"/>
      <c r="K14" s="250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27.75" customHeight="1" x14ac:dyDescent="0.2">
      <c r="B17" s="2504" t="s">
        <v>2193</v>
      </c>
      <c r="C17" s="2504"/>
      <c r="D17" s="2504"/>
      <c r="E17" s="2504"/>
      <c r="F17" s="2504"/>
      <c r="G17" s="2504"/>
      <c r="H17" s="2504"/>
      <c r="I17" s="2504"/>
      <c r="J17" s="2504"/>
      <c r="K17" s="2504"/>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08" t="s">
        <v>2194</v>
      </c>
      <c r="C20" s="2508"/>
      <c r="D20" s="2504"/>
      <c r="E20" s="2504"/>
      <c r="F20" s="2504"/>
      <c r="G20" s="2504"/>
      <c r="H20" s="2504"/>
      <c r="I20" s="2504"/>
      <c r="J20" s="2504"/>
      <c r="K20" s="250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4" t="s">
        <v>2195</v>
      </c>
      <c r="C23" s="2504"/>
      <c r="D23" s="2504"/>
      <c r="E23" s="2504"/>
      <c r="F23" s="2504"/>
      <c r="G23" s="2504"/>
      <c r="H23" s="2504"/>
      <c r="I23" s="2504"/>
      <c r="J23" s="2504"/>
      <c r="K23" s="250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4" t="s">
        <v>2196</v>
      </c>
      <c r="C26" s="2504"/>
      <c r="D26" s="2504"/>
      <c r="E26" s="2504"/>
      <c r="F26" s="2504"/>
      <c r="G26" s="2504"/>
      <c r="H26" s="2504"/>
      <c r="I26" s="2504"/>
      <c r="J26" s="2504"/>
      <c r="K26" s="250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3" t="s">
        <v>2197</v>
      </c>
      <c r="C29" s="2503"/>
      <c r="D29" s="2504"/>
      <c r="E29" s="2504"/>
      <c r="F29" s="2504"/>
      <c r="G29" s="2504"/>
      <c r="H29" s="2504"/>
      <c r="I29" s="2504"/>
      <c r="J29" s="2504"/>
      <c r="K29" s="250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1845</v>
      </c>
      <c r="C31" s="1401"/>
      <c r="D31" s="1376"/>
      <c r="E31" s="1377"/>
      <c r="F31" s="1377"/>
      <c r="G31" s="1378"/>
      <c r="H31" s="1377"/>
      <c r="I31" s="1378"/>
      <c r="J31" s="1377"/>
      <c r="K31" s="1377"/>
      <c r="L31" s="1379"/>
    </row>
    <row r="32" spans="2:12" s="322" customFormat="1" ht="44.25" customHeight="1" x14ac:dyDescent="0.2">
      <c r="B32" s="2503" t="s">
        <v>2198</v>
      </c>
      <c r="C32" s="2503"/>
      <c r="D32" s="2504"/>
      <c r="E32" s="2504"/>
      <c r="F32" s="2504"/>
      <c r="G32" s="2504"/>
      <c r="H32" s="2504"/>
      <c r="I32" s="2504"/>
      <c r="J32" s="2504"/>
      <c r="K32" s="250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1847</v>
      </c>
      <c r="C38" s="1418"/>
    </row>
    <row r="39" spans="1:13" ht="9.6" customHeight="1" x14ac:dyDescent="0.2">
      <c r="B39" s="1298" t="s">
        <v>1348</v>
      </c>
      <c r="C39" s="1298"/>
      <c r="M39" s="1419"/>
    </row>
    <row r="40" spans="1:13" ht="12.6" customHeight="1" x14ac:dyDescent="0.2">
      <c r="B40" s="1418" t="s">
        <v>1848</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B29" sqref="B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Arthur CUSD 305</v>
      </c>
      <c r="C1" s="2482"/>
      <c r="D1" s="2482"/>
      <c r="E1" s="2482"/>
      <c r="F1" s="2482"/>
      <c r="G1" s="2482"/>
      <c r="H1" s="2482"/>
      <c r="I1" s="2482"/>
      <c r="J1" s="2482"/>
      <c r="K1" s="2482"/>
      <c r="L1" s="1372"/>
      <c r="M1" s="1372"/>
    </row>
    <row r="2" spans="1:13" ht="12" customHeight="1" x14ac:dyDescent="0.2">
      <c r="B2" s="2484">
        <f>'Single Audit Cover'!E7</f>
        <v>11021305026</v>
      </c>
      <c r="C2" s="2484"/>
      <c r="D2" s="2484"/>
      <c r="E2" s="2484"/>
      <c r="F2" s="2484"/>
      <c r="G2" s="2484"/>
      <c r="H2" s="2484"/>
      <c r="I2" s="2484"/>
      <c r="J2" s="2484"/>
      <c r="K2" s="2484"/>
      <c r="L2" s="1373"/>
      <c r="M2" s="1374"/>
    </row>
    <row r="3" spans="1:13" ht="10.35" customHeight="1" x14ac:dyDescent="0.2">
      <c r="B3" s="2505" t="s">
        <v>1347</v>
      </c>
      <c r="C3" s="2505"/>
      <c r="D3" s="2505"/>
      <c r="E3" s="2505"/>
      <c r="F3" s="2505"/>
      <c r="G3" s="2505"/>
      <c r="H3" s="2505"/>
      <c r="I3" s="2505"/>
      <c r="J3" s="2505"/>
      <c r="K3" s="2505"/>
      <c r="L3" s="1962"/>
      <c r="M3" s="1962"/>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6" t="s">
        <v>1363</v>
      </c>
      <c r="C7" s="2506"/>
      <c r="D7" s="2507"/>
      <c r="E7" s="2507"/>
      <c r="F7" s="2507"/>
      <c r="G7" s="2507"/>
      <c r="H7" s="2507"/>
      <c r="I7" s="2507"/>
      <c r="J7" s="2507"/>
      <c r="K7" s="250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1843</v>
      </c>
      <c r="C10" s="1383" t="s">
        <v>1951</v>
      </c>
      <c r="D10" s="1384">
        <v>3</v>
      </c>
      <c r="E10" s="322"/>
      <c r="F10" s="1385" t="s">
        <v>1362</v>
      </c>
      <c r="G10" s="1386" t="s">
        <v>2082</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4" t="s">
        <v>2184</v>
      </c>
      <c r="C14" s="2504"/>
      <c r="D14" s="2504"/>
      <c r="E14" s="2504"/>
      <c r="F14" s="2504"/>
      <c r="G14" s="2504"/>
      <c r="H14" s="2504"/>
      <c r="I14" s="2504"/>
      <c r="J14" s="2504"/>
      <c r="K14" s="250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4" t="s">
        <v>2208</v>
      </c>
      <c r="C17" s="2504"/>
      <c r="D17" s="2504"/>
      <c r="E17" s="2504"/>
      <c r="F17" s="2504"/>
      <c r="G17" s="2504"/>
      <c r="H17" s="2504"/>
      <c r="I17" s="2504"/>
      <c r="J17" s="2504"/>
      <c r="K17" s="2504"/>
      <c r="L17" s="1379"/>
    </row>
    <row r="18" spans="2:12" ht="4.5" customHeight="1" x14ac:dyDescent="0.2">
      <c r="B18" s="1396"/>
      <c r="C18" s="1396"/>
      <c r="L18" s="1379"/>
    </row>
    <row r="19" spans="2:12" s="1280" customFormat="1" ht="13.5" customHeight="1" x14ac:dyDescent="0.2">
      <c r="B19" s="1391" t="s">
        <v>1844</v>
      </c>
      <c r="C19" s="1391"/>
      <c r="D19" s="1392"/>
      <c r="E19" s="1392"/>
      <c r="F19" s="1392"/>
      <c r="G19" s="1393"/>
      <c r="H19" s="1392"/>
      <c r="I19" s="1393"/>
      <c r="J19" s="1392"/>
      <c r="K19" s="1392"/>
      <c r="L19" s="1394"/>
    </row>
    <row r="20" spans="2:12" ht="45.75" customHeight="1" x14ac:dyDescent="0.2">
      <c r="B20" s="2508" t="s">
        <v>2185</v>
      </c>
      <c r="C20" s="2508"/>
      <c r="D20" s="2504"/>
      <c r="E20" s="2504"/>
      <c r="F20" s="2504"/>
      <c r="G20" s="2504"/>
      <c r="H20" s="2504"/>
      <c r="I20" s="2504"/>
      <c r="J20" s="2504"/>
      <c r="K20" s="250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4" t="s">
        <v>2186</v>
      </c>
      <c r="C23" s="2504"/>
      <c r="D23" s="2504"/>
      <c r="E23" s="2504"/>
      <c r="F23" s="2504"/>
      <c r="G23" s="2504"/>
      <c r="H23" s="2504"/>
      <c r="I23" s="2504"/>
      <c r="J23" s="2504"/>
      <c r="K23" s="250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4" t="s">
        <v>2209</v>
      </c>
      <c r="C26" s="2504"/>
      <c r="D26" s="2504"/>
      <c r="E26" s="2504"/>
      <c r="F26" s="2504"/>
      <c r="G26" s="2504"/>
      <c r="H26" s="2504"/>
      <c r="I26" s="2504"/>
      <c r="J26" s="2504"/>
      <c r="K26" s="250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19.5" customHeight="1" x14ac:dyDescent="0.2">
      <c r="B29" s="2503" t="s">
        <v>2187</v>
      </c>
      <c r="C29" s="2503"/>
      <c r="D29" s="2504"/>
      <c r="E29" s="2504"/>
      <c r="F29" s="2504"/>
      <c r="G29" s="2504"/>
      <c r="H29" s="2504"/>
      <c r="I29" s="2504"/>
      <c r="J29" s="2504"/>
      <c r="K29" s="250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1845</v>
      </c>
      <c r="C31" s="1401"/>
      <c r="D31" s="1376"/>
      <c r="E31" s="1377"/>
      <c r="F31" s="1377"/>
      <c r="G31" s="1378"/>
      <c r="H31" s="1377"/>
      <c r="I31" s="1378"/>
      <c r="J31" s="1377"/>
      <c r="K31" s="1377"/>
      <c r="L31" s="1379"/>
    </row>
    <row r="32" spans="2:12" s="322" customFormat="1" ht="60" customHeight="1" x14ac:dyDescent="0.2">
      <c r="B32" s="2503" t="s">
        <v>2210</v>
      </c>
      <c r="C32" s="2503"/>
      <c r="D32" s="2504"/>
      <c r="E32" s="2504"/>
      <c r="F32" s="2504"/>
      <c r="G32" s="2504"/>
      <c r="H32" s="2504"/>
      <c r="I32" s="2504"/>
      <c r="J32" s="2504"/>
      <c r="K32" s="250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1846</v>
      </c>
      <c r="C35" s="1417"/>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8" t="s">
        <v>1847</v>
      </c>
      <c r="C38" s="1418"/>
    </row>
    <row r="39" spans="1:13" ht="9.6" customHeight="1" x14ac:dyDescent="0.2">
      <c r="B39" s="1298" t="s">
        <v>1348</v>
      </c>
      <c r="C39" s="1298"/>
      <c r="M39" s="1419"/>
    </row>
    <row r="40" spans="1:13" ht="12.6" customHeight="1" x14ac:dyDescent="0.2">
      <c r="B40" s="1418" t="s">
        <v>1848</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B29" sqref="B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Arthur CUSD 305</v>
      </c>
      <c r="C1" s="2512"/>
      <c r="D1" s="2512"/>
      <c r="E1" s="2512"/>
      <c r="F1" s="2512"/>
      <c r="G1" s="2512"/>
      <c r="H1" s="2512"/>
      <c r="I1" s="2512"/>
      <c r="J1" s="2512"/>
      <c r="K1" s="2512"/>
      <c r="L1" s="1460"/>
    </row>
    <row r="2" spans="1:12" ht="12.75" customHeight="1" x14ac:dyDescent="0.2">
      <c r="B2" s="2513">
        <f>'Single Audit Cover'!E7</f>
        <v>11021305026</v>
      </c>
      <c r="C2" s="2513"/>
      <c r="D2" s="2513"/>
      <c r="E2" s="2513"/>
      <c r="F2" s="2513"/>
      <c r="G2" s="2513"/>
      <c r="H2" s="2513"/>
      <c r="I2" s="2513"/>
      <c r="J2" s="2513"/>
      <c r="K2" s="2513"/>
      <c r="L2" s="1461"/>
    </row>
    <row r="3" spans="1:12" ht="12.75" customHeight="1" x14ac:dyDescent="0.2">
      <c r="B3" s="2505" t="s">
        <v>1347</v>
      </c>
      <c r="C3" s="2505"/>
      <c r="D3" s="2505"/>
      <c r="E3" s="2505"/>
      <c r="F3" s="2505"/>
      <c r="G3" s="2505"/>
      <c r="H3" s="2505"/>
      <c r="I3" s="2505"/>
      <c r="J3" s="2505"/>
      <c r="K3" s="2505"/>
      <c r="L3" s="1963"/>
    </row>
    <row r="4" spans="1:12" ht="12.75" customHeight="1" x14ac:dyDescent="0.2">
      <c r="B4" s="2505" t="str">
        <f>'Single Audit Cover'!A4</f>
        <v>Year Ending June 30, 2018</v>
      </c>
      <c r="C4" s="2505"/>
      <c r="D4" s="2505"/>
      <c r="E4" s="2505"/>
      <c r="F4" s="2505"/>
      <c r="G4" s="2505"/>
      <c r="H4" s="2505"/>
      <c r="I4" s="2505"/>
      <c r="J4" s="2505"/>
      <c r="K4" s="2505"/>
      <c r="L4" s="1963"/>
    </row>
    <row r="5" spans="1:12" ht="5.25" customHeight="1" x14ac:dyDescent="0.2">
      <c r="B5" s="1258" t="s">
        <v>1231</v>
      </c>
      <c r="C5" s="1258"/>
      <c r="L5" s="322"/>
    </row>
    <row r="6" spans="1:12" ht="30.75" customHeight="1" x14ac:dyDescent="0.2">
      <c r="A6" s="322"/>
      <c r="B6" s="2514" t="s">
        <v>1375</v>
      </c>
      <c r="C6" s="2514"/>
      <c r="D6" s="2514"/>
      <c r="E6" s="2514"/>
      <c r="F6" s="2514"/>
      <c r="G6" s="2514"/>
      <c r="H6" s="2514"/>
      <c r="I6" s="2514"/>
      <c r="J6" s="2514"/>
      <c r="K6" s="2514"/>
      <c r="L6" s="322"/>
    </row>
    <row r="7" spans="1:12" ht="4.5" customHeight="1" x14ac:dyDescent="0.2">
      <c r="B7" s="1377"/>
      <c r="C7" s="1377"/>
      <c r="D7" s="1377"/>
      <c r="E7" s="1377"/>
      <c r="F7" s="1377"/>
      <c r="G7" s="1378"/>
      <c r="H7" s="1377"/>
      <c r="I7" s="1378"/>
      <c r="J7" s="1377"/>
      <c r="K7" s="1377"/>
      <c r="L7" s="322"/>
    </row>
    <row r="8" spans="1:12" ht="13.5" customHeight="1" x14ac:dyDescent="0.2">
      <c r="B8" s="1385" t="s">
        <v>1857</v>
      </c>
      <c r="C8" s="1462" t="s">
        <v>1951</v>
      </c>
      <c r="D8" s="1463"/>
      <c r="E8" s="322"/>
      <c r="F8" s="1382" t="s">
        <v>1362</v>
      </c>
      <c r="G8" s="1464"/>
      <c r="H8" s="1465" t="s">
        <v>1374</v>
      </c>
      <c r="I8" s="1464"/>
      <c r="J8" s="1466" t="s">
        <v>1373</v>
      </c>
      <c r="L8" s="322"/>
    </row>
    <row r="9" spans="1:12" ht="13.5" customHeight="1" x14ac:dyDescent="0.2">
      <c r="D9" s="322"/>
      <c r="E9" s="322"/>
      <c r="F9" s="322"/>
      <c r="G9" s="1381"/>
      <c r="H9" s="322"/>
      <c r="I9" s="1467" t="s">
        <v>1359</v>
      </c>
      <c r="J9" s="322"/>
      <c r="K9" s="1468"/>
      <c r="L9" s="322"/>
    </row>
    <row r="10" spans="1:12" ht="4.5" customHeight="1" x14ac:dyDescent="0.2">
      <c r="B10" s="1469"/>
      <c r="C10" s="1469"/>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9"/>
      <c r="G12" s="2489"/>
      <c r="H12" s="2489"/>
      <c r="I12" s="2489"/>
      <c r="J12" s="2489"/>
      <c r="K12" s="248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9"/>
      <c r="E14" s="2509"/>
      <c r="F14" s="2509"/>
      <c r="H14" s="1470" t="s">
        <v>1370</v>
      </c>
      <c r="I14" s="2510"/>
      <c r="J14" s="2510"/>
      <c r="K14" s="2510"/>
      <c r="L14" s="322"/>
    </row>
    <row r="15" spans="1:12" ht="9.4" customHeight="1" x14ac:dyDescent="0.2">
      <c r="B15" s="1385"/>
      <c r="C15" s="1385"/>
      <c r="D15" s="1371"/>
      <c r="E15" s="1258"/>
      <c r="F15" s="1258"/>
      <c r="G15" s="1284"/>
      <c r="H15" s="1258"/>
      <c r="I15" s="1471"/>
      <c r="J15" s="1292"/>
      <c r="K15" s="1289"/>
      <c r="L15" s="322"/>
    </row>
    <row r="16" spans="1:12" ht="13.5" customHeight="1" x14ac:dyDescent="0.2">
      <c r="B16" s="1385" t="s">
        <v>1369</v>
      </c>
      <c r="C16" s="1385"/>
      <c r="D16" s="2510"/>
      <c r="E16" s="2510"/>
      <c r="F16" s="2510"/>
      <c r="G16" s="2510"/>
      <c r="H16" s="2510"/>
      <c r="I16" s="2510"/>
      <c r="J16" s="2510"/>
      <c r="K16" s="2510"/>
      <c r="L16" s="322"/>
    </row>
    <row r="17" spans="2:12" ht="13.5" customHeight="1" x14ac:dyDescent="0.2">
      <c r="B17" s="1385" t="s">
        <v>1368</v>
      </c>
      <c r="C17" s="1385"/>
      <c r="D17" s="2511"/>
      <c r="E17" s="2511"/>
      <c r="F17" s="2511"/>
      <c r="G17" s="2511"/>
      <c r="H17" s="2511"/>
      <c r="I17" s="2511"/>
      <c r="J17" s="2511"/>
      <c r="K17" s="251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504" t="s">
        <v>2201</v>
      </c>
      <c r="C20" s="2504"/>
      <c r="D20" s="2504"/>
      <c r="E20" s="2504"/>
      <c r="F20" s="2504"/>
      <c r="G20" s="2504"/>
      <c r="H20" s="2504"/>
      <c r="I20" s="2504"/>
      <c r="J20" s="2504"/>
      <c r="K20" s="2504"/>
      <c r="L20" s="1430"/>
    </row>
    <row r="21" spans="2:12" ht="4.5" customHeight="1" x14ac:dyDescent="0.2">
      <c r="B21" s="1474"/>
      <c r="C21" s="1474"/>
      <c r="D21" s="1475"/>
      <c r="E21" s="1475"/>
      <c r="F21" s="1475"/>
      <c r="G21" s="1426"/>
      <c r="H21" s="1475"/>
      <c r="I21" s="1426"/>
      <c r="J21" s="1475"/>
      <c r="K21" s="1475"/>
      <c r="L21" s="1430"/>
    </row>
    <row r="22" spans="2:12" ht="13.35" customHeight="1" x14ac:dyDescent="0.2">
      <c r="B22" s="1472" t="s">
        <v>1858</v>
      </c>
      <c r="C22" s="1472"/>
      <c r="D22" s="322"/>
      <c r="E22" s="322"/>
      <c r="F22" s="322"/>
      <c r="G22" s="1381"/>
      <c r="H22" s="322"/>
      <c r="I22" s="1381"/>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4"/>
      <c r="C24" s="1474"/>
      <c r="D24" s="1425"/>
      <c r="E24" s="1425"/>
      <c r="F24" s="1425"/>
      <c r="G24" s="1426"/>
      <c r="H24" s="1425"/>
      <c r="I24" s="1426"/>
      <c r="J24" s="1425"/>
      <c r="K24" s="1425"/>
      <c r="L24" s="322"/>
    </row>
    <row r="25" spans="2:12" ht="13.5" customHeight="1" x14ac:dyDescent="0.2">
      <c r="B25" s="1472" t="s">
        <v>1859</v>
      </c>
      <c r="C25" s="1472"/>
      <c r="D25" s="322"/>
      <c r="E25" s="322"/>
      <c r="F25" s="322"/>
      <c r="G25" s="1381"/>
      <c r="H25" s="322"/>
      <c r="I25" s="1381"/>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76"/>
      <c r="C27" s="1476"/>
      <c r="D27" s="1476"/>
      <c r="E27" s="1425"/>
      <c r="F27" s="1425"/>
      <c r="G27" s="1426"/>
      <c r="H27" s="1425"/>
      <c r="I27" s="1426"/>
      <c r="J27" s="1425"/>
      <c r="K27" s="1425"/>
      <c r="L27" s="322"/>
    </row>
    <row r="28" spans="2:12" ht="13.5" customHeight="1" x14ac:dyDescent="0.2">
      <c r="B28" s="1472" t="s">
        <v>1860</v>
      </c>
      <c r="C28" s="1472"/>
      <c r="D28" s="322"/>
      <c r="E28" s="322"/>
      <c r="F28" s="322"/>
      <c r="G28" s="1381"/>
      <c r="H28" s="322"/>
      <c r="I28" s="1381"/>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4"/>
      <c r="C30" s="1474"/>
      <c r="D30" s="1425"/>
      <c r="E30" s="1425"/>
      <c r="F30" s="1425"/>
      <c r="G30" s="1426"/>
      <c r="H30" s="1425"/>
      <c r="I30" s="1426"/>
      <c r="J30" s="1425"/>
      <c r="K30" s="1425"/>
      <c r="L30" s="322"/>
    </row>
    <row r="31" spans="2:12" ht="13.5" customHeight="1" x14ac:dyDescent="0.2">
      <c r="B31" s="1472" t="s">
        <v>1366</v>
      </c>
      <c r="C31" s="1472"/>
      <c r="D31" s="322"/>
      <c r="E31" s="322"/>
      <c r="F31" s="322"/>
      <c r="G31" s="1381"/>
      <c r="H31" s="322"/>
      <c r="I31" s="1381"/>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4"/>
      <c r="C33" s="1474"/>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4"/>
      <c r="C36" s="1474"/>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1861</v>
      </c>
      <c r="C40" s="1401"/>
      <c r="D40" s="1376"/>
      <c r="E40" s="1377"/>
      <c r="F40" s="1377"/>
      <c r="G40" s="1378"/>
      <c r="H40" s="1377"/>
      <c r="I40" s="1378"/>
      <c r="J40" s="1377"/>
      <c r="K40" s="1377"/>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0"/>
      <c r="C42" s="1400"/>
      <c r="G42" s="1381"/>
      <c r="I42" s="1381"/>
    </row>
    <row r="43" spans="2:12" s="322" customFormat="1" ht="13.5" customHeight="1" x14ac:dyDescent="0.2">
      <c r="B43" s="1477" t="s">
        <v>1353</v>
      </c>
      <c r="C43" s="1478"/>
      <c r="D43" s="1402"/>
      <c r="E43" s="1402"/>
      <c r="F43" s="1402"/>
      <c r="G43" s="1403"/>
      <c r="H43" s="1402"/>
      <c r="I43" s="1403"/>
      <c r="J43" s="1402"/>
      <c r="K43" s="1404"/>
      <c r="L43" s="1479"/>
    </row>
    <row r="44" spans="2:12" s="322" customFormat="1" ht="13.5" customHeight="1" x14ac:dyDescent="0.2">
      <c r="B44" s="1405" t="s">
        <v>1352</v>
      </c>
      <c r="C44" s="1406"/>
      <c r="D44" s="1480"/>
      <c r="E44" s="1407"/>
      <c r="F44" s="1411" t="s">
        <v>1351</v>
      </c>
      <c r="G44" s="1409"/>
      <c r="H44" s="1408"/>
      <c r="I44" s="1409"/>
      <c r="J44" s="1481"/>
      <c r="K44" s="1482"/>
      <c r="L44" s="1479"/>
    </row>
    <row r="45" spans="2:12" s="322" customFormat="1" ht="13.5" customHeight="1" x14ac:dyDescent="0.2">
      <c r="B45" s="1405" t="s">
        <v>1350</v>
      </c>
      <c r="C45" s="1406"/>
      <c r="D45" s="1481"/>
      <c r="E45" s="1408"/>
      <c r="F45" s="1411" t="s">
        <v>1349</v>
      </c>
      <c r="G45" s="1409"/>
      <c r="H45" s="1408"/>
      <c r="I45" s="1409"/>
      <c r="J45" s="1481"/>
      <c r="K45" s="1482"/>
      <c r="L45" s="1479"/>
    </row>
    <row r="46" spans="2:12" s="322" customFormat="1" ht="13.5" customHeight="1" x14ac:dyDescent="0.2">
      <c r="B46" s="1412"/>
      <c r="C46" s="1410"/>
      <c r="D46" s="1410"/>
      <c r="E46" s="1410"/>
      <c r="F46" s="1410"/>
      <c r="G46" s="1413"/>
      <c r="H46" s="1410"/>
      <c r="I46" s="1413"/>
      <c r="J46" s="1410"/>
      <c r="K46" s="1414"/>
      <c r="L46" s="1479"/>
    </row>
    <row r="47" spans="2:12" ht="7.5" customHeight="1" x14ac:dyDescent="0.25">
      <c r="B47" s="1483"/>
      <c r="C47" s="1483"/>
      <c r="D47" s="1484"/>
      <c r="E47" s="1484"/>
      <c r="F47" s="1484"/>
      <c r="G47" s="1485"/>
      <c r="H47" s="1484"/>
      <c r="I47" s="1485"/>
      <c r="J47" s="1484"/>
      <c r="K47" s="1484"/>
    </row>
    <row r="48" spans="2:12" ht="13.5" customHeight="1" x14ac:dyDescent="0.2">
      <c r="B48" s="1417" t="s">
        <v>1862</v>
      </c>
      <c r="C48" s="1417"/>
      <c r="D48" s="322"/>
      <c r="E48" s="322"/>
      <c r="F48" s="322"/>
    </row>
    <row r="49" spans="2:3" s="317" customFormat="1" ht="10.5" customHeight="1" x14ac:dyDescent="0.2">
      <c r="B49" s="1418" t="s">
        <v>1863</v>
      </c>
      <c r="C49" s="1418"/>
    </row>
    <row r="50" spans="2:3" s="317" customFormat="1" ht="11.1" customHeight="1" x14ac:dyDescent="0.2">
      <c r="B50" s="1418" t="s">
        <v>1864</v>
      </c>
      <c r="C50" s="1418"/>
    </row>
    <row r="51" spans="2:3" s="317" customFormat="1" ht="11.1" customHeight="1" x14ac:dyDescent="0.2">
      <c r="B51" s="1418" t="s">
        <v>1865</v>
      </c>
      <c r="C51" s="1418"/>
    </row>
    <row r="52" spans="2:3" s="317" customFormat="1" ht="11.1" customHeight="1" x14ac:dyDescent="0.2">
      <c r="B52" s="1418" t="s">
        <v>1866</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2"/>
  <sheetViews>
    <sheetView showGridLines="0" zoomScaleNormal="100" workbookViewId="0">
      <selection activeCell="B29" sqref="B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2" t="str">
        <f>'Single Audit Cover'!A7</f>
        <v>Arthur CUSD 305</v>
      </c>
      <c r="C1" s="2482"/>
      <c r="D1" s="2482"/>
      <c r="E1" s="1486"/>
    </row>
    <row r="2" spans="2:5" s="1280" customFormat="1" ht="12.75" customHeight="1" x14ac:dyDescent="0.2">
      <c r="B2" s="2484">
        <f>'Single Audit Cover'!E7</f>
        <v>11021305026</v>
      </c>
      <c r="C2" s="2484"/>
      <c r="D2" s="2484"/>
      <c r="E2" s="1487"/>
    </row>
    <row r="3" spans="2:5" ht="12.75" customHeight="1" x14ac:dyDescent="0.2">
      <c r="B3" s="2505" t="s">
        <v>1867</v>
      </c>
      <c r="C3" s="2505"/>
      <c r="D3" s="2505"/>
      <c r="E3" s="1272"/>
    </row>
    <row r="4" spans="2:5" s="1280" customFormat="1" ht="12.75" customHeight="1" x14ac:dyDescent="0.2">
      <c r="B4" s="2515" t="str">
        <f>'Single Audit Cover'!A4</f>
        <v>Year Ending June 30, 2018</v>
      </c>
      <c r="C4" s="2515"/>
      <c r="D4" s="2515"/>
      <c r="E4" s="1488"/>
    </row>
    <row r="5" spans="2:5" s="1280" customFormat="1" ht="40.15" customHeight="1" x14ac:dyDescent="0.2">
      <c r="B5" s="1489" t="s">
        <v>1868</v>
      </c>
      <c r="C5" s="328"/>
      <c r="D5" s="328"/>
      <c r="E5" s="328"/>
    </row>
    <row r="6" spans="2:5" s="1280" customFormat="1" ht="13.5" customHeight="1" x14ac:dyDescent="0.2">
      <c r="B6" s="1490" t="s">
        <v>1382</v>
      </c>
      <c r="C6" s="1490" t="s">
        <v>1381</v>
      </c>
      <c r="D6" s="1490" t="s">
        <v>1869</v>
      </c>
    </row>
    <row r="7" spans="2:5" ht="13.5" customHeight="1" x14ac:dyDescent="0.2">
      <c r="B7" s="1491"/>
      <c r="C7" s="324"/>
      <c r="D7" s="324"/>
      <c r="E7" s="324"/>
    </row>
    <row r="8" spans="2:5" ht="45.75" customHeight="1" x14ac:dyDescent="0.2">
      <c r="B8" s="1964" t="s">
        <v>2202</v>
      </c>
      <c r="C8" s="1965" t="s">
        <v>2203</v>
      </c>
      <c r="D8" s="1965" t="s">
        <v>2204</v>
      </c>
      <c r="E8" s="324"/>
    </row>
    <row r="9" spans="2:5" s="1969" customFormat="1" ht="72" customHeight="1" x14ac:dyDescent="0.2">
      <c r="B9" s="1967" t="s">
        <v>2205</v>
      </c>
      <c r="C9" s="1966" t="s">
        <v>2206</v>
      </c>
      <c r="D9" s="1966" t="s">
        <v>2207</v>
      </c>
      <c r="E9" s="1968"/>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2"/>
      <c r="C21" s="323"/>
      <c r="D21" s="323"/>
      <c r="E21" s="323"/>
    </row>
    <row r="22" spans="2:5" ht="13.5" customHeight="1" x14ac:dyDescent="0.2">
      <c r="B22" s="1493"/>
      <c r="C22" s="323"/>
      <c r="D22" s="323"/>
      <c r="E22" s="323"/>
    </row>
    <row r="23" spans="2:5" ht="13.5" customHeight="1" x14ac:dyDescent="0.2">
      <c r="B23" s="1494"/>
      <c r="C23" s="323"/>
      <c r="D23" s="323"/>
      <c r="E23" s="323"/>
    </row>
    <row r="24" spans="2:5" ht="13.5" customHeight="1" x14ac:dyDescent="0.2">
      <c r="B24" s="1493"/>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3"/>
      <c r="C27" s="323"/>
      <c r="D27" s="323"/>
      <c r="E27" s="323"/>
    </row>
    <row r="28" spans="2:5" ht="13.5" customHeight="1" x14ac:dyDescent="0.2">
      <c r="B28" s="1494"/>
      <c r="C28" s="323"/>
      <c r="D28" s="323"/>
      <c r="E28" s="323"/>
    </row>
    <row r="29" spans="2:5" ht="13.5" customHeight="1" x14ac:dyDescent="0.2">
      <c r="B29" s="1493"/>
      <c r="C29" s="323"/>
      <c r="D29" s="323"/>
      <c r="E29" s="323"/>
    </row>
    <row r="30" spans="2:5" ht="13.5" customHeight="1" x14ac:dyDescent="0.2">
      <c r="B30" s="1495"/>
      <c r="C30" s="323"/>
      <c r="D30" s="323"/>
      <c r="E30" s="323"/>
    </row>
    <row r="31" spans="2:5" ht="13.5" customHeight="1" x14ac:dyDescent="0.2">
      <c r="B31" s="1496"/>
      <c r="C31" s="323"/>
      <c r="D31" s="323"/>
      <c r="E31" s="323"/>
    </row>
    <row r="32" spans="2:5" ht="12.75" customHeight="1" x14ac:dyDescent="0.2">
      <c r="B32" s="1497"/>
      <c r="C32" s="1498"/>
      <c r="D32" s="1498"/>
      <c r="E32" s="323"/>
    </row>
    <row r="33" spans="2:5" ht="12.2" customHeight="1" x14ac:dyDescent="0.2">
      <c r="B33" s="1255" t="s">
        <v>1380</v>
      </c>
      <c r="C33" s="322"/>
    </row>
    <row r="34" spans="2:5" ht="12.2" customHeight="1" x14ac:dyDescent="0.2">
      <c r="B34" s="1499" t="s">
        <v>1870</v>
      </c>
    </row>
    <row r="35" spans="2:5" ht="12.2" customHeight="1" x14ac:dyDescent="0.2">
      <c r="B35" s="1499" t="s">
        <v>1871</v>
      </c>
    </row>
    <row r="36" spans="2:5" ht="12.2" customHeight="1" x14ac:dyDescent="0.2">
      <c r="B36" s="1500" t="s">
        <v>1379</v>
      </c>
    </row>
    <row r="37" spans="2:5" ht="12.2" customHeight="1" x14ac:dyDescent="0.2">
      <c r="B37" s="1500" t="s">
        <v>1378</v>
      </c>
    </row>
    <row r="38" spans="2:5" ht="12.2" customHeight="1" x14ac:dyDescent="0.2">
      <c r="B38" s="1500" t="s">
        <v>1377</v>
      </c>
    </row>
    <row r="39" spans="2:5" ht="12.2" customHeight="1" x14ac:dyDescent="0.2">
      <c r="B39" s="1500" t="s">
        <v>1376</v>
      </c>
    </row>
    <row r="42" spans="2:5" ht="12.75" customHeight="1" x14ac:dyDescent="0.2"/>
    <row r="43" spans="2:5" ht="12.75" customHeight="1" x14ac:dyDescent="0.2">
      <c r="B43" s="1265"/>
    </row>
    <row r="44" spans="2:5" ht="12.75" customHeight="1" x14ac:dyDescent="0.2"/>
    <row r="45" spans="2:5" ht="12.75" customHeight="1" x14ac:dyDescent="0.2">
      <c r="B45" s="322"/>
      <c r="C45" s="322"/>
      <c r="D45" s="322"/>
      <c r="E45" s="322"/>
    </row>
    <row r="46" spans="2:5" ht="12.75" customHeight="1" x14ac:dyDescent="0.2">
      <c r="B46" s="322"/>
      <c r="C46" s="322"/>
      <c r="D46" s="322"/>
      <c r="E46" s="322"/>
    </row>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6" spans="2:5" x14ac:dyDescent="0.2">
      <c r="B56" s="1417"/>
    </row>
    <row r="57" spans="2:5" x14ac:dyDescent="0.2">
      <c r="B57" s="1298"/>
    </row>
    <row r="58" spans="2:5" x14ac:dyDescent="0.2">
      <c r="B58" s="1298"/>
    </row>
    <row r="59" spans="2:5" x14ac:dyDescent="0.2">
      <c r="B59" s="1418"/>
    </row>
    <row r="60" spans="2:5" x14ac:dyDescent="0.2">
      <c r="B60" s="1418"/>
    </row>
    <row r="61" spans="2:5" x14ac:dyDescent="0.2">
      <c r="B61" s="1418"/>
    </row>
    <row r="62" spans="2:5" x14ac:dyDescent="0.2">
      <c r="B62"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215617251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2.4E-2</v>
      </c>
      <c r="E10" s="356" t="s">
        <v>1062</v>
      </c>
      <c r="F10" s="355">
        <v>5.0000000000000001E-3</v>
      </c>
      <c r="G10" s="356" t="s">
        <v>1062</v>
      </c>
      <c r="H10" s="355">
        <v>2E-3</v>
      </c>
      <c r="I10" s="356" t="s">
        <v>1063</v>
      </c>
      <c r="J10" s="1747">
        <f>ROUND(D10+F10+H10,5)</f>
        <v>3.1E-2</v>
      </c>
      <c r="K10" s="222"/>
      <c r="L10" s="355">
        <v>5.0000000000000001E-4</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11605129</v>
      </c>
      <c r="E16" s="356"/>
      <c r="F16" s="1748">
        <f>SUM('Acct Summary 7-8'!C17,'Acct Summary 7-8'!D17,'Acct Summary 7-8'!F17)</f>
        <v>11224878</v>
      </c>
      <c r="G16" s="356"/>
      <c r="H16" s="1748">
        <f>SUM(D16-F16)</f>
        <v>380251</v>
      </c>
      <c r="I16" s="222"/>
      <c r="J16" s="1748">
        <f>SUM('Acct Summary 7-8'!C81,'Acct Summary 7-8'!D81,'Acct Summary 7-8'!F81,'Acct Summary 7-8'!I81)</f>
        <v>3139168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f>IF(B31="X",(J7*0.069),IF(B32="X",(J7*0.138),"Enter x in a.or b."))</f>
        <v>29755180.638000004</v>
      </c>
      <c r="I31" s="368"/>
      <c r="J31" s="222"/>
      <c r="K31" s="222"/>
      <c r="L31" s="222"/>
      <c r="M31" s="222"/>
    </row>
    <row r="32" spans="1:13" ht="13.35" customHeight="1" x14ac:dyDescent="0.2">
      <c r="B32" s="369" t="s">
        <v>2082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4246481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B29" sqref="B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Arthur CUSD 305</v>
      </c>
      <c r="E7" s="391"/>
      <c r="G7" s="252"/>
      <c r="H7" s="387"/>
      <c r="I7" s="387"/>
      <c r="J7" s="387"/>
      <c r="K7" s="387"/>
      <c r="L7" s="329"/>
      <c r="M7" s="329"/>
      <c r="N7" s="329"/>
      <c r="O7" s="329"/>
      <c r="P7" s="329"/>
    </row>
    <row r="8" spans="1:18" ht="12.75" x14ac:dyDescent="0.2">
      <c r="A8" s="329"/>
      <c r="B8" s="329"/>
      <c r="C8" s="389" t="s">
        <v>1187</v>
      </c>
      <c r="D8" s="392">
        <f>COVER!A13</f>
        <v>11021305026</v>
      </c>
      <c r="E8" s="393"/>
      <c r="G8" s="329"/>
      <c r="H8" s="329"/>
      <c r="I8" s="329"/>
      <c r="J8" s="329"/>
      <c r="K8" s="329"/>
      <c r="L8" s="329"/>
      <c r="M8" s="329"/>
      <c r="N8" s="329"/>
      <c r="O8" s="329"/>
      <c r="P8" s="329"/>
    </row>
    <row r="9" spans="1:18" ht="12.75" x14ac:dyDescent="0.2">
      <c r="A9" s="329"/>
      <c r="B9" s="329"/>
      <c r="C9" s="389" t="s">
        <v>737</v>
      </c>
      <c r="D9" s="394" t="str">
        <f>COVER!A15</f>
        <v>DOUGLAS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3139168</v>
      </c>
      <c r="I12" s="404"/>
      <c r="J12" s="404"/>
      <c r="K12" s="405">
        <f>TRUNC((H12/H13*100000),5)/100000</f>
        <v>0.27101211340000003</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11583128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-22001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11224878</v>
      </c>
      <c r="I17" s="404"/>
      <c r="J17" s="416"/>
      <c r="K17" s="405">
        <f>TRUNC((H17/H18*100000),5)/100000</f>
        <v>0.96907139409999998</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11583128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-22001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3139168</v>
      </c>
      <c r="I24" s="422"/>
      <c r="J24" s="422"/>
      <c r="K24" s="423">
        <f>TRUNC(((H24/H25*100000)/100000),2)</f>
        <v>100.67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31180.216670000002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5681514.5638499996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4246481</v>
      </c>
      <c r="I32" s="420"/>
      <c r="J32" s="420"/>
      <c r="K32" s="423">
        <f>TRUNC(100-((((H32/H33*100))*100)/100),2)</f>
        <v>85.72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29755180.638000004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1" activePane="bottomLeft" state="frozen"/>
      <selection activeCell="B29" sqref="B29"/>
      <selection pane="bottomLeft" activeCell="B29" sqref="B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75"/>
      <c r="D3" s="1576"/>
      <c r="E3" s="1576"/>
      <c r="F3" s="1576"/>
      <c r="G3" s="1576"/>
      <c r="H3" s="1576"/>
      <c r="I3" s="1576"/>
      <c r="J3" s="1576"/>
      <c r="K3" s="1576"/>
      <c r="L3" s="1576"/>
      <c r="M3" s="1577"/>
      <c r="N3" s="1578"/>
    </row>
    <row r="4" spans="1:14" ht="13.5" customHeight="1" x14ac:dyDescent="0.2">
      <c r="A4" s="463" t="s">
        <v>1750</v>
      </c>
      <c r="B4" s="464"/>
      <c r="C4" s="465">
        <f>[1]!'acct[10-00101].adjbal{1}'+[1]!'acct[10-00103].adjbal{1}'+[1]!'acct[10-00105].adjbal{1}'</f>
        <v>1016848</v>
      </c>
      <c r="D4" s="466">
        <f>[1]!'acct[20-00101].adjbal{1}'</f>
        <v>392177</v>
      </c>
      <c r="E4" s="466">
        <f>[1]!'acct[30-00101].adjbal{1}'</f>
        <v>83452</v>
      </c>
      <c r="F4" s="466">
        <f>[1]!'acct[40-00101].adjbal{1}'</f>
        <v>180693</v>
      </c>
      <c r="G4" s="466">
        <v>313073</v>
      </c>
      <c r="H4" s="466">
        <f>[1]!'acct[60-00101].adjbal{1}'</f>
        <v>307152</v>
      </c>
      <c r="I4" s="466">
        <f>[1]!'acct[70-00101].adjbal{1}'</f>
        <v>445189</v>
      </c>
      <c r="J4" s="467">
        <v>0</v>
      </c>
      <c r="K4" s="466">
        <f>[1]!'acct[90-00101].adjbal{1}'</f>
        <v>231407</v>
      </c>
      <c r="L4" s="466">
        <v>273519</v>
      </c>
      <c r="M4" s="468"/>
      <c r="N4" s="469"/>
    </row>
    <row r="5" spans="1:14" x14ac:dyDescent="0.2">
      <c r="A5" s="463" t="s">
        <v>1049</v>
      </c>
      <c r="B5" s="470">
        <v>120</v>
      </c>
      <c r="C5" s="465">
        <f>[1]!'acct[10-00120].adjbal{1}'</f>
        <v>933887</v>
      </c>
      <c r="D5" s="466">
        <f>[1]!'acct[20-00120].adjbal{1}'</f>
        <v>170374</v>
      </c>
      <c r="E5" s="466">
        <f>[1]!'acct[30-00120].adjbal{1}'</f>
        <v>0</v>
      </c>
      <c r="F5" s="466">
        <f>[1]!'acct[40-00120].adjbal{1}'</f>
        <v>0</v>
      </c>
      <c r="G5" s="466">
        <f>[1]!'acct[50-00120].adjbal{1}'</f>
        <v>63957</v>
      </c>
      <c r="H5" s="466">
        <f>[1]!'acct[60-00120].adjbal{1}'</f>
        <v>46812</v>
      </c>
      <c r="I5" s="466">
        <f>[1]!'acct[70-00120].adjbal{1}'</f>
        <v>0</v>
      </c>
      <c r="J5" s="467">
        <f>[1]!'acct[80-00120].adjbal{1}'</f>
        <v>172899</v>
      </c>
      <c r="K5" s="471">
        <f>[1]!'acct[90-00120].adjbal{1}'</f>
        <v>10866</v>
      </c>
      <c r="L5" s="472"/>
      <c r="M5" s="468"/>
      <c r="N5" s="469"/>
    </row>
    <row r="6" spans="1:14" ht="13.5" customHeight="1" x14ac:dyDescent="0.2">
      <c r="A6" s="473" t="s">
        <v>437</v>
      </c>
      <c r="B6" s="470">
        <v>130</v>
      </c>
      <c r="C6" s="465">
        <f>[1]!'acct[10-00130].adjbal{1}'</f>
        <v>0</v>
      </c>
      <c r="D6" s="466">
        <f>[1]!'acct[20-00130].adjbal{1}'</f>
        <v>0</v>
      </c>
      <c r="E6" s="466">
        <f>[1]!'acct[30-00130].adjbal{1}'</f>
        <v>0</v>
      </c>
      <c r="F6" s="466">
        <f>[1]!'acct[40-00130].adjbal{1}'</f>
        <v>0</v>
      </c>
      <c r="G6" s="471">
        <f>[1]!'acct[50-00130].adjbal{1}'</f>
        <v>0</v>
      </c>
      <c r="H6" s="471">
        <f>[1]!'acct[60-00130].adjbal{1}'</f>
        <v>0</v>
      </c>
      <c r="I6" s="466">
        <f>[1]!'acct[70-00130].adjbal{1}'</f>
        <v>0</v>
      </c>
      <c r="J6" s="474">
        <f>[1]!'acct[80-00130].adjbal{1}'</f>
        <v>0</v>
      </c>
      <c r="K6" s="471">
        <f>[1]!'acct[90-00130].adjbal{1}'</f>
        <v>0</v>
      </c>
      <c r="L6" s="475"/>
      <c r="M6" s="468"/>
      <c r="N6" s="469"/>
    </row>
    <row r="7" spans="1:14" ht="13.5" customHeight="1" x14ac:dyDescent="0.2">
      <c r="A7" s="473" t="s">
        <v>438</v>
      </c>
      <c r="B7" s="470">
        <v>140</v>
      </c>
      <c r="C7" s="476">
        <f>[1]!'acct[10-00140].adjbal{1}'</f>
        <v>325000</v>
      </c>
      <c r="D7" s="467">
        <f>[1]!'acct[20-00140].adjbal{1}'</f>
        <v>0</v>
      </c>
      <c r="E7" s="467">
        <f>[1]!'acct[30-00140].adjbal{1}'</f>
        <v>0</v>
      </c>
      <c r="F7" s="467">
        <f>[1]!'acct[40-00140].adjbal{1}'</f>
        <v>0</v>
      </c>
      <c r="G7" s="467">
        <f>[1]!'acct[50-00140].adjbal{1}'</f>
        <v>0</v>
      </c>
      <c r="H7" s="467">
        <f>[1]!'acct[60-00140].adjbal{1}'</f>
        <v>0</v>
      </c>
      <c r="I7" s="467">
        <f>[1]!'acct[70-00140].adjbal{1}'</f>
        <v>0</v>
      </c>
      <c r="J7" s="467">
        <f>[1]!'acct[80-00140].adjbal{1}'</f>
        <v>0</v>
      </c>
      <c r="K7" s="467">
        <f>[1]!'acct[90-00140].adjbal{1}'</f>
        <v>0</v>
      </c>
      <c r="L7" s="477"/>
      <c r="M7" s="468"/>
      <c r="N7" s="469"/>
    </row>
    <row r="8" spans="1:14" ht="13.5" customHeight="1" x14ac:dyDescent="0.2">
      <c r="A8" s="473" t="s">
        <v>287</v>
      </c>
      <c r="B8" s="470">
        <v>150</v>
      </c>
      <c r="C8" s="476">
        <f>[1]!'acct[10-00150].adjbal{1}'</f>
        <v>0</v>
      </c>
      <c r="D8" s="467">
        <f>[1]!'acct[20-00150].adjbal{1}'</f>
        <v>0</v>
      </c>
      <c r="E8" s="467">
        <f>[1]!'acct[30-00150].adjbal{1}'</f>
        <v>0</v>
      </c>
      <c r="F8" s="467">
        <f>[1]!'acct[40-00150].adjbal{1}'</f>
        <v>0</v>
      </c>
      <c r="G8" s="478">
        <f>[1]!'acct[50-00150].adjbal{1}'</f>
        <v>0</v>
      </c>
      <c r="H8" s="467">
        <f>[1]!'acct[60-00150].adjbal{1}'</f>
        <v>0</v>
      </c>
      <c r="I8" s="474">
        <f>[1]!'acct[70-00150].adjbal{1}'</f>
        <v>0</v>
      </c>
      <c r="J8" s="474">
        <f>[1]!'acct[80-00150].adjbal{1}'</f>
        <v>0</v>
      </c>
      <c r="K8" s="479">
        <f>[1]!'acct[90-00150].adjbal{1}'</f>
        <v>0</v>
      </c>
      <c r="L8" s="480"/>
      <c r="M8" s="468"/>
      <c r="N8" s="469"/>
    </row>
    <row r="9" spans="1:14" ht="13.5" customHeight="1" x14ac:dyDescent="0.2">
      <c r="A9" s="473" t="s">
        <v>288</v>
      </c>
      <c r="B9" s="470">
        <v>160</v>
      </c>
      <c r="C9" s="476">
        <f>[1]!'acct[10-00160].adjbal{1}'</f>
        <v>0</v>
      </c>
      <c r="D9" s="467">
        <f>[1]!'acct[20-00160].adjbal{1}'</f>
        <v>0</v>
      </c>
      <c r="E9" s="467">
        <f>[1]!'acct[30-00160].adjbal{1}'</f>
        <v>0</v>
      </c>
      <c r="F9" s="467">
        <f>[1]!'acct[40-00160].adjbal{1}'</f>
        <v>0</v>
      </c>
      <c r="G9" s="467">
        <f>[1]!'acct[50-00160].adjbal{1}'</f>
        <v>0</v>
      </c>
      <c r="H9" s="478">
        <f>[1]!'acct[60-00160].adjbal{1}'</f>
        <v>0</v>
      </c>
      <c r="I9" s="467">
        <f>[1]!'acct[70-00160].adjbal{1}'</f>
        <v>0</v>
      </c>
      <c r="J9" s="467">
        <f>[1]!'acct[80-00160].adjbal{1}'</f>
        <v>0</v>
      </c>
      <c r="K9" s="467">
        <f>[1]!'acct[90-00160].adjbal{1}'</f>
        <v>0</v>
      </c>
      <c r="L9" s="467"/>
      <c r="M9" s="468"/>
      <c r="N9" s="469"/>
    </row>
    <row r="10" spans="1:14" ht="13.5" customHeight="1" x14ac:dyDescent="0.2">
      <c r="A10" s="473" t="s">
        <v>1048</v>
      </c>
      <c r="B10" s="470">
        <v>170</v>
      </c>
      <c r="C10" s="465">
        <f>[1]!'acct[10-00170].adjbal{1}'</f>
        <v>0</v>
      </c>
      <c r="D10" s="466">
        <f>[1]!'acct[20-00170].adjbal{1}'</f>
        <v>0</v>
      </c>
      <c r="E10" s="467">
        <f>[1]!'acct[30-00170].adjbal{1}'</f>
        <v>0</v>
      </c>
      <c r="F10" s="466">
        <f>[1]!'acct[40-00170].adjbal{1}'</f>
        <v>0</v>
      </c>
      <c r="G10" s="478">
        <f>[1]!'acct[50-00170].adjbal{1}'</f>
        <v>0</v>
      </c>
      <c r="H10" s="481">
        <f>[1]!'acct[60-00170].adjbal{1}'</f>
        <v>0</v>
      </c>
      <c r="I10" s="467" t="str">
        <f>[1]!'acct[70-00170].adjbal{1}'</f>
        <v xml:space="preserve"> </v>
      </c>
      <c r="J10" s="467" t="str">
        <f>[1]!'acct[80-00170].adjbal{1}'</f>
        <v xml:space="preserve"> </v>
      </c>
      <c r="K10" s="481">
        <f>[1]!'acct[90-00170].adjbal{1}'</f>
        <v>0</v>
      </c>
      <c r="L10" s="481"/>
      <c r="M10" s="469"/>
      <c r="N10" s="469"/>
    </row>
    <row r="11" spans="1:14" ht="13.5" customHeight="1" x14ac:dyDescent="0.2">
      <c r="A11" s="473" t="s">
        <v>289</v>
      </c>
      <c r="B11" s="470">
        <v>180</v>
      </c>
      <c r="C11" s="476">
        <f>[1]!'acct[10-00180].adjbal{1}'</f>
        <v>0</v>
      </c>
      <c r="D11" s="467">
        <f>[1]!'acct[20-00180].adjbal{1}'</f>
        <v>0</v>
      </c>
      <c r="E11" s="467">
        <f>[1]!'acct[30-00180].adjbal{1}'</f>
        <v>0</v>
      </c>
      <c r="F11" s="467">
        <f>[1]!'acct[40-00180].adjbal{1}'</f>
        <v>0</v>
      </c>
      <c r="G11" s="467">
        <f>[1]!'acct[50-00180].adjbal{1}'</f>
        <v>0</v>
      </c>
      <c r="H11" s="467" t="str">
        <f>[1]!'acct[60-00180].adjbal{1}'</f>
        <v xml:space="preserve"> </v>
      </c>
      <c r="I11" s="478" t="str">
        <f>[1]!'acct[70-00180].adjbal{1}'</f>
        <v xml:space="preserve"> </v>
      </c>
      <c r="J11" s="478" t="str">
        <f>[1]!'acct[80-00180].adjbal{1}'</f>
        <v xml:space="preserve"> </v>
      </c>
      <c r="K11" s="467" t="str">
        <f>[1]!'acct[90-00180].adjbal{1}'</f>
        <v xml:space="preserve"> </v>
      </c>
      <c r="L11" s="467"/>
      <c r="M11" s="469"/>
      <c r="N11" s="469"/>
    </row>
    <row r="12" spans="1:14" ht="13.5" customHeight="1" x14ac:dyDescent="0.2">
      <c r="A12" s="473" t="s">
        <v>439</v>
      </c>
      <c r="B12" s="470">
        <v>190</v>
      </c>
      <c r="C12" s="465">
        <f>[1]!'acct[10-00190].adjbal{1}'</f>
        <v>0</v>
      </c>
      <c r="D12" s="466">
        <f>[1]!'acct[20-00190].adjbal{1}'</f>
        <v>0</v>
      </c>
      <c r="E12" s="466">
        <f>[1]!'acct[30-00190].adjbal{1}'</f>
        <v>0</v>
      </c>
      <c r="F12" s="466">
        <f>[1]!'acct[40-00190].adjbal{1}'</f>
        <v>0</v>
      </c>
      <c r="G12" s="466">
        <f>[1]!'acct[50-00190].adjbal{1}'</f>
        <v>0</v>
      </c>
      <c r="H12" s="466">
        <f>[1]!'acct[60-00190].adjbal{1}'</f>
        <v>0</v>
      </c>
      <c r="I12" s="466">
        <f>[1]!'acct[70-00190].adjbal{1}'</f>
        <v>0</v>
      </c>
      <c r="J12" s="467">
        <f>[1]!'acct[80-00190].adjbal{1}'</f>
        <v>0</v>
      </c>
      <c r="K12" s="466">
        <f>[1]!'acct[90-00190].adjbal{1}'</f>
        <v>0</v>
      </c>
      <c r="L12" s="466"/>
      <c r="M12" s="469"/>
      <c r="N12" s="469"/>
    </row>
    <row r="13" spans="1:14" ht="13.5" customHeight="1" thickBot="1" x14ac:dyDescent="0.25">
      <c r="A13" s="1751" t="s">
        <v>665</v>
      </c>
      <c r="B13" s="1724"/>
      <c r="C13" s="1752">
        <f>SUM(C4:C12)</f>
        <v>2275735</v>
      </c>
      <c r="D13" s="1752">
        <f t="shared" ref="D13:L13" si="0">SUM(D4:D12)</f>
        <v>562551</v>
      </c>
      <c r="E13" s="1752">
        <f t="shared" si="0"/>
        <v>83452</v>
      </c>
      <c r="F13" s="1752">
        <f t="shared" si="0"/>
        <v>180693</v>
      </c>
      <c r="G13" s="1752">
        <f t="shared" si="0"/>
        <v>377030</v>
      </c>
      <c r="H13" s="1752">
        <f t="shared" si="0"/>
        <v>353964</v>
      </c>
      <c r="I13" s="1752">
        <f t="shared" si="0"/>
        <v>445189</v>
      </c>
      <c r="J13" s="1752">
        <f t="shared" si="0"/>
        <v>172899</v>
      </c>
      <c r="K13" s="1752">
        <f t="shared" si="0"/>
        <v>242273</v>
      </c>
      <c r="L13" s="1752">
        <f t="shared" si="0"/>
        <v>273519</v>
      </c>
      <c r="M13" s="468"/>
      <c r="N13" s="469"/>
    </row>
    <row r="14" spans="1:14" ht="18" customHeight="1" thickTop="1" x14ac:dyDescent="0.2">
      <c r="A14" s="2139" t="s">
        <v>149</v>
      </c>
      <c r="B14" s="2140"/>
      <c r="C14" s="1579"/>
      <c r="D14" s="1580"/>
      <c r="E14" s="1580"/>
      <c r="F14" s="1580"/>
      <c r="G14" s="1580"/>
      <c r="H14" s="1580"/>
      <c r="I14" s="1580"/>
      <c r="J14" s="1580"/>
      <c r="K14" s="1580"/>
      <c r="L14" s="1580"/>
      <c r="M14" s="1581"/>
      <c r="N14" s="1582"/>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160054</v>
      </c>
      <c r="N16" s="484"/>
    </row>
    <row r="17" spans="1:14" s="485" customFormat="1" ht="12.75" customHeight="1" x14ac:dyDescent="0.2">
      <c r="A17" s="482" t="s">
        <v>1470</v>
      </c>
      <c r="B17" s="483">
        <v>230</v>
      </c>
      <c r="C17" s="477"/>
      <c r="D17" s="477"/>
      <c r="E17" s="477"/>
      <c r="F17" s="477"/>
      <c r="G17" s="477"/>
      <c r="H17" s="477"/>
      <c r="I17" s="477"/>
      <c r="J17" s="477"/>
      <c r="K17" s="477"/>
      <c r="L17" s="477"/>
      <c r="M17" s="467">
        <v>15883735</v>
      </c>
      <c r="N17" s="484"/>
    </row>
    <row r="18" spans="1:14" s="485" customFormat="1" ht="12.75" customHeight="1" x14ac:dyDescent="0.2">
      <c r="A18" s="482" t="s">
        <v>1471</v>
      </c>
      <c r="B18" s="483">
        <v>240</v>
      </c>
      <c r="C18" s="477"/>
      <c r="D18" s="477"/>
      <c r="E18" s="477"/>
      <c r="F18" s="477"/>
      <c r="G18" s="477"/>
      <c r="H18" s="477"/>
      <c r="I18" s="477"/>
      <c r="J18" s="477"/>
      <c r="K18" s="477"/>
      <c r="L18" s="477"/>
      <c r="M18" s="467">
        <v>809361</v>
      </c>
      <c r="N18" s="484"/>
    </row>
    <row r="19" spans="1:14" s="485" customFormat="1" ht="12.75" customHeight="1" x14ac:dyDescent="0.2">
      <c r="A19" s="482" t="s">
        <v>1472</v>
      </c>
      <c r="B19" s="483">
        <v>250</v>
      </c>
      <c r="C19" s="477"/>
      <c r="D19" s="477"/>
      <c r="E19" s="477"/>
      <c r="F19" s="477"/>
      <c r="G19" s="477"/>
      <c r="H19" s="477"/>
      <c r="I19" s="477"/>
      <c r="J19" s="477"/>
      <c r="K19" s="477"/>
      <c r="L19" s="477"/>
      <c r="M19" s="467">
        <v>1898068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83452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4163029</v>
      </c>
    </row>
    <row r="23" spans="1:14" ht="13.5" customHeight="1" thickBot="1" x14ac:dyDescent="0.25">
      <c r="A23" s="1751" t="s">
        <v>664</v>
      </c>
      <c r="B23" s="1756"/>
      <c r="C23" s="468"/>
      <c r="D23" s="468"/>
      <c r="E23" s="468"/>
      <c r="F23" s="468"/>
      <c r="G23" s="468"/>
      <c r="H23" s="468"/>
      <c r="I23" s="468"/>
      <c r="J23" s="468"/>
      <c r="K23" s="468"/>
      <c r="L23" s="468"/>
      <c r="M23" s="1703">
        <f>SUM(M15:M22)</f>
        <v>18751218</v>
      </c>
      <c r="N23" s="1703">
        <f>SUM(N21:N22)</f>
        <v>4246481</v>
      </c>
    </row>
    <row r="24" spans="1:14" ht="18" customHeight="1" thickTop="1" x14ac:dyDescent="0.2">
      <c r="A24" s="2141" t="s">
        <v>619</v>
      </c>
      <c r="B24" s="2142"/>
      <c r="C24" s="1584"/>
      <c r="D24" s="1581"/>
      <c r="E24" s="1581"/>
      <c r="F24" s="1581"/>
      <c r="G24" s="1581"/>
      <c r="H24" s="1581"/>
      <c r="I24" s="1581"/>
      <c r="J24" s="1581"/>
      <c r="K24" s="1581"/>
      <c r="L24" s="1581"/>
      <c r="M24" s="1580"/>
      <c r="N24" s="1585"/>
    </row>
    <row r="25" spans="1:14" x14ac:dyDescent="0.2">
      <c r="A25" s="473" t="s">
        <v>666</v>
      </c>
      <c r="B25" s="470">
        <v>410</v>
      </c>
      <c r="C25" s="478">
        <f>[1]!'acct[10-00410].adjbal{1}/VR'</f>
        <v>0</v>
      </c>
      <c r="D25" s="478">
        <f>[1]!'acct[20-00410].adjbal{1}/VR'</f>
        <v>0</v>
      </c>
      <c r="E25" s="478">
        <f>[1]!'acct[30-00410].adjbal{1}/VR'</f>
        <v>0</v>
      </c>
      <c r="F25" s="478">
        <f>[1]!'acct[40-00410].adjbal{1}/VR'</f>
        <v>325000</v>
      </c>
      <c r="G25" s="478">
        <f>[1]!'acct[50-00410].adjbal{1}/VR'</f>
        <v>0</v>
      </c>
      <c r="H25" s="479">
        <f>[1]!'acct[60-00410].adjbal{1}/VR'</f>
        <v>0</v>
      </c>
      <c r="I25" s="468"/>
      <c r="J25" s="478">
        <f>[1]!'acct[80-00410].adjbal{1}/VR'</f>
        <v>0</v>
      </c>
      <c r="K25" s="478">
        <f>[1]!'acct[90-00410].adjbal{1}/VR'</f>
        <v>0</v>
      </c>
      <c r="L25" s="468"/>
      <c r="M25" s="468"/>
      <c r="N25" s="468"/>
    </row>
    <row r="26" spans="1:14" x14ac:dyDescent="0.2">
      <c r="A26" s="473" t="s">
        <v>667</v>
      </c>
      <c r="B26" s="470">
        <v>420</v>
      </c>
      <c r="C26" s="467">
        <f>[1]!'acct[10-00420].adjbal{1}/VR'</f>
        <v>0</v>
      </c>
      <c r="D26" s="467">
        <f>[1]!'acct[20-00420].adjbal{1}/VR'</f>
        <v>0</v>
      </c>
      <c r="E26" s="467">
        <f>[1]!'acct[30-00420].adjbal{1}/VR'</f>
        <v>0</v>
      </c>
      <c r="F26" s="467">
        <f>[1]!'acct[40-00420].adjbal{1}/VR'</f>
        <v>0</v>
      </c>
      <c r="G26" s="467">
        <f>[1]!'acct[50-00420].adjbal{1}/VR'</f>
        <v>0</v>
      </c>
      <c r="H26" s="467">
        <f>[1]!'acct[60-00420].adjbal{1}/VR'</f>
        <v>0</v>
      </c>
      <c r="I26" s="467">
        <f>[1]!'acct[70-00420].adjbal{1}/VR'</f>
        <v>0</v>
      </c>
      <c r="J26" s="474">
        <f>[1]!'acct[80-00420].adjbal{1}/VR'</f>
        <v>0</v>
      </c>
      <c r="K26" s="467">
        <f>[1]!'acct[90-00420].adjbal{1}/VR'</f>
        <v>0</v>
      </c>
      <c r="L26" s="468"/>
      <c r="M26" s="468"/>
      <c r="N26" s="468"/>
    </row>
    <row r="27" spans="1:14" ht="13.5" customHeight="1" x14ac:dyDescent="0.2">
      <c r="A27" s="473" t="s">
        <v>668</v>
      </c>
      <c r="B27" s="470">
        <v>430</v>
      </c>
      <c r="C27" s="467">
        <f>[1]!'acct[10-00430].adjbal{1}/VR'</f>
        <v>0</v>
      </c>
      <c r="D27" s="467">
        <f>[1]!'acct[20-00430].adjbal{1}/VR'</f>
        <v>0</v>
      </c>
      <c r="E27" s="467">
        <f>[1]!'acct[30-00430].adjbal{1}/VR'</f>
        <v>0</v>
      </c>
      <c r="F27" s="467">
        <f>[1]!'acct[40-00430].adjbal{1}/VR'</f>
        <v>0</v>
      </c>
      <c r="G27" s="467">
        <f>[1]!'acct[50-00430].adjbal{1}/VR'</f>
        <v>0</v>
      </c>
      <c r="H27" s="467">
        <f>[1]!'acct[60-00430].adjbal{1}/VR'</f>
        <v>0</v>
      </c>
      <c r="I27" s="467">
        <f>[1]!'acct[70-00430].adjbal{1}/VR'</f>
        <v>0</v>
      </c>
      <c r="J27" s="467">
        <v>0</v>
      </c>
      <c r="K27" s="467">
        <f>[1]!'acct[90-00430].adjbal{1}/VR'</f>
        <v>0</v>
      </c>
      <c r="L27" s="468"/>
      <c r="M27" s="468"/>
      <c r="N27" s="468"/>
    </row>
    <row r="28" spans="1:14" ht="13.5" customHeight="1" x14ac:dyDescent="0.2">
      <c r="A28" s="473" t="s">
        <v>669</v>
      </c>
      <c r="B28" s="470">
        <v>440</v>
      </c>
      <c r="C28" s="467">
        <f>[1]!'acct[10-00440].adjbal{1}/VR'</f>
        <v>0</v>
      </c>
      <c r="D28" s="467">
        <f>[1]!'acct[20-00440].adjbal{1}/VR'</f>
        <v>0</v>
      </c>
      <c r="E28" s="474">
        <f>[1]!'acct[30-00440].adjbal{1}/VR'</f>
        <v>0</v>
      </c>
      <c r="F28" s="467">
        <f>[1]!'acct[40-00440].adjbal{1}/VR'</f>
        <v>0</v>
      </c>
      <c r="G28" s="474">
        <f>[1]!'acct[50-00440].adjbal{1}/VR'</f>
        <v>0</v>
      </c>
      <c r="H28" s="474">
        <f>[1]!'acct[60-00440].adjbal{1}/VR'</f>
        <v>0</v>
      </c>
      <c r="I28" s="467">
        <f>[1]!'acct[70-00440].adjbal{1}/VR'</f>
        <v>0</v>
      </c>
      <c r="J28" s="467">
        <f>[1]!'acct[80-00440].adjbal{1}/VR'</f>
        <v>0</v>
      </c>
      <c r="K28" s="479">
        <f>[1]!'acct[90-00440].adjbal{1}/VR'</f>
        <v>0</v>
      </c>
      <c r="L28" s="468"/>
      <c r="M28" s="468"/>
      <c r="N28" s="468"/>
    </row>
    <row r="29" spans="1:14" ht="13.5" customHeight="1" x14ac:dyDescent="0.2">
      <c r="A29" s="473" t="s">
        <v>670</v>
      </c>
      <c r="B29" s="470">
        <v>460</v>
      </c>
      <c r="C29" s="488">
        <f>[1]!'acct[10-00460].adjbal{1}/VR'</f>
        <v>0</v>
      </c>
      <c r="D29" s="489">
        <f>[1]!'acct[20-00460].adjbal{1}/VR'</f>
        <v>0</v>
      </c>
      <c r="E29" s="474">
        <f>[1]!'acct[30-00460].adjbal{1}/VR'</f>
        <v>0</v>
      </c>
      <c r="F29" s="467">
        <f>[1]!'acct[40-00460].adjbal{1}/VR'</f>
        <v>0</v>
      </c>
      <c r="G29" s="474">
        <f>[1]!'acct[50-00460].adjbal{1}/VR'</f>
        <v>0</v>
      </c>
      <c r="H29" s="474">
        <f>[1]!'acct[60-00460].adjbal{1}/VR'</f>
        <v>0</v>
      </c>
      <c r="I29" s="474">
        <f>[1]!'acct[70-00460].adjbal{1}/VR'</f>
        <v>0</v>
      </c>
      <c r="J29" s="474">
        <f>[1]!'acct[80-00460].adjbal{1}/VR'</f>
        <v>0</v>
      </c>
      <c r="K29" s="467">
        <f>[1]!'acct[90-00460].adjbal{1}/VR'</f>
        <v>0</v>
      </c>
      <c r="L29" s="468"/>
      <c r="M29" s="468"/>
      <c r="N29" s="468"/>
    </row>
    <row r="30" spans="1:14" ht="13.5" customHeight="1" x14ac:dyDescent="0.2">
      <c r="A30" s="473" t="s">
        <v>671</v>
      </c>
      <c r="B30" s="470">
        <v>470</v>
      </c>
      <c r="C30" s="467">
        <f>[1]!'acct[10-00470].adjbal{1}/VR'</f>
        <v>0</v>
      </c>
      <c r="D30" s="474">
        <f>[1]!'acct[20-00470].adjbal{1}/VR'</f>
        <v>0</v>
      </c>
      <c r="E30" s="467">
        <f>[1]!'acct[30-00470].adjbal{1}/VR'</f>
        <v>0</v>
      </c>
      <c r="F30" s="467">
        <f>[1]!'acct[40-00470].adjbal{1}/VR'</f>
        <v>0</v>
      </c>
      <c r="G30" s="467">
        <f>[1]!'acct[50-00470].adjbal{1}/VR'</f>
        <v>0</v>
      </c>
      <c r="H30" s="467">
        <f>[1]!'acct[60-00470].adjbal{1}/VR'</f>
        <v>0</v>
      </c>
      <c r="I30" s="467">
        <f>[1]!'acct[70-00470].adjbal{1}/VR'</f>
        <v>0</v>
      </c>
      <c r="J30" s="467">
        <f>[1]!'acct[80-00470].adjbal{1}/VR'</f>
        <v>0</v>
      </c>
      <c r="K30" s="478">
        <f>[1]!'acct[90-00470].adjbal{1}/VR'</f>
        <v>0</v>
      </c>
      <c r="L30" s="468"/>
      <c r="M30" s="468"/>
      <c r="N30" s="468"/>
    </row>
    <row r="31" spans="1:14" ht="13.5" customHeight="1" x14ac:dyDescent="0.2">
      <c r="A31" s="473" t="s">
        <v>672</v>
      </c>
      <c r="B31" s="470">
        <v>480</v>
      </c>
      <c r="C31" s="466">
        <f>[1]!'acct[10-00480].adjbal{1}/VR'</f>
        <v>0</v>
      </c>
      <c r="D31" s="467">
        <f>[1]!'acct[20-00480].adjbal{1}/VR'</f>
        <v>0</v>
      </c>
      <c r="E31" s="467">
        <f>[1]!'acct[30-00480].adjbal{1}/VR'</f>
        <v>0</v>
      </c>
      <c r="F31" s="466">
        <f>[1]!'acct[40-00480].adjbal{1}/VR'</f>
        <v>0</v>
      </c>
      <c r="G31" s="467">
        <v>0</v>
      </c>
      <c r="H31" s="467">
        <f>[1]!'acct[60-00480].adjbal{1}/VR'</f>
        <v>0</v>
      </c>
      <c r="I31" s="467">
        <f>[1]!'acct[70-00480].adjbal{1}/VR'</f>
        <v>0</v>
      </c>
      <c r="J31" s="467">
        <f>[1]!'acct[80-00480].adjbal{1}/VR'</f>
        <v>0</v>
      </c>
      <c r="K31" s="467">
        <f>[1]!'acct[90-00480].adjbal{1}/VR'</f>
        <v>0</v>
      </c>
      <c r="L31" s="468"/>
      <c r="M31" s="468"/>
      <c r="N31" s="468"/>
    </row>
    <row r="32" spans="1:14" ht="13.5" customHeight="1" x14ac:dyDescent="0.2">
      <c r="A32" s="490" t="s">
        <v>673</v>
      </c>
      <c r="B32" s="491">
        <v>490</v>
      </c>
      <c r="C32" s="492">
        <f>[1]!'acct[10-00490].adjbal{1}/VR'</f>
        <v>0</v>
      </c>
      <c r="D32" s="492">
        <f>[1]!'acct[20-00490].adjbal{1}/VR'</f>
        <v>0</v>
      </c>
      <c r="E32" s="474">
        <f>[1]!'acct[30-00490].adjbal{1}/VR'</f>
        <v>0</v>
      </c>
      <c r="F32" s="474">
        <f>[1]!'acct[40-00490].adjbal{1}/VR'</f>
        <v>0</v>
      </c>
      <c r="G32" s="474">
        <f>[1]!'acct[50-00490].adjbal{1}/VR'</f>
        <v>0</v>
      </c>
      <c r="H32" s="474">
        <f>[1]!'acct[60-00490].adjbal{1}/VR'</f>
        <v>0</v>
      </c>
      <c r="I32" s="474">
        <f>[1]!'acct[70-00490].adjbal{1}/VR'</f>
        <v>0</v>
      </c>
      <c r="J32" s="474">
        <v>70412</v>
      </c>
      <c r="K32" s="479">
        <f>[1]!'acct[90-00490].adjbal{1}/VR'</f>
        <v>0</v>
      </c>
      <c r="L32" s="468"/>
      <c r="M32" s="468"/>
      <c r="N32" s="468"/>
    </row>
    <row r="33" spans="1:14" ht="13.5" customHeight="1" x14ac:dyDescent="0.2">
      <c r="A33" s="493" t="s">
        <v>321</v>
      </c>
      <c r="B33" s="491">
        <v>493</v>
      </c>
      <c r="C33" s="467">
        <f>[1]!'acct[10-00493].adjbal{1}/VR'</f>
        <v>0</v>
      </c>
      <c r="D33" s="467">
        <f>[1]!'acct[20-00493].adjbal{1}/VR'</f>
        <v>0</v>
      </c>
      <c r="E33" s="467">
        <f>[1]!'acct[30-00493].adjbal{1}/VR'</f>
        <v>0</v>
      </c>
      <c r="F33" s="467">
        <f>[1]!'acct[40-00493].adjbal{1}/VR'</f>
        <v>0</v>
      </c>
      <c r="G33" s="467">
        <f>[1]!'acct[50-00493].adjbal{1}/VR'</f>
        <v>0</v>
      </c>
      <c r="H33" s="467">
        <f>[1]!'acct[60-00493].adjbal{1}/VR'</f>
        <v>0</v>
      </c>
      <c r="I33" s="467">
        <f>[1]!'acct[70-00493].adjbal{1}/VR'</f>
        <v>0</v>
      </c>
      <c r="J33" s="467">
        <f>[1]!'acct[80-00493].adjbal{1}/VR'</f>
        <v>0</v>
      </c>
      <c r="K33" s="467">
        <f>[1]!'acct[90-00493].adjbal{1}/VR'</f>
        <v>0</v>
      </c>
      <c r="L33" s="467">
        <v>273519</v>
      </c>
      <c r="M33" s="468"/>
      <c r="N33" s="469"/>
    </row>
    <row r="34" spans="1:14" ht="13.5" customHeight="1" thickBot="1" x14ac:dyDescent="0.25">
      <c r="A34" s="1753" t="s">
        <v>675</v>
      </c>
      <c r="B34" s="1754"/>
      <c r="C34" s="1755">
        <f>SUM(C25:C33)</f>
        <v>0</v>
      </c>
      <c r="D34" s="1755">
        <f t="shared" ref="D34:K34" si="1">SUM(D25:D33)</f>
        <v>0</v>
      </c>
      <c r="E34" s="1755">
        <f t="shared" si="1"/>
        <v>0</v>
      </c>
      <c r="F34" s="1755">
        <f t="shared" si="1"/>
        <v>325000</v>
      </c>
      <c r="G34" s="1755">
        <f t="shared" si="1"/>
        <v>0</v>
      </c>
      <c r="H34" s="1755">
        <f t="shared" si="1"/>
        <v>0</v>
      </c>
      <c r="I34" s="1755">
        <f t="shared" si="1"/>
        <v>0</v>
      </c>
      <c r="J34" s="1755">
        <f t="shared" si="1"/>
        <v>70412</v>
      </c>
      <c r="K34" s="1755">
        <f t="shared" si="1"/>
        <v>0</v>
      </c>
      <c r="L34" s="1736">
        <f>SUM(L33)</f>
        <v>273519</v>
      </c>
      <c r="M34" s="468"/>
      <c r="N34" s="480"/>
    </row>
    <row r="35" spans="1:14" ht="18" customHeight="1" thickTop="1" x14ac:dyDescent="0.2">
      <c r="A35" s="2143" t="s">
        <v>550</v>
      </c>
      <c r="B35" s="2144"/>
      <c r="C35" s="1586"/>
      <c r="D35" s="1587"/>
      <c r="E35" s="1587"/>
      <c r="F35" s="1587"/>
      <c r="G35" s="1587"/>
      <c r="H35" s="1587"/>
      <c r="I35" s="1587"/>
      <c r="J35" s="1587"/>
      <c r="K35" s="1587"/>
      <c r="L35" s="1587"/>
      <c r="M35" s="1581"/>
      <c r="N35" s="1585"/>
    </row>
    <row r="36" spans="1:14" x14ac:dyDescent="0.2">
      <c r="A36" s="494" t="s">
        <v>1</v>
      </c>
      <c r="B36" s="470">
        <v>511</v>
      </c>
      <c r="C36" s="477"/>
      <c r="D36" s="477"/>
      <c r="E36" s="477"/>
      <c r="F36" s="477"/>
      <c r="G36" s="477"/>
      <c r="H36" s="477"/>
      <c r="I36" s="477"/>
      <c r="J36" s="477"/>
      <c r="K36" s="477"/>
      <c r="L36" s="468"/>
      <c r="M36" s="468"/>
      <c r="N36" s="495">
        <f>'Short-Term Long-Term Debt 24'!I49</f>
        <v>4246481</v>
      </c>
    </row>
    <row r="37" spans="1:14" ht="13.5" thickBot="1" x14ac:dyDescent="0.25">
      <c r="A37" s="1751" t="s">
        <v>674</v>
      </c>
      <c r="B37" s="1756"/>
      <c r="C37" s="477"/>
      <c r="D37" s="477"/>
      <c r="E37" s="477"/>
      <c r="F37" s="477"/>
      <c r="G37" s="477"/>
      <c r="H37" s="477"/>
      <c r="I37" s="477"/>
      <c r="J37" s="477"/>
      <c r="K37" s="477"/>
      <c r="L37" s="480"/>
      <c r="M37" s="468"/>
      <c r="N37" s="1703">
        <f>SUM(N36:N36)</f>
        <v>4246481</v>
      </c>
    </row>
    <row r="38" spans="1:14" s="329" customFormat="1" ht="13.5" customHeight="1" thickTop="1" x14ac:dyDescent="0.2">
      <c r="A38" s="496" t="s">
        <v>440</v>
      </c>
      <c r="B38" s="483">
        <v>714</v>
      </c>
      <c r="C38" s="466">
        <v>549931</v>
      </c>
      <c r="D38" s="466"/>
      <c r="E38" s="466"/>
      <c r="F38" s="466"/>
      <c r="G38" s="466">
        <v>48979</v>
      </c>
      <c r="H38" s="466">
        <v>186843</v>
      </c>
      <c r="I38" s="466"/>
      <c r="J38" s="467"/>
      <c r="K38" s="466"/>
      <c r="L38" s="481"/>
      <c r="M38" s="497"/>
      <c r="N38" s="497"/>
    </row>
    <row r="39" spans="1:14" s="329" customFormat="1" ht="13.5" customHeight="1" x14ac:dyDescent="0.2">
      <c r="A39" s="496" t="s">
        <v>360</v>
      </c>
      <c r="B39" s="483">
        <v>730</v>
      </c>
      <c r="C39" s="466">
        <v>1725804</v>
      </c>
      <c r="D39" s="466">
        <v>562551</v>
      </c>
      <c r="E39" s="466">
        <v>83452</v>
      </c>
      <c r="F39" s="466">
        <v>-144307</v>
      </c>
      <c r="G39" s="466">
        <v>328051</v>
      </c>
      <c r="H39" s="466">
        <v>167121</v>
      </c>
      <c r="I39" s="466">
        <v>445189</v>
      </c>
      <c r="J39" s="467">
        <v>102487</v>
      </c>
      <c r="K39" s="466">
        <v>242273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18751218</v>
      </c>
      <c r="N40" s="497"/>
    </row>
    <row r="41" spans="1:14" ht="13.5" customHeight="1" thickBot="1" x14ac:dyDescent="0.25">
      <c r="A41" s="1751" t="s">
        <v>676</v>
      </c>
      <c r="B41" s="1721"/>
      <c r="C41" s="1703">
        <f>(SUM(C34,C37,C38,C39))</f>
        <v>2275735</v>
      </c>
      <c r="D41" s="1703">
        <f t="shared" ref="D41:L41" si="2">SUM(D34,D37,D38:D39)</f>
        <v>562551</v>
      </c>
      <c r="E41" s="1703">
        <f t="shared" si="2"/>
        <v>83452</v>
      </c>
      <c r="F41" s="1703">
        <f t="shared" si="2"/>
        <v>180693</v>
      </c>
      <c r="G41" s="1703">
        <f t="shared" si="2"/>
        <v>377030</v>
      </c>
      <c r="H41" s="1703">
        <f t="shared" si="2"/>
        <v>353964</v>
      </c>
      <c r="I41" s="1703">
        <f t="shared" si="2"/>
        <v>445189</v>
      </c>
      <c r="J41" s="1703">
        <f t="shared" si="2"/>
        <v>172899</v>
      </c>
      <c r="K41" s="1703">
        <f t="shared" si="2"/>
        <v>242273</v>
      </c>
      <c r="L41" s="1703">
        <f t="shared" si="2"/>
        <v>273519</v>
      </c>
      <c r="M41" s="1703">
        <f>SUM(M40)</f>
        <v>18751218</v>
      </c>
      <c r="N41" s="1703">
        <f>SUM(N37)</f>
        <v>4246481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5" activePane="bottomLeft" state="frozenSplit"/>
      <selection activeCell="B29" sqref="B29"/>
      <selection pane="bottomLeft" activeCell="B29" sqref="B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89"/>
      <c r="D3" s="1590"/>
      <c r="E3" s="1590"/>
      <c r="F3" s="1590"/>
      <c r="G3" s="1590"/>
      <c r="H3" s="1590"/>
      <c r="I3" s="1590"/>
      <c r="J3" s="1590"/>
      <c r="K3" s="1591"/>
      <c r="L3" s="506"/>
    </row>
    <row r="4" spans="1:13" ht="15.75" customHeight="1" x14ac:dyDescent="0.2">
      <c r="A4" s="1947" t="s">
        <v>1579</v>
      </c>
      <c r="B4" s="1948">
        <v>1000</v>
      </c>
      <c r="C4" s="1757">
        <f>'Revenues 9-14'!C109</f>
        <v>5709079</v>
      </c>
      <c r="D4" s="1757">
        <f>'Revenues 9-14'!D109</f>
        <v>1039949</v>
      </c>
      <c r="E4" s="1757">
        <f>'Revenues 9-14'!E109</f>
        <v>643331</v>
      </c>
      <c r="F4" s="1757">
        <f>'Revenues 9-14'!F109</f>
        <v>411062</v>
      </c>
      <c r="G4" s="1757">
        <f>'Revenues 9-14'!G109</f>
        <v>350862</v>
      </c>
      <c r="H4" s="1757">
        <f>'Revenues 9-14'!H109</f>
        <v>148218</v>
      </c>
      <c r="I4" s="1757">
        <f>'Revenues 9-14'!I109</f>
        <v>102877</v>
      </c>
      <c r="J4" s="1757">
        <f>'Revenues 9-14'!J109</f>
        <v>303499</v>
      </c>
      <c r="K4" s="1757">
        <f>'Revenues 9-14'!K109</f>
        <v>102739</v>
      </c>
      <c r="L4" s="347"/>
    </row>
    <row r="5" spans="1:13" ht="15.75" customHeight="1" x14ac:dyDescent="0.2">
      <c r="A5" s="1592" t="s">
        <v>1580</v>
      </c>
      <c r="B5" s="1593">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2" t="s">
        <v>1581</v>
      </c>
      <c r="B6" s="1594">
        <v>3000</v>
      </c>
      <c r="C6" s="1758">
        <f>'Revenues 9-14'!C173</f>
        <v>2861469</v>
      </c>
      <c r="D6" s="1758">
        <f>'Revenues 9-14'!D173</f>
        <v>0</v>
      </c>
      <c r="E6" s="1758">
        <f>'Revenues 9-14'!E173</f>
        <v>0</v>
      </c>
      <c r="F6" s="1758">
        <f>'Revenues 9-14'!F173</f>
        <v>668861</v>
      </c>
      <c r="G6" s="1758">
        <f>'Revenues 9-14'!G173</f>
        <v>0</v>
      </c>
      <c r="H6" s="1758">
        <f>'Revenues 9-14'!H173</f>
        <v>0</v>
      </c>
      <c r="I6" s="1758">
        <f>'Revenues 9-14'!I173</f>
        <v>0</v>
      </c>
      <c r="J6" s="1758">
        <f>'Revenues 9-14'!J173</f>
        <v>0</v>
      </c>
      <c r="K6" s="1758">
        <f>'Revenues 9-14'!K173</f>
        <v>0</v>
      </c>
      <c r="L6" s="347"/>
      <c r="M6" s="513"/>
    </row>
    <row r="7" spans="1:13" ht="15.75" customHeight="1" x14ac:dyDescent="0.2">
      <c r="A7" s="1592" t="s">
        <v>1582</v>
      </c>
      <c r="B7" s="1594">
        <v>4000</v>
      </c>
      <c r="C7" s="1758">
        <f>'Revenues 9-14'!C274</f>
        <v>811832</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9382380</v>
      </c>
      <c r="D8" s="1703">
        <f t="shared" ref="D8:K8" si="0">SUM(D4:D7)</f>
        <v>1039949</v>
      </c>
      <c r="E8" s="1703">
        <f t="shared" si="0"/>
        <v>643331</v>
      </c>
      <c r="F8" s="1703">
        <f t="shared" si="0"/>
        <v>1079923</v>
      </c>
      <c r="G8" s="1703">
        <f t="shared" si="0"/>
        <v>350862</v>
      </c>
      <c r="H8" s="1703">
        <f t="shared" si="0"/>
        <v>148218</v>
      </c>
      <c r="I8" s="1703">
        <f t="shared" si="0"/>
        <v>102877</v>
      </c>
      <c r="J8" s="1703">
        <f t="shared" si="0"/>
        <v>303499</v>
      </c>
      <c r="K8" s="1703">
        <f t="shared" si="0"/>
        <v>102739</v>
      </c>
      <c r="L8" s="347"/>
    </row>
    <row r="9" spans="1:13" ht="15.75" thickTop="1" x14ac:dyDescent="0.2">
      <c r="A9" s="514" t="s">
        <v>1752</v>
      </c>
      <c r="B9" s="515">
        <v>3998</v>
      </c>
      <c r="C9" s="481">
        <v>4412462</v>
      </c>
      <c r="D9" s="516"/>
      <c r="E9" s="481"/>
      <c r="F9" s="481"/>
      <c r="G9" s="517"/>
      <c r="H9" s="481"/>
      <c r="I9" s="509" t="s">
        <v>1231</v>
      </c>
      <c r="J9" s="478"/>
      <c r="K9" s="481"/>
      <c r="L9" s="347"/>
    </row>
    <row r="10" spans="1:13" s="519" customFormat="1" ht="13.5" thickBot="1" x14ac:dyDescent="0.25">
      <c r="A10" s="1751" t="s">
        <v>1235</v>
      </c>
      <c r="B10" s="1724"/>
      <c r="C10" s="1703">
        <f>SUM(C8:C9)</f>
        <v>13794842</v>
      </c>
      <c r="D10" s="1703">
        <f t="shared" ref="D10:K10" si="1">SUM(D8:D9)</f>
        <v>1039949</v>
      </c>
      <c r="E10" s="1703">
        <f t="shared" si="1"/>
        <v>643331</v>
      </c>
      <c r="F10" s="1703">
        <f t="shared" si="1"/>
        <v>1079923</v>
      </c>
      <c r="G10" s="1703">
        <f t="shared" si="1"/>
        <v>350862</v>
      </c>
      <c r="H10" s="1703">
        <f t="shared" si="1"/>
        <v>148218</v>
      </c>
      <c r="I10" s="1703">
        <f t="shared" si="1"/>
        <v>102877</v>
      </c>
      <c r="J10" s="1703">
        <f t="shared" si="1"/>
        <v>303499</v>
      </c>
      <c r="K10" s="1703">
        <f t="shared" si="1"/>
        <v>102739</v>
      </c>
      <c r="L10" s="518"/>
    </row>
    <row r="11" spans="1:13" s="519" customFormat="1" ht="16.7" customHeight="1" thickTop="1" x14ac:dyDescent="0.2">
      <c r="A11" s="2139" t="s">
        <v>1238</v>
      </c>
      <c r="B11" s="2140"/>
      <c r="C11" s="1586"/>
      <c r="D11" s="1587"/>
      <c r="E11" s="1587"/>
      <c r="F11" s="1587"/>
      <c r="G11" s="1587"/>
      <c r="H11" s="1587"/>
      <c r="I11" s="1587"/>
      <c r="J11" s="1587"/>
      <c r="K11" s="1588"/>
      <c r="L11" s="518"/>
    </row>
    <row r="12" spans="1:13" ht="15.75" customHeight="1" x14ac:dyDescent="0.2">
      <c r="A12" s="1592" t="s">
        <v>476</v>
      </c>
      <c r="B12" s="1594">
        <v>1000</v>
      </c>
      <c r="C12" s="1757">
        <f>'Expenditures 15-22'!K33</f>
        <v>6657929</v>
      </c>
      <c r="D12" s="520" t="s">
        <v>1231</v>
      </c>
      <c r="E12" s="468" t="s">
        <v>1231</v>
      </c>
      <c r="F12" s="468" t="s">
        <v>1231</v>
      </c>
      <c r="G12" s="1757">
        <f>'Expenditures 15-22'!K229</f>
        <v>124126</v>
      </c>
      <c r="H12" s="521"/>
      <c r="I12" s="468" t="s">
        <v>1231</v>
      </c>
      <c r="J12" s="468" t="s">
        <v>1231</v>
      </c>
      <c r="K12" s="521" t="s">
        <v>1231</v>
      </c>
      <c r="L12" s="347"/>
    </row>
    <row r="13" spans="1:13" ht="15.75" customHeight="1" x14ac:dyDescent="0.2">
      <c r="A13" s="1592" t="s">
        <v>477</v>
      </c>
      <c r="B13" s="1594">
        <v>2000</v>
      </c>
      <c r="C13" s="1758">
        <f>'Expenditures 15-22'!K74</f>
        <v>2277494</v>
      </c>
      <c r="D13" s="1758">
        <f>'Expenditures 15-22'!K129</f>
        <v>973079</v>
      </c>
      <c r="E13" s="469" t="s">
        <v>1231</v>
      </c>
      <c r="F13" s="1758">
        <f>'Expenditures 15-22'!K184</f>
        <v>1055788</v>
      </c>
      <c r="G13" s="1758">
        <f>'Expenditures 15-22'!K279</f>
        <v>199299</v>
      </c>
      <c r="H13" s="1758">
        <f>'Expenditures 15-22'!K303</f>
        <v>190224</v>
      </c>
      <c r="I13" s="468" t="s">
        <v>1231</v>
      </c>
      <c r="J13" s="1758">
        <f>'Expenditures 15-22'!K330</f>
        <v>294071</v>
      </c>
      <c r="K13" s="1762">
        <f>'Expenditures 15-22'!K352</f>
        <v>32980</v>
      </c>
      <c r="L13" s="347"/>
    </row>
    <row r="14" spans="1:13" ht="15.75" customHeight="1" x14ac:dyDescent="0.2">
      <c r="A14" s="1592" t="s">
        <v>469</v>
      </c>
      <c r="B14" s="1594">
        <v>3000</v>
      </c>
      <c r="C14" s="1758">
        <f>'Expenditures 15-22'!K75</f>
        <v>7329</v>
      </c>
      <c r="D14" s="1758">
        <f>'Expenditures 15-22'!K130</f>
        <v>0</v>
      </c>
      <c r="E14" s="520" t="s">
        <v>1231</v>
      </c>
      <c r="F14" s="1758">
        <f>'Expenditures 15-22'!K185</f>
        <v>0</v>
      </c>
      <c r="G14" s="1758">
        <f>'Expenditures 15-22'!K280</f>
        <v>0</v>
      </c>
      <c r="H14" s="512"/>
      <c r="I14" s="468" t="s">
        <v>1231</v>
      </c>
      <c r="J14" s="468" t="s">
        <v>1231</v>
      </c>
      <c r="K14" s="512" t="s">
        <v>1231</v>
      </c>
      <c r="L14" s="347"/>
    </row>
    <row r="15" spans="1:13" ht="15.75" customHeight="1" x14ac:dyDescent="0.2">
      <c r="A15" s="1592" t="s">
        <v>109</v>
      </c>
      <c r="B15" s="1594">
        <v>4000</v>
      </c>
      <c r="C15" s="1758">
        <f>'Expenditures 15-22'!K102</f>
        <v>253259</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2" t="s">
        <v>470</v>
      </c>
      <c r="B16" s="1594">
        <v>5000</v>
      </c>
      <c r="C16" s="1758">
        <f>'Expenditures 15-22'!K112</f>
        <v>0</v>
      </c>
      <c r="D16" s="1758">
        <f>'Expenditures 15-22'!K149</f>
        <v>0</v>
      </c>
      <c r="E16" s="1758">
        <f>'Expenditures 15-22'!K172</f>
        <v>665989</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9196011</v>
      </c>
      <c r="D17" s="1703">
        <f t="shared" si="2"/>
        <v>973079</v>
      </c>
      <c r="E17" s="1703">
        <f t="shared" si="2"/>
        <v>665989</v>
      </c>
      <c r="F17" s="1703">
        <f t="shared" si="2"/>
        <v>1055788</v>
      </c>
      <c r="G17" s="1703">
        <f t="shared" si="2"/>
        <v>323425</v>
      </c>
      <c r="H17" s="1703">
        <f t="shared" si="2"/>
        <v>190224</v>
      </c>
      <c r="I17" s="468"/>
      <c r="J17" s="1703">
        <f>SUM(J12:J16)</f>
        <v>294071</v>
      </c>
      <c r="K17" s="1703">
        <f>SUM(K12:K16)</f>
        <v>32980</v>
      </c>
      <c r="L17" s="347"/>
    </row>
    <row r="18" spans="1:12" ht="15" customHeight="1" thickTop="1" x14ac:dyDescent="0.2">
      <c r="A18" s="1759" t="s">
        <v>1753</v>
      </c>
      <c r="B18" s="1760">
        <v>4180</v>
      </c>
      <c r="C18" s="1757">
        <f t="shared" ref="C18:H18" si="3">C9</f>
        <v>4412462</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13608473</v>
      </c>
      <c r="D19" s="1703">
        <f t="shared" si="4"/>
        <v>973079</v>
      </c>
      <c r="E19" s="1703">
        <f t="shared" si="4"/>
        <v>665989</v>
      </c>
      <c r="F19" s="1703">
        <f t="shared" si="4"/>
        <v>1055788</v>
      </c>
      <c r="G19" s="1703">
        <f t="shared" si="4"/>
        <v>323425</v>
      </c>
      <c r="H19" s="1703">
        <f t="shared" si="4"/>
        <v>190224</v>
      </c>
      <c r="I19" s="468"/>
      <c r="J19" s="1703">
        <f>SUM(J17:J18)</f>
        <v>294071</v>
      </c>
      <c r="K19" s="1703">
        <f>SUM(K17:K18)</f>
        <v>32980</v>
      </c>
      <c r="L19" s="347"/>
    </row>
    <row r="20" spans="1:12" ht="16.5" thickTop="1" thickBot="1" x14ac:dyDescent="0.25">
      <c r="A20" s="2155" t="s">
        <v>1754</v>
      </c>
      <c r="B20" s="2156"/>
      <c r="C20" s="1761">
        <f>C8-C17</f>
        <v>186369</v>
      </c>
      <c r="D20" s="1761">
        <f t="shared" ref="D20:K20" si="5">D8-D17</f>
        <v>66870</v>
      </c>
      <c r="E20" s="1761">
        <f t="shared" si="5"/>
        <v>-22658</v>
      </c>
      <c r="F20" s="1761">
        <f t="shared" si="5"/>
        <v>24135</v>
      </c>
      <c r="G20" s="1761">
        <f t="shared" si="5"/>
        <v>27437</v>
      </c>
      <c r="H20" s="1761">
        <f t="shared" si="5"/>
        <v>-42006</v>
      </c>
      <c r="I20" s="1761">
        <f t="shared" si="5"/>
        <v>102877</v>
      </c>
      <c r="J20" s="1761">
        <f t="shared" si="5"/>
        <v>9428</v>
      </c>
      <c r="K20" s="1761">
        <f t="shared" si="5"/>
        <v>69759</v>
      </c>
      <c r="L20" s="347"/>
    </row>
    <row r="21" spans="1:12" ht="16.7" customHeight="1" thickTop="1" x14ac:dyDescent="0.2">
      <c r="A21" s="2167" t="s">
        <v>616</v>
      </c>
      <c r="B21" s="2168"/>
      <c r="C21" s="1586"/>
      <c r="D21" s="1587"/>
      <c r="E21" s="1587"/>
      <c r="F21" s="1587"/>
      <c r="G21" s="1587"/>
      <c r="H21" s="1587"/>
      <c r="I21" s="1587"/>
      <c r="J21" s="1587"/>
      <c r="K21" s="1588"/>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05" t="s">
        <v>1755</v>
      </c>
      <c r="B24" s="525">
        <v>7110</v>
      </c>
      <c r="C24" s="467">
        <f>[1]!'acct[10-07110].adjbal{1}/VR'</f>
        <v>0</v>
      </c>
      <c r="D24" s="477"/>
      <c r="E24" s="477"/>
      <c r="F24" s="477"/>
      <c r="G24" s="477"/>
      <c r="H24" s="477"/>
      <c r="I24" s="477"/>
      <c r="J24" s="477"/>
      <c r="K24" s="477"/>
      <c r="L24" s="524"/>
    </row>
    <row r="25" spans="1:12" s="485" customFormat="1" ht="13.5" customHeight="1" x14ac:dyDescent="0.2">
      <c r="A25" s="1505" t="s">
        <v>1756</v>
      </c>
      <c r="B25" s="525">
        <v>7110</v>
      </c>
      <c r="C25" s="467">
        <f>[1]!'acct[10-07110ED].adjbal{1}/VR'</f>
        <v>0</v>
      </c>
      <c r="D25" s="467">
        <f>[1]!'acct[20-07110].adjbal{1}/VR'</f>
        <v>0</v>
      </c>
      <c r="E25" s="467">
        <f>[1]!'acct[30-07110].adjbal{1}/VR'</f>
        <v>0</v>
      </c>
      <c r="F25" s="467">
        <f>[1]!'acct[40-07110].adjbal{1}/VR'</f>
        <v>53000</v>
      </c>
      <c r="G25" s="467">
        <f>[1]!'acct[50-07110].adjbal{1}/VR'</f>
        <v>0</v>
      </c>
      <c r="H25" s="467">
        <f>[1]!'acct[60-07110].adjbal{1}/VR'</f>
        <v>0</v>
      </c>
      <c r="I25" s="477"/>
      <c r="J25" s="467">
        <f>[1]!'acct[80-07110].adjbal{1}/VR'</f>
        <v>0</v>
      </c>
      <c r="K25" s="467">
        <f>[1]!'acct[90-07110].adjbal{1}/VR'</f>
        <v>0</v>
      </c>
      <c r="L25" s="524"/>
    </row>
    <row r="26" spans="1:12" s="485" customFormat="1" ht="13.5" customHeight="1" x14ac:dyDescent="0.2">
      <c r="A26" s="1505" t="s">
        <v>193</v>
      </c>
      <c r="B26" s="483">
        <v>7120</v>
      </c>
      <c r="C26" s="467">
        <f>[1]!'acct[10-07120].adjbal{1}/VR'</f>
        <v>0</v>
      </c>
      <c r="D26" s="467">
        <f>[1]!'acct[20-07120].adjbal{1}/VR'</f>
        <v>0</v>
      </c>
      <c r="E26" s="467">
        <f>[1]!'acct[30-07120].adjbal{1}/VR'</f>
        <v>0</v>
      </c>
      <c r="F26" s="467">
        <f>[1]!'acct[40-07120].adjbal{1}/VR'</f>
        <v>0</v>
      </c>
      <c r="G26" s="467">
        <f>[1]!'acct[50-07120].adjbal{1}/VR'</f>
        <v>0</v>
      </c>
      <c r="H26" s="467">
        <f>[1]!'acct[60-07120].adjbal{1}/VR'</f>
        <v>0</v>
      </c>
      <c r="I26" s="477"/>
      <c r="J26" s="467">
        <f>[1]!'acct[80-07120].adjbal{1}/VR'</f>
        <v>0</v>
      </c>
      <c r="K26" s="467">
        <f>[1]!'acct[90-07120].adjbal{1}/VR'</f>
        <v>0</v>
      </c>
      <c r="L26" s="524"/>
    </row>
    <row r="27" spans="1:12" s="485" customFormat="1" ht="13.5" customHeight="1" x14ac:dyDescent="0.2">
      <c r="A27" s="1505" t="s">
        <v>194</v>
      </c>
      <c r="B27" s="483">
        <v>7130</v>
      </c>
      <c r="C27" s="467">
        <f>[1]!'acct[10-07130].adjbal{1}/VR'</f>
        <v>0</v>
      </c>
      <c r="D27" s="467">
        <f>[1]!'acct[20-07130].adjbal{1}/VR'</f>
        <v>0</v>
      </c>
      <c r="E27" s="526"/>
      <c r="F27" s="467">
        <f>[1]!'acct[40-07130].adjbal{1}/VR'</f>
        <v>0</v>
      </c>
      <c r="G27" s="480"/>
      <c r="H27" s="480"/>
      <c r="I27" s="480"/>
      <c r="J27" s="480"/>
      <c r="K27" s="480"/>
      <c r="L27" s="524"/>
    </row>
    <row r="28" spans="1:12" s="485" customFormat="1" ht="13.5" customHeight="1" x14ac:dyDescent="0.2">
      <c r="A28" s="1505" t="s">
        <v>1465</v>
      </c>
      <c r="B28" s="483">
        <v>7140</v>
      </c>
      <c r="C28" s="467">
        <f>[1]!'acct[10-07140].adjbal{1}/VR'</f>
        <v>0</v>
      </c>
      <c r="D28" s="467">
        <f>[1]!'acct[20-07140].adjbal{1}/VR'</f>
        <v>0</v>
      </c>
      <c r="E28" s="467">
        <f>[1]!'acct[30-07140].adjbal{1}/VR'</f>
        <v>0</v>
      </c>
      <c r="F28" s="467">
        <f>[1]!'acct[40-07140].adjbal{1}/VR'</f>
        <v>0</v>
      </c>
      <c r="G28" s="467">
        <f>[1]!'acct[50-07140].adjbal{1}/VR'</f>
        <v>0</v>
      </c>
      <c r="H28" s="467">
        <f>[1]!'acct[60-07140].adjbal{1}/VR'</f>
        <v>0</v>
      </c>
      <c r="I28" s="467">
        <f>[1]!'acct[70-07140].adjbal{1}/VR'</f>
        <v>0</v>
      </c>
      <c r="J28" s="467">
        <f>[1]!'acct[80-07140].adjbal{1}/VR'</f>
        <v>0</v>
      </c>
      <c r="K28" s="467">
        <f>[1]!'acct[90-07140].adjbal{1}/VR'</f>
        <v>0</v>
      </c>
      <c r="L28" s="524"/>
    </row>
    <row r="29" spans="1:12" s="485" customFormat="1" ht="13.5" customHeight="1" x14ac:dyDescent="0.2">
      <c r="A29" s="1505" t="s">
        <v>312</v>
      </c>
      <c r="B29" s="483">
        <v>7150</v>
      </c>
      <c r="C29" s="475"/>
      <c r="D29" s="467">
        <f>[1]!'acct[20-07150].adjbal{1}/VR'</f>
        <v>0</v>
      </c>
      <c r="E29" s="475"/>
      <c r="F29" s="475"/>
      <c r="G29" s="475"/>
      <c r="H29" s="475"/>
      <c r="I29" s="475"/>
      <c r="J29" s="475"/>
      <c r="K29" s="475"/>
      <c r="L29" s="524"/>
    </row>
    <row r="30" spans="1:12" s="485" customFormat="1" ht="26.25" x14ac:dyDescent="0.2">
      <c r="A30" s="1505" t="s">
        <v>1895</v>
      </c>
      <c r="B30" s="527">
        <v>7160</v>
      </c>
      <c r="C30" s="477"/>
      <c r="D30" s="467">
        <f>[1]!'acct[20-07160].adjbal{1}/VR'</f>
        <v>0</v>
      </c>
      <c r="E30" s="477"/>
      <c r="F30" s="477"/>
      <c r="G30" s="477"/>
      <c r="H30" s="477"/>
      <c r="I30" s="477"/>
      <c r="J30" s="477"/>
      <c r="K30" s="477"/>
      <c r="L30" s="524"/>
    </row>
    <row r="31" spans="1:12" s="485" customFormat="1" ht="26.25" x14ac:dyDescent="0.2">
      <c r="A31" s="1505" t="s">
        <v>1899</v>
      </c>
      <c r="B31" s="527">
        <v>7170</v>
      </c>
      <c r="C31" s="477"/>
      <c r="D31" s="477"/>
      <c r="E31" s="474">
        <f>[1]!'acct[30-07170].adjbal{1}/VR'</f>
        <v>0</v>
      </c>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05" t="s">
        <v>432</v>
      </c>
      <c r="B33" s="525">
        <v>7210</v>
      </c>
      <c r="C33" s="467">
        <f>[1]!'acct[10-07210].adjbal{1}/VR'</f>
        <v>0</v>
      </c>
      <c r="D33" s="467">
        <f>[1]!'acct[20-07210].adjbal{1}/VR'</f>
        <v>0</v>
      </c>
      <c r="E33" s="467">
        <f>[1]!'acct[30-07210].adjbal{1}/VR'</f>
        <v>0</v>
      </c>
      <c r="F33" s="467">
        <f>[1]!'acct[40-07210].adjbal{1}/VR'</f>
        <v>0</v>
      </c>
      <c r="G33" s="477"/>
      <c r="H33" s="467">
        <f>[1]!'acct[60-07210].adjbal{1}/VR'</f>
        <v>0</v>
      </c>
      <c r="I33" s="467">
        <f>[1]!'acct[70-07210].adjbal{1}/VR'</f>
        <v>0</v>
      </c>
      <c r="J33" s="467">
        <f>[1]!'acct[80-07210].adjbal{1}/VR'</f>
        <v>0</v>
      </c>
      <c r="K33" s="467">
        <f>[1]!'acct[90-07210].adjbal{1}/VR'</f>
        <v>0</v>
      </c>
      <c r="L33" s="524"/>
    </row>
    <row r="34" spans="1:12" s="485" customFormat="1" x14ac:dyDescent="0.2">
      <c r="A34" s="1505" t="s">
        <v>1058</v>
      </c>
      <c r="B34" s="525">
        <v>7220</v>
      </c>
      <c r="C34" s="467">
        <f>[1]!'acct[10-07220].adjbal{1}/VR'</f>
        <v>0</v>
      </c>
      <c r="D34" s="467">
        <f>[1]!'acct[20-07220].adjbal{1}/VR'</f>
        <v>0</v>
      </c>
      <c r="E34" s="467">
        <f>[1]!'acct[30-07220].adjbal{1}/VR'</f>
        <v>0</v>
      </c>
      <c r="F34" s="467">
        <f>[1]!'acct[40-07220].adjbal{1}/VR'</f>
        <v>0</v>
      </c>
      <c r="G34" s="477"/>
      <c r="H34" s="478">
        <f>[1]!'acct[60-07220].adjbal{1}/VR'</f>
        <v>0</v>
      </c>
      <c r="I34" s="478">
        <f>[1]!'acct[70-07220].adjbal{1}/VR'</f>
        <v>0</v>
      </c>
      <c r="J34" s="478">
        <f>[1]!'acct[80-07220].adjbal{1}/VR'</f>
        <v>0</v>
      </c>
      <c r="K34" s="478">
        <f>[1]!'acct[90-07220].adjbal{1}/VR'</f>
        <v>0</v>
      </c>
      <c r="L34" s="524"/>
    </row>
    <row r="35" spans="1:12" s="485" customFormat="1" x14ac:dyDescent="0.2">
      <c r="A35" s="1505" t="s">
        <v>1047</v>
      </c>
      <c r="B35" s="525">
        <v>7230</v>
      </c>
      <c r="C35" s="467">
        <f>[1]!'acct[10-07230].adjbal{1}/VR'</f>
        <v>0</v>
      </c>
      <c r="D35" s="467">
        <f>[1]!'acct[20-07230].adjbal{1}/VR'</f>
        <v>0</v>
      </c>
      <c r="E35" s="467">
        <f>[1]!'acct[30-07230].adjbal{1}/VR'</f>
        <v>0</v>
      </c>
      <c r="F35" s="467">
        <f>[1]!'acct[40-07230].adjbal{1}/VR'</f>
        <v>0</v>
      </c>
      <c r="G35" s="480"/>
      <c r="H35" s="467">
        <f>[1]!'acct[60-07230].adjbal{1}/VR'</f>
        <v>0</v>
      </c>
      <c r="I35" s="467">
        <f>[1]!'acct[70-07230].adjbal{1}/VR'</f>
        <v>0</v>
      </c>
      <c r="J35" s="467">
        <f>[1]!'acct[80-07230].adjbal{1}/VR'</f>
        <v>0</v>
      </c>
      <c r="K35" s="467">
        <f>[1]!'acct[90-07230].adjbal{1}/VR'</f>
        <v>0</v>
      </c>
      <c r="L35" s="524"/>
    </row>
    <row r="36" spans="1:12" s="485" customFormat="1" ht="15" x14ac:dyDescent="0.2">
      <c r="A36" s="1505" t="s">
        <v>1757</v>
      </c>
      <c r="B36" s="525">
        <v>7300</v>
      </c>
      <c r="C36" s="467">
        <f>[1]!'acct[10-07300].adjbal{1}/VR'</f>
        <v>0</v>
      </c>
      <c r="D36" s="467">
        <f>[1]!'acct[20-07300].adjbal{1}/VR'</f>
        <v>0</v>
      </c>
      <c r="E36" s="467">
        <f>[1]!'acct[30-07300].adjbal{1}/VR'</f>
        <v>0</v>
      </c>
      <c r="F36" s="467">
        <f>[1]!'acct[40-07300].adjbal{1}/VR'</f>
        <v>0</v>
      </c>
      <c r="G36" s="467">
        <f>[1]!'acct[50-07300].adjbal{1}/VR'</f>
        <v>0</v>
      </c>
      <c r="H36" s="467">
        <f>[1]!'acct[60-07300].adjbal{1}/VR'</f>
        <v>0</v>
      </c>
      <c r="I36" s="475"/>
      <c r="J36" s="467">
        <f>[1]!'acct[80-07300].adjbal{1}/VR'</f>
        <v>0</v>
      </c>
      <c r="K36" s="467">
        <f>[1]!'acct[90-07300].adjbal{1}/VR'</f>
        <v>0</v>
      </c>
      <c r="L36" s="524"/>
    </row>
    <row r="37" spans="1:12" s="485" customFormat="1" x14ac:dyDescent="0.2">
      <c r="A37" s="1505" t="s">
        <v>461</v>
      </c>
      <c r="B37" s="525">
        <v>7400</v>
      </c>
      <c r="C37" s="475"/>
      <c r="D37" s="475"/>
      <c r="E37" s="1758">
        <f>SUM(C54:D57,H54:H57)</f>
        <v>19868</v>
      </c>
      <c r="F37" s="475"/>
      <c r="G37" s="475"/>
      <c r="H37" s="475"/>
      <c r="I37" s="477"/>
      <c r="J37" s="475"/>
      <c r="K37" s="475"/>
      <c r="L37" s="524"/>
    </row>
    <row r="38" spans="1:12" s="485" customFormat="1" x14ac:dyDescent="0.2">
      <c r="A38" s="1505" t="s">
        <v>462</v>
      </c>
      <c r="B38" s="525">
        <v>7500</v>
      </c>
      <c r="C38" s="477"/>
      <c r="D38" s="477"/>
      <c r="E38" s="1758">
        <f>SUM(C58:D61,H58:H61)</f>
        <v>2133</v>
      </c>
      <c r="F38" s="477"/>
      <c r="G38" s="477"/>
      <c r="H38" s="477"/>
      <c r="I38" s="477"/>
      <c r="J38" s="477"/>
      <c r="K38" s="477"/>
      <c r="L38" s="524"/>
    </row>
    <row r="39" spans="1:12" s="485" customFormat="1" x14ac:dyDescent="0.2">
      <c r="A39" s="1505" t="s">
        <v>463</v>
      </c>
      <c r="B39" s="525">
        <v>7600</v>
      </c>
      <c r="C39" s="477"/>
      <c r="D39" s="477"/>
      <c r="E39" s="1758">
        <f>SUM(C62:D65)</f>
        <v>0</v>
      </c>
      <c r="F39" s="477"/>
      <c r="G39" s="477"/>
      <c r="H39" s="477"/>
      <c r="I39" s="477"/>
      <c r="J39" s="477"/>
      <c r="K39" s="477"/>
      <c r="L39" s="524"/>
    </row>
    <row r="40" spans="1:12" s="485" customFormat="1" ht="13.5" customHeight="1" x14ac:dyDescent="0.2">
      <c r="A40" s="1505" t="s">
        <v>663</v>
      </c>
      <c r="B40" s="483">
        <v>7700</v>
      </c>
      <c r="C40" s="477"/>
      <c r="D40" s="477"/>
      <c r="E40" s="1758">
        <f>SUM(C66:D69)</f>
        <v>0</v>
      </c>
      <c r="F40" s="477"/>
      <c r="G40" s="477"/>
      <c r="H40" s="480"/>
      <c r="I40" s="477"/>
      <c r="J40" s="477"/>
      <c r="K40" s="477"/>
      <c r="L40" s="524"/>
    </row>
    <row r="41" spans="1:12" s="485" customFormat="1" ht="13.5" customHeight="1" x14ac:dyDescent="0.2">
      <c r="A41" s="1505" t="s">
        <v>661</v>
      </c>
      <c r="B41" s="483">
        <v>7800</v>
      </c>
      <c r="C41" s="480"/>
      <c r="D41" s="480"/>
      <c r="E41" s="526"/>
      <c r="F41" s="480"/>
      <c r="G41" s="480"/>
      <c r="H41" s="1758">
        <f>SUM(C70:D73)</f>
        <v>0</v>
      </c>
      <c r="I41" s="477"/>
      <c r="J41" s="477"/>
      <c r="K41" s="480"/>
      <c r="L41" s="524"/>
    </row>
    <row r="42" spans="1:12" s="485" customFormat="1" ht="13.5" customHeight="1" x14ac:dyDescent="0.2">
      <c r="A42" s="1505" t="s">
        <v>662</v>
      </c>
      <c r="B42" s="483">
        <v>7900</v>
      </c>
      <c r="C42" s="467">
        <f>[1]!'acct[10-07900].adjbal{1}/VR'</f>
        <v>0</v>
      </c>
      <c r="D42" s="467">
        <f>[1]!'acct[20-07900].adjbal{1}/VR'</f>
        <v>0</v>
      </c>
      <c r="E42" s="467">
        <f>[1]!'acct[30-07900].adjbal{1}/VR'</f>
        <v>0</v>
      </c>
      <c r="F42" s="467">
        <f>[1]!'acct[40-07900].adjbal{1}/VR'</f>
        <v>0</v>
      </c>
      <c r="G42" s="467">
        <f>[1]!'acct[50-07900].adjbal{1}/VR'</f>
        <v>0</v>
      </c>
      <c r="H42" s="467">
        <f>[1]!'acct[60-07900].adjbal{1}/VR'</f>
        <v>0</v>
      </c>
      <c r="I42" s="480"/>
      <c r="J42" s="480"/>
      <c r="K42" s="467">
        <f>[1]!'acct[90-07900].adjbal{1}/VR'</f>
        <v>0</v>
      </c>
      <c r="L42" s="524"/>
    </row>
    <row r="43" spans="1:12" s="485" customFormat="1" ht="13.5" customHeight="1" x14ac:dyDescent="0.2">
      <c r="A43" s="1505" t="s">
        <v>391</v>
      </c>
      <c r="B43" s="483">
        <v>7990</v>
      </c>
      <c r="C43" s="467">
        <f>[1]!'acct[10-07990].adjbal{1}/VR'</f>
        <v>0</v>
      </c>
      <c r="D43" s="467">
        <f>[1]!'acct[20-07990].adjbal{1}/VR'</f>
        <v>0</v>
      </c>
      <c r="E43" s="467">
        <f>[1]!'acct[30-07990].adjbal{1}/VR'</f>
        <v>0</v>
      </c>
      <c r="F43" s="467">
        <f>[1]!'acct[40-07990].adjbal{1}/VR'</f>
        <v>0</v>
      </c>
      <c r="G43" s="467">
        <f>[1]!'acct[50-07990].adjbal{1}/VR'</f>
        <v>0</v>
      </c>
      <c r="H43" s="467">
        <f>[1]!'acct[60-07990].adjbal{1}/VR'</f>
        <v>0</v>
      </c>
      <c r="I43" s="467">
        <f>[1]!'acct[70-07990].adjbal{1}/VR'</f>
        <v>0</v>
      </c>
      <c r="J43" s="467">
        <f>[1]!'acct[80-07990].adjbal{1}/VR'</f>
        <v>0</v>
      </c>
      <c r="K43" s="467">
        <f>[1]!'acct[90-07990].adjbal{1}/VR'</f>
        <v>0</v>
      </c>
      <c r="L43" s="524"/>
    </row>
    <row r="44" spans="1:12" s="485" customFormat="1" ht="13.5" customHeight="1" thickBot="1" x14ac:dyDescent="0.25">
      <c r="A44" s="2169" t="s">
        <v>392</v>
      </c>
      <c r="B44" s="2170"/>
      <c r="C44" s="1718">
        <f>SUM(C24:C43)</f>
        <v>0</v>
      </c>
      <c r="D44" s="1718">
        <f t="shared" ref="D44:K44" si="6">SUM(D24:D43)</f>
        <v>0</v>
      </c>
      <c r="E44" s="1718">
        <f t="shared" si="6"/>
        <v>22001</v>
      </c>
      <c r="F44" s="1718">
        <f t="shared" si="6"/>
        <v>53000</v>
      </c>
      <c r="G44" s="1718">
        <f t="shared" si="6"/>
        <v>0</v>
      </c>
      <c r="H44" s="1718">
        <f t="shared" si="6"/>
        <v>0</v>
      </c>
      <c r="I44" s="1718">
        <f t="shared" si="6"/>
        <v>0</v>
      </c>
      <c r="J44" s="1718">
        <f t="shared" si="6"/>
        <v>0</v>
      </c>
      <c r="K44" s="1718">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06" t="s">
        <v>1758</v>
      </c>
      <c r="B47" s="483">
        <v>8110</v>
      </c>
      <c r="C47" s="477"/>
      <c r="D47" s="477"/>
      <c r="E47" s="477"/>
      <c r="F47" s="477"/>
      <c r="G47" s="477"/>
      <c r="H47" s="477"/>
      <c r="I47" s="1758">
        <f>SUM(C24,C25:H25,J25:K25)</f>
        <v>53000</v>
      </c>
      <c r="J47" s="477"/>
      <c r="K47" s="477"/>
      <c r="L47" s="529"/>
    </row>
    <row r="48" spans="1:12" s="485" customFormat="1" ht="15" x14ac:dyDescent="0.2">
      <c r="A48" s="1506" t="s">
        <v>1759</v>
      </c>
      <c r="B48" s="483">
        <v>8120</v>
      </c>
      <c r="C48" s="480"/>
      <c r="D48" s="480"/>
      <c r="E48" s="477"/>
      <c r="F48" s="480"/>
      <c r="G48" s="477"/>
      <c r="H48" s="477"/>
      <c r="I48" s="1758">
        <f>SUM(C26:H26,J26,K26)</f>
        <v>0</v>
      </c>
      <c r="J48" s="477"/>
      <c r="K48" s="477"/>
      <c r="L48" s="529"/>
    </row>
    <row r="49" spans="1:12" s="485" customFormat="1" x14ac:dyDescent="0.2">
      <c r="A49" s="1506" t="s">
        <v>194</v>
      </c>
      <c r="B49" s="483">
        <v>8130</v>
      </c>
      <c r="C49" s="467">
        <f>[1]!'acct[10-08130].adjbal{1}'</f>
        <v>0</v>
      </c>
      <c r="D49" s="467">
        <f>[1]!'acct[20-08130].adjbal{1}'</f>
        <v>0</v>
      </c>
      <c r="E49" s="480"/>
      <c r="F49" s="467">
        <f>[1]!'acct[40-08130].adjbal{1}'</f>
        <v>0</v>
      </c>
      <c r="G49" s="480"/>
      <c r="H49" s="480"/>
      <c r="I49" s="477"/>
      <c r="J49" s="480"/>
      <c r="K49" s="477"/>
      <c r="L49" s="524"/>
    </row>
    <row r="50" spans="1:12" s="485" customFormat="1" x14ac:dyDescent="0.2">
      <c r="A50" s="1506" t="s">
        <v>1465</v>
      </c>
      <c r="B50" s="483">
        <v>8140</v>
      </c>
      <c r="C50" s="467">
        <f>[1]!'acct[10-08140].adjbal{1}'</f>
        <v>0</v>
      </c>
      <c r="D50" s="467">
        <f>[1]!'acct[20-08140].adjbal{1}'</f>
        <v>0</v>
      </c>
      <c r="E50" s="467">
        <f>[1]!'acct[30-08140].adjbal{1}'</f>
        <v>0</v>
      </c>
      <c r="F50" s="467">
        <f>[1]!'acct[40-08140].adjbal{1}'</f>
        <v>0</v>
      </c>
      <c r="G50" s="467">
        <f>[1]!'acct[50-08140].adjbal{1}'</f>
        <v>0</v>
      </c>
      <c r="H50" s="467">
        <f>[1]!'acct[60-08140].adjbal{1}'</f>
        <v>0</v>
      </c>
      <c r="I50" s="477"/>
      <c r="J50" s="467">
        <f>[1]!'acct[80-08140].adjbal{1}'</f>
        <v>0</v>
      </c>
      <c r="K50" s="477"/>
      <c r="L50" s="524"/>
    </row>
    <row r="51" spans="1:12" s="485" customFormat="1" x14ac:dyDescent="0.2">
      <c r="A51" s="1506" t="s">
        <v>312</v>
      </c>
      <c r="B51" s="483">
        <v>8150</v>
      </c>
      <c r="C51" s="475"/>
      <c r="D51" s="475"/>
      <c r="E51" s="475"/>
      <c r="F51" s="475"/>
      <c r="G51" s="475"/>
      <c r="H51" s="1758">
        <f>SUM(D29)</f>
        <v>0</v>
      </c>
      <c r="I51" s="477"/>
      <c r="J51" s="475"/>
      <c r="K51" s="480"/>
      <c r="L51" s="524"/>
    </row>
    <row r="52" spans="1:12" s="485" customFormat="1" ht="26.25" x14ac:dyDescent="0.2">
      <c r="A52" s="1506" t="s">
        <v>1898</v>
      </c>
      <c r="B52" s="483">
        <v>8160</v>
      </c>
      <c r="C52" s="477"/>
      <c r="D52" s="477"/>
      <c r="E52" s="477"/>
      <c r="F52" s="477"/>
      <c r="G52" s="477"/>
      <c r="H52" s="477"/>
      <c r="I52" s="477"/>
      <c r="J52" s="477"/>
      <c r="K52" s="1758">
        <f>D30</f>
        <v>0</v>
      </c>
      <c r="L52" s="524"/>
    </row>
    <row r="53" spans="1:12" s="485" customFormat="1" ht="26.25" x14ac:dyDescent="0.2">
      <c r="A53" s="1506" t="s">
        <v>1897</v>
      </c>
      <c r="B53" s="483">
        <v>8170</v>
      </c>
      <c r="C53" s="480"/>
      <c r="D53" s="480"/>
      <c r="E53" s="477"/>
      <c r="F53" s="477"/>
      <c r="G53" s="477"/>
      <c r="H53" s="480"/>
      <c r="I53" s="477"/>
      <c r="J53" s="477"/>
      <c r="K53" s="1758">
        <f>E31</f>
        <v>0</v>
      </c>
      <c r="L53" s="524"/>
    </row>
    <row r="54" spans="1:12" s="485" customFormat="1" ht="13.5" thickBot="1" x14ac:dyDescent="0.25">
      <c r="A54" s="1506" t="s">
        <v>716</v>
      </c>
      <c r="B54" s="483">
        <v>8410</v>
      </c>
      <c r="C54" s="530">
        <f>[1]!'acct[10-08410].adjbal{1}'</f>
        <v>19868</v>
      </c>
      <c r="D54" s="530">
        <f>[1]!'acct[20-08410].adjbal{1}'</f>
        <v>0</v>
      </c>
      <c r="E54" s="477"/>
      <c r="F54" s="477"/>
      <c r="G54" s="477"/>
      <c r="H54" s="530">
        <f>[1]!'acct[60-08410].adjbal{1}'</f>
        <v>0</v>
      </c>
      <c r="I54" s="477"/>
      <c r="J54" s="477"/>
      <c r="K54" s="475"/>
      <c r="L54" s="524"/>
    </row>
    <row r="55" spans="1:12" s="485" customFormat="1" ht="14.25" thickTop="1" thickBot="1" x14ac:dyDescent="0.25">
      <c r="A55" s="1507" t="s">
        <v>717</v>
      </c>
      <c r="B55" s="483">
        <v>8420</v>
      </c>
      <c r="C55" s="531">
        <f>[1]!'acct[10-08420].adjbal{1}'</f>
        <v>0</v>
      </c>
      <c r="D55" s="531">
        <f>[1]!'acct[20-08420].adjbal{1}'</f>
        <v>0</v>
      </c>
      <c r="E55" s="477"/>
      <c r="F55" s="477"/>
      <c r="G55" s="477"/>
      <c r="H55" s="530">
        <f>[1]!'acct[60-08420].adjbal{1}'</f>
        <v>0</v>
      </c>
      <c r="I55" s="477"/>
      <c r="J55" s="477"/>
      <c r="K55" s="477"/>
      <c r="L55" s="524"/>
    </row>
    <row r="56" spans="1:12" s="485" customFormat="1" ht="14.25" thickTop="1" thickBot="1" x14ac:dyDescent="0.25">
      <c r="A56" s="1506" t="s">
        <v>602</v>
      </c>
      <c r="B56" s="483">
        <v>8430</v>
      </c>
      <c r="C56" s="531">
        <f>[1]!'acct[10-08430].adjbal{1}'</f>
        <v>0</v>
      </c>
      <c r="D56" s="531">
        <f>[1]!'acct[20-08430].adjbal{1}'</f>
        <v>0</v>
      </c>
      <c r="E56" s="477"/>
      <c r="F56" s="477"/>
      <c r="G56" s="477"/>
      <c r="H56" s="530">
        <f>[1]!'acct[60-08430].adjbal{1}'</f>
        <v>0</v>
      </c>
      <c r="I56" s="477"/>
      <c r="J56" s="477"/>
      <c r="K56" s="477"/>
      <c r="L56" s="524"/>
    </row>
    <row r="57" spans="1:12" s="485" customFormat="1" ht="14.25" thickTop="1" thickBot="1" x14ac:dyDescent="0.25">
      <c r="A57" s="1507" t="s">
        <v>599</v>
      </c>
      <c r="B57" s="483">
        <v>8440</v>
      </c>
      <c r="C57" s="531">
        <f>[1]!'acct[10-08440].adjbal{1}'</f>
        <v>0</v>
      </c>
      <c r="D57" s="531">
        <f>[1]!'acct[20-08440].adjbal{1}'</f>
        <v>0</v>
      </c>
      <c r="E57" s="477"/>
      <c r="F57" s="477"/>
      <c r="G57" s="477"/>
      <c r="H57" s="530">
        <f>[1]!'acct[60-08440].adjbal{1}'</f>
        <v>0</v>
      </c>
      <c r="I57" s="477"/>
      <c r="J57" s="477"/>
      <c r="K57" s="477"/>
      <c r="L57" s="524"/>
    </row>
    <row r="58" spans="1:12" s="485" customFormat="1" ht="14.25" thickTop="1" thickBot="1" x14ac:dyDescent="0.25">
      <c r="A58" s="1506" t="s">
        <v>600</v>
      </c>
      <c r="B58" s="483">
        <v>8510</v>
      </c>
      <c r="C58" s="531">
        <f>[1]!'acct[10-08510].adjbal{1}'</f>
        <v>2133</v>
      </c>
      <c r="D58" s="531">
        <f>[1]!'acct[20-08510].adjbal{1}'</f>
        <v>0</v>
      </c>
      <c r="E58" s="477"/>
      <c r="F58" s="477"/>
      <c r="G58" s="477"/>
      <c r="H58" s="530">
        <f>[1]!'acct[60-08510].adjbal{1}'</f>
        <v>0</v>
      </c>
      <c r="I58" s="477"/>
      <c r="J58" s="477"/>
      <c r="K58" s="477"/>
      <c r="L58" s="524"/>
    </row>
    <row r="59" spans="1:12" s="485" customFormat="1" ht="14.25" thickTop="1" thickBot="1" x14ac:dyDescent="0.25">
      <c r="A59" s="1508" t="s">
        <v>718</v>
      </c>
      <c r="B59" s="483">
        <v>8520</v>
      </c>
      <c r="C59" s="531">
        <f>[1]!'acct[10-08520].adjbal{1}'</f>
        <v>0</v>
      </c>
      <c r="D59" s="531">
        <f>[1]!'acct[20-08520].adjbal{1}'</f>
        <v>0</v>
      </c>
      <c r="E59" s="477"/>
      <c r="F59" s="477"/>
      <c r="G59" s="477"/>
      <c r="H59" s="530">
        <f>[1]!'acct[60-08520].adjbal{1}'</f>
        <v>0</v>
      </c>
      <c r="I59" s="477"/>
      <c r="J59" s="477"/>
      <c r="K59" s="477"/>
      <c r="L59" s="524"/>
    </row>
    <row r="60" spans="1:12" s="485" customFormat="1" ht="14.25" thickTop="1" thickBot="1" x14ac:dyDescent="0.25">
      <c r="A60" s="1506" t="s">
        <v>601</v>
      </c>
      <c r="B60" s="483">
        <v>8530</v>
      </c>
      <c r="C60" s="531">
        <f>[1]!'acct[10-08530].adjbal{1}'</f>
        <v>0</v>
      </c>
      <c r="D60" s="531">
        <f>[1]!'acct[20-08530].adjbal{1}'</f>
        <v>0</v>
      </c>
      <c r="E60" s="477"/>
      <c r="F60" s="477"/>
      <c r="G60" s="477"/>
      <c r="H60" s="530">
        <f>[1]!'acct[60-08530].adjbal{1}'</f>
        <v>0</v>
      </c>
      <c r="I60" s="477"/>
      <c r="J60" s="477"/>
      <c r="K60" s="477"/>
      <c r="L60" s="524"/>
    </row>
    <row r="61" spans="1:12" s="485" customFormat="1" ht="14.25" thickTop="1" thickBot="1" x14ac:dyDescent="0.25">
      <c r="A61" s="1507" t="s">
        <v>767</v>
      </c>
      <c r="B61" s="483">
        <v>8540</v>
      </c>
      <c r="C61" s="531">
        <f>[1]!'acct[10-08540].adjbal{1}'</f>
        <v>0</v>
      </c>
      <c r="D61" s="531">
        <f>[1]!'acct[20-08540].adjbal{1}'</f>
        <v>0</v>
      </c>
      <c r="E61" s="477"/>
      <c r="F61" s="477"/>
      <c r="G61" s="477"/>
      <c r="H61" s="530">
        <f>[1]!'acct[60-08540].adjbal{1}'</f>
        <v>0</v>
      </c>
      <c r="I61" s="477"/>
      <c r="J61" s="477"/>
      <c r="K61" s="477"/>
      <c r="L61" s="524"/>
    </row>
    <row r="62" spans="1:12" s="485" customFormat="1" ht="13.5" customHeight="1" thickTop="1" thickBot="1" x14ac:dyDescent="0.25">
      <c r="A62" s="1506" t="s">
        <v>768</v>
      </c>
      <c r="B62" s="483">
        <v>8610</v>
      </c>
      <c r="C62" s="531">
        <f>[1]!'acct[10-08610].adjbal{1}'</f>
        <v>0</v>
      </c>
      <c r="D62" s="531">
        <f>[1]!'acct[20-08610].adjbal{1}'</f>
        <v>0</v>
      </c>
      <c r="E62" s="477"/>
      <c r="F62" s="477"/>
      <c r="G62" s="477"/>
      <c r="H62" s="477"/>
      <c r="I62" s="477"/>
      <c r="J62" s="477"/>
      <c r="K62" s="477"/>
      <c r="L62" s="524"/>
    </row>
    <row r="63" spans="1:12" s="485" customFormat="1" ht="14.25" thickTop="1" thickBot="1" x14ac:dyDescent="0.25">
      <c r="A63" s="1507" t="s">
        <v>719</v>
      </c>
      <c r="B63" s="483">
        <v>8620</v>
      </c>
      <c r="C63" s="531">
        <f>[1]!'acct[10-08620].adjbal{1}'</f>
        <v>0</v>
      </c>
      <c r="D63" s="531">
        <f>[1]!'acct[20-08620].adjbal{1}'</f>
        <v>0</v>
      </c>
      <c r="E63" s="477"/>
      <c r="F63" s="477"/>
      <c r="G63" s="477"/>
      <c r="H63" s="477"/>
      <c r="I63" s="477"/>
      <c r="J63" s="477"/>
      <c r="K63" s="477"/>
      <c r="L63" s="524"/>
    </row>
    <row r="64" spans="1:12" s="485" customFormat="1" ht="13.5" customHeight="1" thickTop="1" thickBot="1" x14ac:dyDescent="0.25">
      <c r="A64" s="1506" t="s">
        <v>769</v>
      </c>
      <c r="B64" s="483">
        <v>8630</v>
      </c>
      <c r="C64" s="531">
        <f>[1]!'acct[10-08630].adjbal{1}'</f>
        <v>0</v>
      </c>
      <c r="D64" s="531">
        <f>[1]!'acct[20-08630].adjbal{1}'</f>
        <v>0</v>
      </c>
      <c r="E64" s="477"/>
      <c r="F64" s="477"/>
      <c r="G64" s="477"/>
      <c r="H64" s="477"/>
      <c r="I64" s="477"/>
      <c r="J64" s="477"/>
      <c r="K64" s="477"/>
      <c r="L64" s="524"/>
    </row>
    <row r="65" spans="1:12" s="485" customFormat="1" ht="14.25" thickTop="1" thickBot="1" x14ac:dyDescent="0.25">
      <c r="A65" s="1507" t="s">
        <v>770</v>
      </c>
      <c r="B65" s="483">
        <v>8640</v>
      </c>
      <c r="C65" s="531">
        <f>[1]!'acct[10-08640].adjbal{1}'</f>
        <v>0</v>
      </c>
      <c r="D65" s="531">
        <f>[1]!'acct[20-08640].adjbal{1}'</f>
        <v>0</v>
      </c>
      <c r="E65" s="477"/>
      <c r="F65" s="477"/>
      <c r="G65" s="477"/>
      <c r="H65" s="477"/>
      <c r="I65" s="477"/>
      <c r="J65" s="477"/>
      <c r="K65" s="477"/>
      <c r="L65" s="524"/>
    </row>
    <row r="66" spans="1:12" s="485" customFormat="1" ht="14.25" thickTop="1" thickBot="1" x14ac:dyDescent="0.25">
      <c r="A66" s="1506" t="s">
        <v>771</v>
      </c>
      <c r="B66" s="483">
        <v>8710</v>
      </c>
      <c r="C66" s="531">
        <f>[1]!'acct[10-08710].adjbal{1}'</f>
        <v>0</v>
      </c>
      <c r="D66" s="531">
        <f>[1]!'acct[20-08710].adjbal{1}'</f>
        <v>0</v>
      </c>
      <c r="E66" s="477"/>
      <c r="F66" s="477"/>
      <c r="G66" s="477"/>
      <c r="H66" s="477"/>
      <c r="I66" s="477"/>
      <c r="J66" s="477"/>
      <c r="K66" s="477"/>
      <c r="L66" s="524"/>
    </row>
    <row r="67" spans="1:12" s="485" customFormat="1" ht="14.25" thickTop="1" thickBot="1" x14ac:dyDescent="0.25">
      <c r="A67" s="1507" t="s">
        <v>720</v>
      </c>
      <c r="B67" s="483">
        <v>8720</v>
      </c>
      <c r="C67" s="531">
        <f>[1]!'acct[10-08720].adjbal{1}'</f>
        <v>0</v>
      </c>
      <c r="D67" s="531">
        <f>[1]!'acct[20-08720].adjbal{1}'</f>
        <v>0</v>
      </c>
      <c r="E67" s="477"/>
      <c r="F67" s="477"/>
      <c r="G67" s="477"/>
      <c r="H67" s="477"/>
      <c r="I67" s="477"/>
      <c r="J67" s="477"/>
      <c r="K67" s="477"/>
      <c r="L67" s="524"/>
    </row>
    <row r="68" spans="1:12" s="485" customFormat="1" ht="14.25" thickTop="1" thickBot="1" x14ac:dyDescent="0.25">
      <c r="A68" s="1508" t="s">
        <v>772</v>
      </c>
      <c r="B68" s="483">
        <v>8730</v>
      </c>
      <c r="C68" s="531">
        <f>[1]!'acct[10-08730].adjbal{1}'</f>
        <v>0</v>
      </c>
      <c r="D68" s="531">
        <f>[1]!'acct[20-08730].adjbal{1}'</f>
        <v>0</v>
      </c>
      <c r="E68" s="477"/>
      <c r="F68" s="477"/>
      <c r="G68" s="477"/>
      <c r="H68" s="477"/>
      <c r="I68" s="477"/>
      <c r="J68" s="477"/>
      <c r="K68" s="477"/>
      <c r="L68" s="524"/>
    </row>
    <row r="69" spans="1:12" s="485" customFormat="1" ht="14.25" thickTop="1" thickBot="1" x14ac:dyDescent="0.25">
      <c r="A69" s="1507" t="s">
        <v>773</v>
      </c>
      <c r="B69" s="483">
        <v>8740</v>
      </c>
      <c r="C69" s="531">
        <f>[1]!'acct[10-08740].adjbal{1}'</f>
        <v>0</v>
      </c>
      <c r="D69" s="531">
        <f>[1]!'acct[20-08740].adjbal{1}'</f>
        <v>0</v>
      </c>
      <c r="E69" s="477"/>
      <c r="F69" s="477"/>
      <c r="G69" s="477"/>
      <c r="H69" s="477"/>
      <c r="I69" s="477"/>
      <c r="J69" s="477"/>
      <c r="K69" s="477"/>
      <c r="L69" s="524"/>
    </row>
    <row r="70" spans="1:12" s="485" customFormat="1" ht="14.25" thickTop="1" thickBot="1" x14ac:dyDescent="0.25">
      <c r="A70" s="1506" t="s">
        <v>774</v>
      </c>
      <c r="B70" s="483">
        <v>8810</v>
      </c>
      <c r="C70" s="531">
        <f>[1]!'acct[10-08810].adjbal{1}'</f>
        <v>0</v>
      </c>
      <c r="D70" s="531">
        <f>[1]!'acct[20-08810].adjbal{1}'</f>
        <v>0</v>
      </c>
      <c r="E70" s="477"/>
      <c r="F70" s="477"/>
      <c r="G70" s="477"/>
      <c r="H70" s="477"/>
      <c r="I70" s="477"/>
      <c r="J70" s="477"/>
      <c r="K70" s="477"/>
      <c r="L70" s="524"/>
    </row>
    <row r="71" spans="1:12" s="485" customFormat="1" ht="14.25" thickTop="1" thickBot="1" x14ac:dyDescent="0.25">
      <c r="A71" s="1506" t="s">
        <v>778</v>
      </c>
      <c r="B71" s="483">
        <v>8820</v>
      </c>
      <c r="C71" s="531">
        <f>[1]!'acct[10-08820].adjbal{1}'</f>
        <v>0</v>
      </c>
      <c r="D71" s="531">
        <f>[1]!'acct[20-08820].adjbal{1}'</f>
        <v>0</v>
      </c>
      <c r="E71" s="477"/>
      <c r="F71" s="477"/>
      <c r="G71" s="477"/>
      <c r="H71" s="477"/>
      <c r="I71" s="477"/>
      <c r="J71" s="477"/>
      <c r="K71" s="477"/>
      <c r="L71" s="524"/>
    </row>
    <row r="72" spans="1:12" s="485" customFormat="1" ht="14.25" thickTop="1" thickBot="1" x14ac:dyDescent="0.25">
      <c r="A72" s="1506" t="s">
        <v>775</v>
      </c>
      <c r="B72" s="483">
        <v>8830</v>
      </c>
      <c r="C72" s="531">
        <f>[1]!'acct[10-08830].adjbal{1}'</f>
        <v>0</v>
      </c>
      <c r="D72" s="531">
        <f>[1]!'acct[20-08830].adjbal{1}'</f>
        <v>0</v>
      </c>
      <c r="E72" s="477"/>
      <c r="F72" s="477"/>
      <c r="G72" s="477"/>
      <c r="H72" s="477"/>
      <c r="I72" s="477"/>
      <c r="J72" s="477"/>
      <c r="K72" s="477"/>
      <c r="L72" s="524"/>
    </row>
    <row r="73" spans="1:12" s="485" customFormat="1" ht="14.25" thickTop="1" thickBot="1" x14ac:dyDescent="0.25">
      <c r="A73" s="1506" t="s">
        <v>776</v>
      </c>
      <c r="B73" s="483">
        <v>8840</v>
      </c>
      <c r="C73" s="531">
        <f>[1]!'acct[10-08840].adjbal{1}'</f>
        <v>0</v>
      </c>
      <c r="D73" s="531">
        <f>[1]!'acct[20-08840].adjbal{1}'</f>
        <v>0</v>
      </c>
      <c r="E73" s="477"/>
      <c r="F73" s="477"/>
      <c r="G73" s="477"/>
      <c r="H73" s="477"/>
      <c r="I73" s="477"/>
      <c r="J73" s="477"/>
      <c r="K73" s="480"/>
      <c r="L73" s="524"/>
    </row>
    <row r="74" spans="1:12" s="485" customFormat="1" ht="14.25" thickTop="1" thickBot="1" x14ac:dyDescent="0.25">
      <c r="A74" s="1506" t="s">
        <v>393</v>
      </c>
      <c r="B74" s="483">
        <v>8910</v>
      </c>
      <c r="C74" s="531">
        <f>[1]!'acct[10-08910].adjbal{1}'</f>
        <v>0</v>
      </c>
      <c r="D74" s="531">
        <f>[1]!'acct[20-08910].adjbal{1}'</f>
        <v>0</v>
      </c>
      <c r="E74" s="480"/>
      <c r="F74" s="530">
        <f>[1]!'acct[40-08910].adjbal{1}'</f>
        <v>0</v>
      </c>
      <c r="G74" s="530">
        <f>[1]!'acct[50-08910].adjbal{1}'</f>
        <v>0</v>
      </c>
      <c r="H74" s="530">
        <f>[1]!'acct[60-08910].adjbal{1}'</f>
        <v>0</v>
      </c>
      <c r="I74" s="480"/>
      <c r="J74" s="480"/>
      <c r="K74" s="530">
        <f>[1]!'acct[90-08910].adjbal{1}'</f>
        <v>0</v>
      </c>
      <c r="L74" s="524"/>
    </row>
    <row r="75" spans="1:12" s="485" customFormat="1" ht="14.25" thickTop="1" thickBot="1" x14ac:dyDescent="0.25">
      <c r="A75" s="1509" t="s">
        <v>459</v>
      </c>
      <c r="B75" s="483">
        <v>8990</v>
      </c>
      <c r="C75" s="531">
        <f>[1]!'acct[10-08990].adjbal{1}'</f>
        <v>0</v>
      </c>
      <c r="D75" s="531">
        <f>[1]!'acct[20-08990].adjbal{1}'</f>
        <v>0</v>
      </c>
      <c r="E75" s="530">
        <f>[1]!'acct[30-08990].adjbal{1}'</f>
        <v>0</v>
      </c>
      <c r="F75" s="532">
        <f>[1]!'acct[40-08990].adjbal{1}'</f>
        <v>0</v>
      </c>
      <c r="G75" s="532">
        <f>[1]!'acct[50-08990].adjbal{1}'</f>
        <v>0</v>
      </c>
      <c r="H75" s="532">
        <f>[1]!'acct[60-08990].adjbal{1}'</f>
        <v>0</v>
      </c>
      <c r="I75" s="530">
        <f>[1]!'acct[70-08990].adjbal{1}'</f>
        <v>0</v>
      </c>
      <c r="J75" s="530">
        <f>[1]!'acct[80-08990].adjbal{1}'</f>
        <v>0</v>
      </c>
      <c r="K75" s="532">
        <f>[1]!'acct[90-08990].adjbal{1}'</f>
        <v>0</v>
      </c>
      <c r="L75" s="524"/>
    </row>
    <row r="76" spans="1:12" s="485" customFormat="1" ht="14.25" thickTop="1" thickBot="1" x14ac:dyDescent="0.25">
      <c r="A76" s="2145" t="s">
        <v>460</v>
      </c>
      <c r="B76" s="2146"/>
      <c r="C76" s="1718">
        <f t="shared" ref="C76:K76" si="7">SUM(C47:C75)</f>
        <v>22001</v>
      </c>
      <c r="D76" s="1718">
        <f t="shared" si="7"/>
        <v>0</v>
      </c>
      <c r="E76" s="1718">
        <f t="shared" si="7"/>
        <v>0</v>
      </c>
      <c r="F76" s="1718">
        <f t="shared" si="7"/>
        <v>0</v>
      </c>
      <c r="G76" s="1718">
        <f t="shared" si="7"/>
        <v>0</v>
      </c>
      <c r="H76" s="1718">
        <f t="shared" si="7"/>
        <v>0</v>
      </c>
      <c r="I76" s="1718">
        <f t="shared" si="7"/>
        <v>53000</v>
      </c>
      <c r="J76" s="1718">
        <f t="shared" si="7"/>
        <v>0</v>
      </c>
      <c r="K76" s="1718">
        <f t="shared" si="7"/>
        <v>0</v>
      </c>
      <c r="L76" s="524"/>
    </row>
    <row r="77" spans="1:12" ht="14.25" thickTop="1" thickBot="1" x14ac:dyDescent="0.25">
      <c r="A77" s="2147" t="s">
        <v>1239</v>
      </c>
      <c r="B77" s="2148"/>
      <c r="C77" s="1718">
        <f t="shared" ref="C77:K77" si="8">C44-C76</f>
        <v>-22001</v>
      </c>
      <c r="D77" s="1718">
        <f t="shared" si="8"/>
        <v>0</v>
      </c>
      <c r="E77" s="1718">
        <f t="shared" si="8"/>
        <v>22001</v>
      </c>
      <c r="F77" s="1718">
        <f t="shared" si="8"/>
        <v>53000</v>
      </c>
      <c r="G77" s="1718">
        <f t="shared" si="8"/>
        <v>0</v>
      </c>
      <c r="H77" s="1718">
        <f t="shared" si="8"/>
        <v>0</v>
      </c>
      <c r="I77" s="1718">
        <f t="shared" si="8"/>
        <v>-53000</v>
      </c>
      <c r="J77" s="1718">
        <f t="shared" si="8"/>
        <v>0</v>
      </c>
      <c r="K77" s="1718">
        <f t="shared" si="8"/>
        <v>0</v>
      </c>
      <c r="L77" s="347"/>
    </row>
    <row r="78" spans="1:12" ht="21.75" customHeight="1" thickTop="1" thickBot="1" x14ac:dyDescent="0.25">
      <c r="A78" s="2151" t="s">
        <v>618</v>
      </c>
      <c r="B78" s="2152"/>
      <c r="C78" s="1717">
        <f t="shared" ref="C78:K78" si="9">C20+C77</f>
        <v>164368</v>
      </c>
      <c r="D78" s="1717">
        <f t="shared" si="9"/>
        <v>66870</v>
      </c>
      <c r="E78" s="1717">
        <f t="shared" si="9"/>
        <v>-657</v>
      </c>
      <c r="F78" s="1717">
        <f t="shared" si="9"/>
        <v>77135</v>
      </c>
      <c r="G78" s="1717">
        <f t="shared" si="9"/>
        <v>27437</v>
      </c>
      <c r="H78" s="1717">
        <f t="shared" si="9"/>
        <v>-42006</v>
      </c>
      <c r="I78" s="1717">
        <f t="shared" si="9"/>
        <v>49877</v>
      </c>
      <c r="J78" s="1717">
        <f t="shared" si="9"/>
        <v>9428</v>
      </c>
      <c r="K78" s="1717">
        <f t="shared" si="9"/>
        <v>69759</v>
      </c>
      <c r="L78" s="533"/>
    </row>
    <row r="79" spans="1:12" ht="13.5" thickTop="1" x14ac:dyDescent="0.2">
      <c r="A79" s="1510" t="s">
        <v>2071</v>
      </c>
      <c r="B79" s="534"/>
      <c r="C79" s="478">
        <v>2111367</v>
      </c>
      <c r="D79" s="535">
        <v>495681</v>
      </c>
      <c r="E79" s="535">
        <v>84109</v>
      </c>
      <c r="F79" s="535">
        <v>-221442</v>
      </c>
      <c r="G79" s="535">
        <v>349593</v>
      </c>
      <c r="H79" s="535">
        <v>395970</v>
      </c>
      <c r="I79" s="535">
        <v>395312</v>
      </c>
      <c r="J79" s="535">
        <v>93059</v>
      </c>
      <c r="K79" s="535">
        <v>172514</v>
      </c>
      <c r="L79" s="347"/>
    </row>
    <row r="80" spans="1:12" x14ac:dyDescent="0.2">
      <c r="A80" s="2157" t="s">
        <v>1896</v>
      </c>
      <c r="B80" s="2158"/>
      <c r="C80" s="467"/>
      <c r="D80" s="467"/>
      <c r="E80" s="467"/>
      <c r="F80" s="467"/>
      <c r="G80" s="467"/>
      <c r="H80" s="467"/>
      <c r="I80" s="467"/>
      <c r="J80" s="467"/>
      <c r="K80" s="467"/>
      <c r="L80" s="347"/>
    </row>
    <row r="81" spans="1:12" ht="13.5" thickBot="1" x14ac:dyDescent="0.25">
      <c r="A81" s="2149" t="s">
        <v>2072</v>
      </c>
      <c r="B81" s="2150"/>
      <c r="C81" s="1703">
        <f>(SUM(C78:C80))</f>
        <v>2275735</v>
      </c>
      <c r="D81" s="1703">
        <f>SUM(D78:D80)</f>
        <v>562551</v>
      </c>
      <c r="E81" s="1703">
        <f t="shared" ref="E81:K81" si="10">SUM(E78:E80)</f>
        <v>83452</v>
      </c>
      <c r="F81" s="1703">
        <f t="shared" si="10"/>
        <v>-144307</v>
      </c>
      <c r="G81" s="1703">
        <f t="shared" si="10"/>
        <v>377030</v>
      </c>
      <c r="H81" s="1703">
        <f t="shared" si="10"/>
        <v>353964</v>
      </c>
      <c r="I81" s="1703">
        <f t="shared" si="10"/>
        <v>445189</v>
      </c>
      <c r="J81" s="1703">
        <f t="shared" si="10"/>
        <v>102487</v>
      </c>
      <c r="K81" s="1703">
        <f t="shared" si="10"/>
        <v>242273</v>
      </c>
      <c r="L81" s="347"/>
    </row>
    <row r="82" spans="1:12" ht="0.75" customHeight="1" thickTop="1" thickBot="1" x14ac:dyDescent="0.25">
      <c r="A82" s="536" t="s">
        <v>361</v>
      </c>
      <c r="B82" s="537"/>
      <c r="C82" s="538">
        <f>(C81-C79)</f>
        <v>164368</v>
      </c>
      <c r="D82" s="538">
        <f t="shared" ref="D82:K82" si="11">(D81-D79)</f>
        <v>66870</v>
      </c>
      <c r="E82" s="538">
        <f t="shared" si="11"/>
        <v>-657</v>
      </c>
      <c r="F82" s="538">
        <f t="shared" si="11"/>
        <v>77135</v>
      </c>
      <c r="G82" s="538">
        <f t="shared" si="11"/>
        <v>27437</v>
      </c>
      <c r="H82" s="538">
        <f t="shared" si="11"/>
        <v>-42006</v>
      </c>
      <c r="I82" s="538">
        <f t="shared" si="11"/>
        <v>49877</v>
      </c>
      <c r="J82" s="538">
        <f t="shared" si="11"/>
        <v>9428</v>
      </c>
      <c r="K82" s="538">
        <f t="shared" si="11"/>
        <v>69759</v>
      </c>
    </row>
    <row r="83" spans="1:12" ht="14.25" hidden="1" thickTop="1" thickBot="1" x14ac:dyDescent="0.25">
      <c r="A83" s="539" t="s">
        <v>362</v>
      </c>
      <c r="B83" s="464"/>
      <c r="C83" s="540">
        <f>C82/C81</f>
        <v>7.2226335667377795E-2</v>
      </c>
      <c r="D83" s="540">
        <f t="shared" ref="D83:K83" si="12">D82/D81</f>
        <v>0.11886922252382451</v>
      </c>
      <c r="E83" s="540">
        <f t="shared" si="12"/>
        <v>-7.8727891482528872E-3</v>
      </c>
      <c r="F83" s="540">
        <f t="shared" si="12"/>
        <v>-0.53452015494743843</v>
      </c>
      <c r="G83" s="540">
        <f t="shared" si="12"/>
        <v>7.2771397501525073E-2</v>
      </c>
      <c r="H83" s="540">
        <f t="shared" si="12"/>
        <v>-0.11867308539851511</v>
      </c>
      <c r="I83" s="540">
        <f t="shared" si="12"/>
        <v>0.11203556242404911</v>
      </c>
      <c r="J83" s="540">
        <f t="shared" si="12"/>
        <v>9.199215510259838E-2</v>
      </c>
      <c r="K83" s="540">
        <f t="shared" si="12"/>
        <v>0.28793551076677965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B29" sqref="B29"/>
      <selection pane="bottomLeft" activeCell="B29" sqref="B2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1903</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5" t="s">
        <v>115</v>
      </c>
      <c r="B3" s="1596"/>
      <c r="C3" s="1597"/>
      <c r="D3" s="1597"/>
      <c r="E3" s="1597"/>
      <c r="F3" s="1598"/>
      <c r="G3" s="1599"/>
      <c r="H3" s="1598"/>
      <c r="I3" s="1598"/>
      <c r="J3" s="1598"/>
      <c r="K3" s="1600"/>
    </row>
    <row r="4" spans="1:12" ht="15.75" customHeight="1" x14ac:dyDescent="0.2">
      <c r="A4" s="1606" t="s">
        <v>397</v>
      </c>
      <c r="B4" s="1607">
        <v>1100</v>
      </c>
      <c r="C4" s="543"/>
      <c r="D4" s="543"/>
      <c r="E4" s="543"/>
      <c r="F4" s="544"/>
      <c r="G4" s="545"/>
      <c r="H4" s="546"/>
      <c r="I4" s="546"/>
      <c r="J4" s="546"/>
      <c r="K4" s="546"/>
    </row>
    <row r="5" spans="1:12" ht="15" x14ac:dyDescent="0.2">
      <c r="A5" s="493" t="s">
        <v>1760</v>
      </c>
      <c r="B5" s="547"/>
      <c r="C5" s="481">
        <f>[1]!'acct[10-01110].adjbal{1}/VR'+[1]!'acct[10-01120].adjbal{1}/VR'</f>
        <v>4959721</v>
      </c>
      <c r="D5" s="481">
        <f>[1]!'acct[20-01110].adjbal{1}/VR'+[1]!'acct[20-01120].adjbal{1}/VR'</f>
        <v>1026360</v>
      </c>
      <c r="E5" s="466">
        <f>[1]!'acct[30-01110].adjbal{1}/VR'+[1]!'acct[30-01120].adjbal{1}/VR'</f>
        <v>395504</v>
      </c>
      <c r="F5" s="548">
        <f>[1]!'acct[40-01110].adjbal{1}/VR'+[1]!'acct[40-01120].adjbal{1}/VR'</f>
        <v>410546</v>
      </c>
      <c r="G5" s="466">
        <f>[1]!'acct[50-01110].adjbal{1}/VR'</f>
        <v>147179</v>
      </c>
      <c r="H5" s="466">
        <f>[1]!'acct[60-01110].adjbal{1}/VR'</f>
        <v>0</v>
      </c>
      <c r="I5" s="466">
        <f>[1]!'acct[70-01110].adjbal{1}/VR'</f>
        <v>102635</v>
      </c>
      <c r="J5" s="467">
        <f>[1]!'acct[80-01110].adjbal{1}/VR'</f>
        <v>303409</v>
      </c>
      <c r="K5" s="466">
        <f>[1]!'acct[90-01110].adjbal{1}/VR'</f>
        <v>102635</v>
      </c>
    </row>
    <row r="6" spans="1:12" ht="15" x14ac:dyDescent="0.2">
      <c r="A6" s="463" t="s">
        <v>1761</v>
      </c>
      <c r="B6" s="470">
        <v>1130</v>
      </c>
      <c r="C6" s="466">
        <f>[1]!'acct[10-01130].adjbal{1}/VR'</f>
        <v>102636</v>
      </c>
      <c r="D6" s="466">
        <f>[1]!'acct[20-01130].adjbal{1}/VR'</f>
        <v>0</v>
      </c>
      <c r="E6" s="475"/>
      <c r="F6" s="475"/>
      <c r="G6" s="468"/>
      <c r="H6" s="468"/>
      <c r="I6" s="468"/>
      <c r="J6" s="468"/>
      <c r="K6" s="468"/>
    </row>
    <row r="7" spans="1:12" x14ac:dyDescent="0.2">
      <c r="A7" s="463" t="s">
        <v>112</v>
      </c>
      <c r="B7" s="549">
        <v>1140</v>
      </c>
      <c r="C7" s="466">
        <f>[1]!'acct[10-01140].adjbal{1}/VR'</f>
        <v>82109</v>
      </c>
      <c r="D7" s="466">
        <f>[1]!'acct[20-01140].adjbal{1}/VR'</f>
        <v>0</v>
      </c>
      <c r="E7" s="468"/>
      <c r="F7" s="467">
        <f>[1]!'acct[40-01140].adjbal{1}/VR'</f>
        <v>0</v>
      </c>
      <c r="G7" s="467">
        <f>[1]!'acct[50-01140].adjbal{1}/VR'</f>
        <v>0</v>
      </c>
      <c r="H7" s="467">
        <f>[1]!'acct[60-01140].adjbal{1}/VR'</f>
        <v>0</v>
      </c>
      <c r="I7" s="468"/>
      <c r="J7" s="468"/>
      <c r="K7" s="468"/>
    </row>
    <row r="8" spans="1:12" x14ac:dyDescent="0.2">
      <c r="A8" s="463" t="s">
        <v>433</v>
      </c>
      <c r="B8" s="470">
        <v>1150</v>
      </c>
      <c r="C8" s="475"/>
      <c r="D8" s="475"/>
      <c r="E8" s="477"/>
      <c r="F8" s="477"/>
      <c r="G8" s="481">
        <f>[1]!'acct[50-01150].adjbal{1}/VR'</f>
        <v>187425</v>
      </c>
      <c r="H8" s="468"/>
      <c r="I8" s="468"/>
      <c r="J8" s="468"/>
      <c r="K8" s="468"/>
    </row>
    <row r="9" spans="1:12" x14ac:dyDescent="0.2">
      <c r="A9" s="473" t="s">
        <v>113</v>
      </c>
      <c r="B9" s="470">
        <v>1160</v>
      </c>
      <c r="C9" s="468"/>
      <c r="D9" s="467">
        <f>[1]!'acct[20-01160].adjbal{1}/VR'</f>
        <v>0</v>
      </c>
      <c r="E9" s="467">
        <f>[1]!'acct[30-01160].adjbal{1}/VR'</f>
        <v>0</v>
      </c>
      <c r="F9" s="469"/>
      <c r="G9" s="475"/>
      <c r="H9" s="467">
        <f>[1]!'acct[60-01160].adjbal{1}/VR'</f>
        <v>0</v>
      </c>
      <c r="I9" s="468"/>
      <c r="J9" s="468"/>
      <c r="K9" s="468"/>
    </row>
    <row r="10" spans="1:12" x14ac:dyDescent="0.2">
      <c r="A10" s="473" t="s">
        <v>114</v>
      </c>
      <c r="B10" s="470">
        <v>1170</v>
      </c>
      <c r="C10" s="467">
        <f>[1]!'acct[10-01170].adjbal{1}/VR'</f>
        <v>0</v>
      </c>
      <c r="D10" s="526"/>
      <c r="E10" s="526"/>
      <c r="F10" s="469"/>
      <c r="G10" s="468"/>
      <c r="H10" s="468"/>
      <c r="I10" s="468"/>
      <c r="J10" s="468"/>
      <c r="K10" s="468"/>
    </row>
    <row r="11" spans="1:12" x14ac:dyDescent="0.2">
      <c r="A11" s="473" t="s">
        <v>434</v>
      </c>
      <c r="B11" s="550">
        <v>1190</v>
      </c>
      <c r="C11" s="551">
        <f>[1]!'acct[10-01190].adjbal{1}/VR'</f>
        <v>0</v>
      </c>
      <c r="D11" s="466">
        <f>[1]!'acct[20-01190].adjbal{1}/VR'</f>
        <v>0</v>
      </c>
      <c r="E11" s="466">
        <f>[1]!'acct[30-01190].adjbal{1}/VR'</f>
        <v>0</v>
      </c>
      <c r="F11" s="466">
        <f>[1]!'acct[40-01190].adjbal{1}/VR'</f>
        <v>0</v>
      </c>
      <c r="G11" s="466">
        <f>[1]!'acct[50-01190].adjbal{1}/VR'</f>
        <v>0</v>
      </c>
      <c r="H11" s="466">
        <f>[1]!'acct[60-01190].adjbal{1}/VR'</f>
        <v>0</v>
      </c>
      <c r="I11" s="466">
        <f>[1]!'acct[70-01190].adjbal{1}/VR'</f>
        <v>0</v>
      </c>
      <c r="J11" s="467">
        <f>[1]!'acct[80-01190].adjbal{1}/VR'</f>
        <v>0</v>
      </c>
      <c r="K11" s="466">
        <f>[1]!'acct[90-01190].adjbal{1}/VR'</f>
        <v>0</v>
      </c>
      <c r="L11" s="552"/>
    </row>
    <row r="12" spans="1:12" ht="12.75" customHeight="1" thickBot="1" x14ac:dyDescent="0.25">
      <c r="A12" s="1720" t="s">
        <v>29</v>
      </c>
      <c r="B12" s="1721"/>
      <c r="C12" s="1722">
        <f t="shared" ref="C12:K12" si="0">SUM(C5:C11)</f>
        <v>5144466</v>
      </c>
      <c r="D12" s="1722">
        <f t="shared" si="0"/>
        <v>1026360</v>
      </c>
      <c r="E12" s="1722">
        <f t="shared" si="0"/>
        <v>395504</v>
      </c>
      <c r="F12" s="1722">
        <f t="shared" si="0"/>
        <v>410546</v>
      </c>
      <c r="G12" s="1722">
        <f t="shared" si="0"/>
        <v>334604</v>
      </c>
      <c r="H12" s="1722">
        <f t="shared" si="0"/>
        <v>0</v>
      </c>
      <c r="I12" s="1722">
        <f t="shared" si="0"/>
        <v>102635</v>
      </c>
      <c r="J12" s="1722">
        <f t="shared" si="0"/>
        <v>303409</v>
      </c>
      <c r="K12" s="1703">
        <f t="shared" si="0"/>
        <v>102635</v>
      </c>
    </row>
    <row r="13" spans="1:12" ht="15.75" customHeight="1" thickTop="1" x14ac:dyDescent="0.2">
      <c r="A13" s="1608" t="s">
        <v>471</v>
      </c>
      <c r="B13" s="1609">
        <v>1200</v>
      </c>
      <c r="C13" s="553"/>
      <c r="D13" s="553"/>
      <c r="E13" s="553"/>
      <c r="F13" s="553"/>
      <c r="G13" s="553"/>
      <c r="H13" s="553"/>
      <c r="I13" s="553"/>
      <c r="J13" s="553"/>
      <c r="K13" s="468"/>
    </row>
    <row r="14" spans="1:12" x14ac:dyDescent="0.2">
      <c r="A14" s="463" t="s">
        <v>3</v>
      </c>
      <c r="B14" s="470">
        <v>1210</v>
      </c>
      <c r="C14" s="551">
        <f>[1]!'acct[10-01210].adjbal{1}/VR'</f>
        <v>196</v>
      </c>
      <c r="D14" s="466">
        <f>[1]!'acct[20-01210].adjbal{1}/VR'</f>
        <v>0</v>
      </c>
      <c r="E14" s="466">
        <f>[1]!'acct[30-01210].adjbal{1}/VR'</f>
        <v>0</v>
      </c>
      <c r="F14" s="466">
        <f>[1]!'acct[40-01210].adjbal{1}/VR'</f>
        <v>0</v>
      </c>
      <c r="G14" s="466">
        <f>[1]!'acct[50-01210].adjbal{1}/VR'</f>
        <v>0</v>
      </c>
      <c r="H14" s="466">
        <f>[1]!'acct[60-01210].adjbal{1}/VR'</f>
        <v>0</v>
      </c>
      <c r="I14" s="466">
        <f>[1]!'acct[70-01210].adjbal{1}/VR'</f>
        <v>0</v>
      </c>
      <c r="J14" s="467">
        <f>[1]!'acct[80-01210].adjbal{1}/VR'</f>
        <v>0</v>
      </c>
      <c r="K14" s="466">
        <f>[1]!'acct[90-01210].adjbal{1}/VR'</f>
        <v>0</v>
      </c>
    </row>
    <row r="15" spans="1:12" ht="12.75" customHeight="1" x14ac:dyDescent="0.2">
      <c r="A15" s="463" t="s">
        <v>97</v>
      </c>
      <c r="B15" s="470">
        <v>1220</v>
      </c>
      <c r="C15" s="551">
        <f>[1]!'acct[10-01220].adjbal{1}/VR'</f>
        <v>0</v>
      </c>
      <c r="D15" s="466">
        <f>[1]!'acct[20-01220].adjbal{1}/VR'</f>
        <v>0</v>
      </c>
      <c r="E15" s="466">
        <f>[1]!'acct[30-01220].adjbal{1}/VR'</f>
        <v>0</v>
      </c>
      <c r="F15" s="466">
        <f>[1]!'acct[40-01220].adjbal{1}/VR'</f>
        <v>0</v>
      </c>
      <c r="G15" s="466">
        <f>[1]!'acct[50-01220].adjbal{1}/VR'</f>
        <v>0</v>
      </c>
      <c r="H15" s="466">
        <f>[1]!'acct[60-01220].adjbal{1}/VR'</f>
        <v>0</v>
      </c>
      <c r="I15" s="466">
        <f>[1]!'acct[70-01220].adjbal{1}/VR'</f>
        <v>0</v>
      </c>
      <c r="J15" s="467">
        <f>[1]!'acct[80-01220].adjbal{1}/VR'</f>
        <v>0</v>
      </c>
      <c r="K15" s="466">
        <f>[1]!'acct[90-01220].adjbal{1}/VR'</f>
        <v>0</v>
      </c>
    </row>
    <row r="16" spans="1:12" ht="15" customHeight="1" x14ac:dyDescent="0.2">
      <c r="A16" s="463" t="s">
        <v>1762</v>
      </c>
      <c r="B16" s="549">
        <v>1230</v>
      </c>
      <c r="C16" s="551">
        <f>[1]!'acct[10-01230].adjbal{1}/VR'</f>
        <v>310196</v>
      </c>
      <c r="D16" s="466">
        <f>[1]!'acct[20-01230].adjbal{1}/VR'</f>
        <v>0</v>
      </c>
      <c r="E16" s="466">
        <f>[1]!'acct[30-01230].adjbal{1}/VR'</f>
        <v>0</v>
      </c>
      <c r="F16" s="466">
        <f>[1]!'acct[40-01230].adjbal{1}/VR'</f>
        <v>0</v>
      </c>
      <c r="G16" s="466">
        <f>[1]!'acct[50-01230].adjbal{1}/VR'</f>
        <v>16000</v>
      </c>
      <c r="H16" s="466">
        <f>[1]!'acct[60-01230].adjbal{1}/VR'</f>
        <v>0</v>
      </c>
      <c r="I16" s="466">
        <f>[1]!'acct[70-01230].adjbal{1}/VR'</f>
        <v>0</v>
      </c>
      <c r="J16" s="467">
        <f>[1]!'acct[80-01230].adjbal{1}/VR'</f>
        <v>0</v>
      </c>
      <c r="K16" s="466">
        <f>[1]!'acct[90-01230].adjbal{1}/VR'</f>
        <v>0</v>
      </c>
    </row>
    <row r="17" spans="1:11" ht="12.75" customHeight="1" x14ac:dyDescent="0.2">
      <c r="A17" s="463" t="s">
        <v>840</v>
      </c>
      <c r="B17" s="470">
        <v>1290</v>
      </c>
      <c r="C17" s="551">
        <f>[1]!'acct[10-01290].adjbal{1}/VR'</f>
        <v>0</v>
      </c>
      <c r="D17" s="466">
        <f>[1]!'acct[20-01290].adjbal{1}/VR'</f>
        <v>0</v>
      </c>
      <c r="E17" s="466">
        <f>[1]!'acct[30-01290].adjbal{1}/VR'</f>
        <v>0</v>
      </c>
      <c r="F17" s="466">
        <f>[1]!'acct[40-01290].adjbal{1}/VR'</f>
        <v>0</v>
      </c>
      <c r="G17" s="466">
        <f>[1]!'acct[50-01290].adjbal{1}/VR'</f>
        <v>0</v>
      </c>
      <c r="H17" s="466">
        <f>[1]!'acct[60-01290].adjbal{1}/VR'</f>
        <v>0</v>
      </c>
      <c r="I17" s="466">
        <f>[1]!'acct[70-01290].adjbal{1}/VR'</f>
        <v>0</v>
      </c>
      <c r="J17" s="467">
        <f>[1]!'acct[80-01290].adjbal{1}/VR'</f>
        <v>0</v>
      </c>
      <c r="K17" s="466">
        <f>[1]!'acct[90-01290].adjbal{1}/VR'</f>
        <v>0</v>
      </c>
    </row>
    <row r="18" spans="1:11" ht="12.75" customHeight="1" thickBot="1" x14ac:dyDescent="0.25">
      <c r="A18" s="1723" t="s">
        <v>558</v>
      </c>
      <c r="B18" s="1724"/>
      <c r="C18" s="1725">
        <f>SUM(C14:C17)</f>
        <v>310392</v>
      </c>
      <c r="D18" s="1725">
        <f t="shared" ref="D18:K18" si="1">SUM(D14:D17)</f>
        <v>0</v>
      </c>
      <c r="E18" s="1725">
        <f t="shared" si="1"/>
        <v>0</v>
      </c>
      <c r="F18" s="1725">
        <f t="shared" si="1"/>
        <v>0</v>
      </c>
      <c r="G18" s="1725">
        <f t="shared" si="1"/>
        <v>16000</v>
      </c>
      <c r="H18" s="1725">
        <f t="shared" si="1"/>
        <v>0</v>
      </c>
      <c r="I18" s="1725">
        <f t="shared" si="1"/>
        <v>0</v>
      </c>
      <c r="J18" s="1725">
        <f t="shared" si="1"/>
        <v>0</v>
      </c>
      <c r="K18" s="1726">
        <f t="shared" si="1"/>
        <v>0</v>
      </c>
    </row>
    <row r="19" spans="1:11" ht="15.75" customHeight="1" thickTop="1" x14ac:dyDescent="0.2">
      <c r="A19" s="1608" t="s">
        <v>472</v>
      </c>
      <c r="B19" s="1609">
        <v>1300</v>
      </c>
      <c r="C19" s="554"/>
      <c r="D19" s="554"/>
      <c r="E19" s="554"/>
      <c r="F19" s="554"/>
      <c r="G19" s="553"/>
      <c r="H19" s="554"/>
      <c r="I19" s="554"/>
      <c r="J19" s="554"/>
      <c r="K19" s="555"/>
    </row>
    <row r="20" spans="1:11" x14ac:dyDescent="0.2">
      <c r="A20" s="463" t="s">
        <v>1133</v>
      </c>
      <c r="B20" s="470">
        <v>1311</v>
      </c>
      <c r="C20" s="466">
        <f>[1]!'acct[10-01311].adjbal{1}/VR'</f>
        <v>0</v>
      </c>
      <c r="D20" s="468"/>
      <c r="E20" s="468"/>
      <c r="F20" s="468"/>
      <c r="G20" s="468"/>
      <c r="H20" s="468"/>
      <c r="I20" s="468"/>
      <c r="J20" s="468"/>
      <c r="K20" s="468"/>
    </row>
    <row r="21" spans="1:11" ht="12.75" customHeight="1" x14ac:dyDescent="0.2">
      <c r="A21" s="463" t="s">
        <v>887</v>
      </c>
      <c r="B21" s="470">
        <v>1312</v>
      </c>
      <c r="C21" s="551">
        <f>[1]!'acct[10-01312].adjbal{1}/VR'</f>
        <v>0</v>
      </c>
      <c r="D21" s="468"/>
      <c r="E21" s="468"/>
      <c r="F21" s="468"/>
      <c r="G21" s="468"/>
      <c r="H21" s="468"/>
      <c r="I21" s="468"/>
      <c r="J21" s="468"/>
      <c r="K21" s="468"/>
    </row>
    <row r="22" spans="1:11" ht="12.75" customHeight="1" x14ac:dyDescent="0.2">
      <c r="A22" s="463" t="s">
        <v>1134</v>
      </c>
      <c r="B22" s="470">
        <v>1313</v>
      </c>
      <c r="C22" s="551">
        <f>[1]!'acct[10-01313].adjbal{1}/VR'</f>
        <v>0</v>
      </c>
      <c r="D22" s="468"/>
      <c r="E22" s="468"/>
      <c r="F22" s="468"/>
      <c r="G22" s="468"/>
      <c r="H22" s="468"/>
      <c r="I22" s="468"/>
      <c r="J22" s="468"/>
      <c r="K22" s="468"/>
    </row>
    <row r="23" spans="1:11" ht="12.75" customHeight="1" x14ac:dyDescent="0.2">
      <c r="A23" s="463" t="s">
        <v>1135</v>
      </c>
      <c r="B23" s="470">
        <v>1314</v>
      </c>
      <c r="C23" s="489">
        <f>[1]!'acct[10-01314].adjbal{1}/VR'</f>
        <v>0</v>
      </c>
      <c r="D23" s="468"/>
      <c r="E23" s="468"/>
      <c r="F23" s="468"/>
      <c r="G23" s="468"/>
      <c r="H23" s="468"/>
      <c r="I23" s="468"/>
      <c r="J23" s="468"/>
      <c r="K23" s="468"/>
    </row>
    <row r="24" spans="1:11" ht="12.75" customHeight="1" x14ac:dyDescent="0.2">
      <c r="A24" s="463" t="s">
        <v>1085</v>
      </c>
      <c r="B24" s="470">
        <v>1321</v>
      </c>
      <c r="C24" s="551">
        <f>[1]!'acct[10-01321].adjbal{1}/VR'</f>
        <v>0</v>
      </c>
      <c r="D24" s="468"/>
      <c r="E24" s="468"/>
      <c r="F24" s="468"/>
      <c r="G24" s="468"/>
      <c r="H24" s="468"/>
      <c r="I24" s="468"/>
      <c r="J24" s="468"/>
      <c r="K24" s="468"/>
    </row>
    <row r="25" spans="1:11" ht="12.75" customHeight="1" x14ac:dyDescent="0.2">
      <c r="A25" s="463" t="s">
        <v>888</v>
      </c>
      <c r="B25" s="470">
        <v>1322</v>
      </c>
      <c r="C25" s="551">
        <f>[1]!'acct[10-01322].adjbal{1}/VR'</f>
        <v>0</v>
      </c>
      <c r="D25" s="468"/>
      <c r="E25" s="468"/>
      <c r="F25" s="468"/>
      <c r="G25" s="468"/>
      <c r="H25" s="468"/>
      <c r="I25" s="468"/>
      <c r="J25" s="468"/>
      <c r="K25" s="468"/>
    </row>
    <row r="26" spans="1:11" ht="12.75" customHeight="1" x14ac:dyDescent="0.2">
      <c r="A26" s="463" t="s">
        <v>1163</v>
      </c>
      <c r="B26" s="470">
        <v>1323</v>
      </c>
      <c r="C26" s="551">
        <f>[1]!'acct[10-01323].adjbal{1}/VR'</f>
        <v>0</v>
      </c>
      <c r="D26" s="468"/>
      <c r="E26" s="468"/>
      <c r="F26" s="468"/>
      <c r="G26" s="468"/>
      <c r="H26" s="468"/>
      <c r="I26" s="468"/>
      <c r="J26" s="468"/>
      <c r="K26" s="468"/>
    </row>
    <row r="27" spans="1:11" ht="12.75" customHeight="1" x14ac:dyDescent="0.2">
      <c r="A27" s="463" t="s">
        <v>1081</v>
      </c>
      <c r="B27" s="470">
        <v>1324</v>
      </c>
      <c r="C27" s="489">
        <f>[1]!'acct[10-01324].adjbal{1}/VR'</f>
        <v>0</v>
      </c>
      <c r="D27" s="468"/>
      <c r="E27" s="468"/>
      <c r="F27" s="468"/>
      <c r="G27" s="468"/>
      <c r="H27" s="468"/>
      <c r="I27" s="468"/>
      <c r="J27" s="468"/>
      <c r="K27" s="468"/>
    </row>
    <row r="28" spans="1:11" ht="12.75" customHeight="1" x14ac:dyDescent="0.2">
      <c r="A28" s="463" t="s">
        <v>1082</v>
      </c>
      <c r="B28" s="470">
        <v>1331</v>
      </c>
      <c r="C28" s="551">
        <f>[1]!'acct[10-01331].adjbal{1}/VR'</f>
        <v>0</v>
      </c>
      <c r="D28" s="468"/>
      <c r="E28" s="468"/>
      <c r="F28" s="468"/>
      <c r="G28" s="468"/>
      <c r="H28" s="468"/>
      <c r="I28" s="468"/>
      <c r="J28" s="468"/>
      <c r="K28" s="468"/>
    </row>
    <row r="29" spans="1:11" ht="12.75" customHeight="1" x14ac:dyDescent="0.2">
      <c r="A29" s="463" t="s">
        <v>889</v>
      </c>
      <c r="B29" s="470">
        <v>1332</v>
      </c>
      <c r="C29" s="551">
        <f>[1]!'acct[10-01332].adjbal{1}/VR'</f>
        <v>0</v>
      </c>
      <c r="D29" s="468"/>
      <c r="E29" s="468"/>
      <c r="F29" s="468"/>
      <c r="G29" s="468"/>
      <c r="H29" s="468"/>
      <c r="I29" s="468"/>
      <c r="J29" s="468"/>
      <c r="K29" s="468"/>
    </row>
    <row r="30" spans="1:11" ht="12.75" customHeight="1" x14ac:dyDescent="0.2">
      <c r="A30" s="463" t="s">
        <v>1084</v>
      </c>
      <c r="B30" s="470">
        <v>1333</v>
      </c>
      <c r="C30" s="551">
        <f>[1]!'acct[10-01333].adjbal{1}/VR'</f>
        <v>0</v>
      </c>
      <c r="D30" s="468"/>
      <c r="E30" s="468"/>
      <c r="F30" s="468"/>
      <c r="G30" s="468"/>
      <c r="H30" s="468"/>
      <c r="I30" s="468"/>
      <c r="J30" s="468"/>
      <c r="K30" s="468"/>
    </row>
    <row r="31" spans="1:11" ht="12.75" customHeight="1" x14ac:dyDescent="0.2">
      <c r="A31" s="463" t="s">
        <v>1083</v>
      </c>
      <c r="B31" s="470">
        <v>1334</v>
      </c>
      <c r="C31" s="489">
        <f>[1]!'acct[10-01334].adjbal{1}/VR'</f>
        <v>0</v>
      </c>
      <c r="D31" s="468"/>
      <c r="E31" s="468"/>
      <c r="F31" s="468"/>
      <c r="G31" s="468"/>
      <c r="H31" s="468"/>
      <c r="I31" s="468"/>
      <c r="J31" s="468"/>
      <c r="K31" s="468"/>
    </row>
    <row r="32" spans="1:11" ht="12.75" customHeight="1" x14ac:dyDescent="0.2">
      <c r="A32" s="463" t="s">
        <v>515</v>
      </c>
      <c r="B32" s="470">
        <v>1341</v>
      </c>
      <c r="C32" s="551">
        <f>[1]!'acct[10-01341].adjbal{1}/VR'</f>
        <v>0</v>
      </c>
      <c r="D32" s="468"/>
      <c r="E32" s="468"/>
      <c r="F32" s="468"/>
      <c r="G32" s="468"/>
      <c r="H32" s="468"/>
      <c r="I32" s="468"/>
      <c r="J32" s="468"/>
      <c r="K32" s="468"/>
    </row>
    <row r="33" spans="1:11" ht="12.75" customHeight="1" x14ac:dyDescent="0.2">
      <c r="A33" s="463" t="s">
        <v>890</v>
      </c>
      <c r="B33" s="470">
        <v>1342</v>
      </c>
      <c r="C33" s="551">
        <f>[1]!'acct[10-01342].adjbal{1}/VR'</f>
        <v>0</v>
      </c>
      <c r="D33" s="468"/>
      <c r="E33" s="468"/>
      <c r="F33" s="468"/>
      <c r="G33" s="468"/>
      <c r="H33" s="468"/>
      <c r="I33" s="468"/>
      <c r="J33" s="468"/>
      <c r="K33" s="468"/>
    </row>
    <row r="34" spans="1:11" ht="12.75" customHeight="1" x14ac:dyDescent="0.2">
      <c r="A34" s="463" t="s">
        <v>516</v>
      </c>
      <c r="B34" s="470">
        <v>1343</v>
      </c>
      <c r="C34" s="551">
        <f>[1]!'acct[10-01343].adjbal{1}/VR'</f>
        <v>0</v>
      </c>
      <c r="D34" s="468"/>
      <c r="E34" s="468"/>
      <c r="F34" s="468"/>
      <c r="G34" s="468"/>
      <c r="H34" s="468"/>
      <c r="I34" s="468"/>
      <c r="J34" s="468"/>
      <c r="K34" s="468"/>
    </row>
    <row r="35" spans="1:11" ht="12.75" customHeight="1" x14ac:dyDescent="0.2">
      <c r="A35" s="463" t="s">
        <v>514</v>
      </c>
      <c r="B35" s="470">
        <v>1344</v>
      </c>
      <c r="C35" s="489">
        <f>[1]!'acct[10-01344].adjbal{1}/VR'</f>
        <v>0</v>
      </c>
      <c r="D35" s="468"/>
      <c r="E35" s="468"/>
      <c r="F35" s="468"/>
      <c r="G35" s="468"/>
      <c r="H35" s="468"/>
      <c r="I35" s="468"/>
      <c r="J35" s="468"/>
      <c r="K35" s="468"/>
    </row>
    <row r="36" spans="1:11" ht="12.75" customHeight="1" x14ac:dyDescent="0.2">
      <c r="A36" s="463" t="s">
        <v>886</v>
      </c>
      <c r="B36" s="470">
        <v>1351</v>
      </c>
      <c r="C36" s="551">
        <f>[1]!'acct[10-01351].adjbal{1}/VR'</f>
        <v>0</v>
      </c>
      <c r="D36" s="468"/>
      <c r="E36" s="468"/>
      <c r="F36" s="468"/>
      <c r="G36" s="468"/>
      <c r="H36" s="468"/>
      <c r="I36" s="468"/>
      <c r="J36" s="468"/>
      <c r="K36" s="468"/>
    </row>
    <row r="37" spans="1:11" ht="12.75" customHeight="1" x14ac:dyDescent="0.2">
      <c r="A37" s="463" t="s">
        <v>891</v>
      </c>
      <c r="B37" s="470">
        <v>1352</v>
      </c>
      <c r="C37" s="551">
        <f>[1]!'acct[10-01352].adjbal{1}/VR'</f>
        <v>0</v>
      </c>
      <c r="D37" s="468"/>
      <c r="E37" s="468"/>
      <c r="F37" s="468"/>
      <c r="G37" s="468"/>
      <c r="H37" s="468"/>
      <c r="I37" s="468"/>
      <c r="J37" s="468"/>
      <c r="K37" s="468"/>
    </row>
    <row r="38" spans="1:11" ht="12.75" customHeight="1" x14ac:dyDescent="0.2">
      <c r="A38" s="463" t="s">
        <v>614</v>
      </c>
      <c r="B38" s="470">
        <v>1353</v>
      </c>
      <c r="C38" s="551">
        <f>[1]!'acct[10-01353].adjbal{1}/VR'</f>
        <v>0</v>
      </c>
      <c r="D38" s="468"/>
      <c r="E38" s="468"/>
      <c r="F38" s="468"/>
      <c r="G38" s="468"/>
      <c r="H38" s="468"/>
      <c r="I38" s="468"/>
      <c r="J38" s="468"/>
      <c r="K38" s="468"/>
    </row>
    <row r="39" spans="1:11" ht="12.75" customHeight="1" x14ac:dyDescent="0.2">
      <c r="A39" s="1511" t="s">
        <v>615</v>
      </c>
      <c r="B39" s="556">
        <v>1354</v>
      </c>
      <c r="C39" s="489">
        <f>[1]!'acct[10-01354].adjbal{1}/VR'</f>
        <v>0</v>
      </c>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08" t="s">
        <v>292</v>
      </c>
      <c r="B41" s="1609">
        <v>1400</v>
      </c>
      <c r="C41" s="468"/>
      <c r="D41" s="468"/>
      <c r="E41" s="468"/>
      <c r="F41" s="521"/>
      <c r="G41" s="468"/>
      <c r="H41" s="468"/>
      <c r="I41" s="468"/>
      <c r="J41" s="468"/>
      <c r="K41" s="468"/>
    </row>
    <row r="42" spans="1:11" ht="12.75" customHeight="1" x14ac:dyDescent="0.2">
      <c r="A42" s="463" t="s">
        <v>1136</v>
      </c>
      <c r="B42" s="470">
        <v>1411</v>
      </c>
      <c r="C42" s="468"/>
      <c r="D42" s="468"/>
      <c r="E42" s="468"/>
      <c r="F42" s="481">
        <f>[1]!'acct[40-01411].adjbal{1}/VR'</f>
        <v>0</v>
      </c>
      <c r="G42" s="468"/>
      <c r="H42" s="468"/>
      <c r="I42" s="468"/>
      <c r="J42" s="468"/>
      <c r="K42" s="468"/>
    </row>
    <row r="43" spans="1:11" ht="12.75" customHeight="1" x14ac:dyDescent="0.2">
      <c r="A43" s="463" t="s">
        <v>892</v>
      </c>
      <c r="B43" s="470">
        <v>1412</v>
      </c>
      <c r="C43" s="468"/>
      <c r="D43" s="468"/>
      <c r="E43" s="468"/>
      <c r="F43" s="466">
        <f>[1]!'acct[40-01412].adjbal{1}/VR'</f>
        <v>0</v>
      </c>
      <c r="G43" s="468"/>
      <c r="H43" s="468"/>
      <c r="I43" s="468"/>
      <c r="J43" s="468"/>
      <c r="K43" s="468"/>
    </row>
    <row r="44" spans="1:11" ht="12.75" customHeight="1" x14ac:dyDescent="0.2">
      <c r="A44" s="463" t="s">
        <v>402</v>
      </c>
      <c r="B44" s="470">
        <v>1413</v>
      </c>
      <c r="C44" s="468"/>
      <c r="D44" s="468"/>
      <c r="E44" s="468"/>
      <c r="F44" s="466">
        <f>[1]!'acct[40-01413].adjbal{1}/VR'</f>
        <v>0</v>
      </c>
      <c r="G44" s="468"/>
      <c r="H44" s="468"/>
      <c r="I44" s="468"/>
      <c r="J44" s="468"/>
      <c r="K44" s="468"/>
    </row>
    <row r="45" spans="1:11" ht="12.75" customHeight="1" x14ac:dyDescent="0.2">
      <c r="A45" s="463" t="s">
        <v>258</v>
      </c>
      <c r="B45" s="470">
        <v>1415</v>
      </c>
      <c r="C45" s="468"/>
      <c r="D45" s="468"/>
      <c r="E45" s="468"/>
      <c r="F45" s="466">
        <f>[1]!'acct[40-01415].adjbal{1}/VR'</f>
        <v>0</v>
      </c>
      <c r="G45" s="468"/>
      <c r="H45" s="468"/>
      <c r="I45" s="468"/>
      <c r="J45" s="468"/>
      <c r="K45" s="468"/>
    </row>
    <row r="46" spans="1:11" ht="12.75" customHeight="1" x14ac:dyDescent="0.2">
      <c r="A46" s="463" t="s">
        <v>1236</v>
      </c>
      <c r="B46" s="470">
        <v>1416</v>
      </c>
      <c r="C46" s="468"/>
      <c r="D46" s="468"/>
      <c r="E46" s="468"/>
      <c r="F46" s="467">
        <f>[1]!'acct[40-01416].adjbal{1}/VR'</f>
        <v>0</v>
      </c>
      <c r="G46" s="468"/>
      <c r="H46" s="468"/>
      <c r="I46" s="468"/>
      <c r="J46" s="468"/>
      <c r="K46" s="468"/>
    </row>
    <row r="47" spans="1:11" ht="12.75" customHeight="1" x14ac:dyDescent="0.2">
      <c r="A47" s="463" t="s">
        <v>59</v>
      </c>
      <c r="B47" s="470">
        <v>1421</v>
      </c>
      <c r="C47" s="468"/>
      <c r="D47" s="468"/>
      <c r="E47" s="468"/>
      <c r="F47" s="466">
        <f>[1]!'acct[40-01421].adjbal{1}/VR'</f>
        <v>0</v>
      </c>
      <c r="G47" s="468"/>
      <c r="H47" s="468"/>
      <c r="I47" s="468"/>
      <c r="J47" s="468"/>
      <c r="K47" s="468"/>
    </row>
    <row r="48" spans="1:11" ht="12.75" customHeight="1" x14ac:dyDescent="0.2">
      <c r="A48" s="463" t="s">
        <v>893</v>
      </c>
      <c r="B48" s="470">
        <v>1422</v>
      </c>
      <c r="C48" s="468"/>
      <c r="D48" s="468"/>
      <c r="E48" s="468"/>
      <c r="F48" s="466">
        <f>[1]!'acct[40-01422].adjbal{1}/VR'</f>
        <v>0</v>
      </c>
      <c r="G48" s="468"/>
      <c r="H48" s="468"/>
      <c r="I48" s="468"/>
      <c r="J48" s="468"/>
      <c r="K48" s="468"/>
    </row>
    <row r="49" spans="1:11" ht="12.75" customHeight="1" x14ac:dyDescent="0.2">
      <c r="A49" s="463" t="s">
        <v>60</v>
      </c>
      <c r="B49" s="470">
        <v>1423</v>
      </c>
      <c r="C49" s="468"/>
      <c r="D49" s="468"/>
      <c r="E49" s="468"/>
      <c r="F49" s="466">
        <f>[1]!'acct[40-01423].adjbal{1}/VR'</f>
        <v>0</v>
      </c>
      <c r="G49" s="468"/>
      <c r="H49" s="468"/>
      <c r="I49" s="468"/>
      <c r="J49" s="468"/>
      <c r="K49" s="468"/>
    </row>
    <row r="50" spans="1:11" ht="12.75" customHeight="1" x14ac:dyDescent="0.2">
      <c r="A50" s="463" t="s">
        <v>61</v>
      </c>
      <c r="B50" s="470">
        <v>1424</v>
      </c>
      <c r="C50" s="468"/>
      <c r="D50" s="468"/>
      <c r="E50" s="468"/>
      <c r="F50" s="467">
        <f>[1]!'acct[40-01424].adjbal{1}/VR'</f>
        <v>0</v>
      </c>
      <c r="G50" s="468"/>
      <c r="H50" s="468"/>
      <c r="I50" s="468"/>
      <c r="J50" s="468"/>
      <c r="K50" s="468"/>
    </row>
    <row r="51" spans="1:11" ht="12.75" customHeight="1" x14ac:dyDescent="0.2">
      <c r="A51" s="1512" t="s">
        <v>62</v>
      </c>
      <c r="B51" s="557">
        <v>1431</v>
      </c>
      <c r="C51" s="468"/>
      <c r="D51" s="468"/>
      <c r="E51" s="468"/>
      <c r="F51" s="466">
        <f>[1]!'acct[40-01431].adjbal{1}/VR'</f>
        <v>0</v>
      </c>
      <c r="G51" s="468"/>
      <c r="H51" s="468"/>
      <c r="I51" s="468"/>
      <c r="J51" s="468"/>
      <c r="K51" s="468"/>
    </row>
    <row r="52" spans="1:11" ht="12.75" customHeight="1" x14ac:dyDescent="0.2">
      <c r="A52" s="1512" t="s">
        <v>1168</v>
      </c>
      <c r="B52" s="557">
        <v>1432</v>
      </c>
      <c r="C52" s="468"/>
      <c r="D52" s="468"/>
      <c r="E52" s="468"/>
      <c r="F52" s="466">
        <f>[1]!'acct[40-01432].adjbal{1}/VR'</f>
        <v>0</v>
      </c>
      <c r="G52" s="468"/>
      <c r="H52" s="468"/>
      <c r="I52" s="468"/>
      <c r="J52" s="468"/>
      <c r="K52" s="468"/>
    </row>
    <row r="53" spans="1:11" ht="12.75" customHeight="1" x14ac:dyDescent="0.2">
      <c r="A53" s="1512" t="s">
        <v>63</v>
      </c>
      <c r="B53" s="557">
        <v>1433</v>
      </c>
      <c r="C53" s="468"/>
      <c r="D53" s="468"/>
      <c r="E53" s="468"/>
      <c r="F53" s="466">
        <f>[1]!'acct[40-01433].adjbal{1}/VR'</f>
        <v>0</v>
      </c>
      <c r="G53" s="468"/>
      <c r="H53" s="468"/>
      <c r="I53" s="468"/>
      <c r="J53" s="468"/>
      <c r="K53" s="468"/>
    </row>
    <row r="54" spans="1:11" ht="12.75" customHeight="1" x14ac:dyDescent="0.2">
      <c r="A54" s="1512" t="s">
        <v>64</v>
      </c>
      <c r="B54" s="557">
        <v>1434</v>
      </c>
      <c r="C54" s="468"/>
      <c r="D54" s="468"/>
      <c r="E54" s="468"/>
      <c r="F54" s="467">
        <f>[1]!'acct[40-01434].adjbal{1}/VR'</f>
        <v>0</v>
      </c>
      <c r="G54" s="468"/>
      <c r="H54" s="468"/>
      <c r="I54" s="468"/>
      <c r="J54" s="468"/>
      <c r="K54" s="468"/>
    </row>
    <row r="55" spans="1:11" ht="12.75" customHeight="1" x14ac:dyDescent="0.2">
      <c r="A55" s="1512" t="s">
        <v>65</v>
      </c>
      <c r="B55" s="557">
        <v>1441</v>
      </c>
      <c r="C55" s="468"/>
      <c r="D55" s="468"/>
      <c r="E55" s="468"/>
      <c r="F55" s="466">
        <f>[1]!'acct[40-01441].adjbal{1}/VR'</f>
        <v>0</v>
      </c>
      <c r="G55" s="468"/>
      <c r="H55" s="468"/>
      <c r="I55" s="468"/>
      <c r="J55" s="468"/>
      <c r="K55" s="468"/>
    </row>
    <row r="56" spans="1:11" ht="12.75" customHeight="1" x14ac:dyDescent="0.2">
      <c r="A56" s="1512" t="s">
        <v>1169</v>
      </c>
      <c r="B56" s="557">
        <v>1442</v>
      </c>
      <c r="C56" s="468"/>
      <c r="D56" s="468"/>
      <c r="E56" s="468"/>
      <c r="F56" s="466">
        <f>[1]!'acct[40-01442].adjbal{1}/VR'</f>
        <v>0</v>
      </c>
      <c r="G56" s="468"/>
      <c r="H56" s="468"/>
      <c r="I56" s="468"/>
      <c r="J56" s="468"/>
      <c r="K56" s="468"/>
    </row>
    <row r="57" spans="1:11" ht="12.75" customHeight="1" x14ac:dyDescent="0.2">
      <c r="A57" s="1512" t="s">
        <v>510</v>
      </c>
      <c r="B57" s="557">
        <v>1443</v>
      </c>
      <c r="C57" s="468"/>
      <c r="D57" s="468"/>
      <c r="E57" s="468"/>
      <c r="F57" s="466">
        <f>[1]!'acct[40-01443].adjbal{1}/VR'</f>
        <v>0</v>
      </c>
      <c r="G57" s="468"/>
      <c r="H57" s="468"/>
      <c r="I57" s="468"/>
      <c r="J57" s="468"/>
      <c r="K57" s="468"/>
    </row>
    <row r="58" spans="1:11" ht="12.75" customHeight="1" x14ac:dyDescent="0.2">
      <c r="A58" s="1512" t="s">
        <v>67</v>
      </c>
      <c r="B58" s="557">
        <v>1444</v>
      </c>
      <c r="C58" s="468"/>
      <c r="D58" s="468"/>
      <c r="E58" s="468"/>
      <c r="F58" s="466">
        <f>[1]!'acct[40-01444].adjbal{1}/VR'</f>
        <v>0</v>
      </c>
      <c r="G58" s="468"/>
      <c r="H58" s="468"/>
      <c r="I58" s="468"/>
      <c r="J58" s="468"/>
      <c r="K58" s="468"/>
    </row>
    <row r="59" spans="1:11" ht="12.75" customHeight="1" x14ac:dyDescent="0.2">
      <c r="A59" s="1512" t="s">
        <v>933</v>
      </c>
      <c r="B59" s="557">
        <v>1451</v>
      </c>
      <c r="C59" s="468"/>
      <c r="D59" s="468"/>
      <c r="E59" s="468"/>
      <c r="F59" s="466">
        <f>[1]!'acct[40-01451].adjbal{1}/VR'</f>
        <v>0</v>
      </c>
      <c r="G59" s="468"/>
      <c r="H59" s="468"/>
      <c r="I59" s="468"/>
      <c r="J59" s="468"/>
      <c r="K59" s="468"/>
    </row>
    <row r="60" spans="1:11" ht="12.75" customHeight="1" x14ac:dyDescent="0.2">
      <c r="A60" s="1512" t="s">
        <v>1170</v>
      </c>
      <c r="B60" s="557">
        <v>1452</v>
      </c>
      <c r="C60" s="468"/>
      <c r="D60" s="468"/>
      <c r="E60" s="468"/>
      <c r="F60" s="466">
        <f>[1]!'acct[40-01452].adjbal{1}/VR'</f>
        <v>0</v>
      </c>
      <c r="G60" s="468"/>
      <c r="H60" s="468"/>
      <c r="I60" s="468"/>
      <c r="J60" s="468"/>
      <c r="K60" s="468"/>
    </row>
    <row r="61" spans="1:11" ht="12.75" customHeight="1" x14ac:dyDescent="0.2">
      <c r="A61" s="563" t="s">
        <v>934</v>
      </c>
      <c r="B61" s="557">
        <v>1453</v>
      </c>
      <c r="C61" s="468"/>
      <c r="D61" s="468"/>
      <c r="E61" s="468"/>
      <c r="F61" s="466">
        <f>[1]!'acct[40-01453].adjbal{1}/VR'</f>
        <v>0</v>
      </c>
      <c r="G61" s="468"/>
      <c r="H61" s="468"/>
      <c r="I61" s="468"/>
      <c r="J61" s="468"/>
      <c r="K61" s="468"/>
    </row>
    <row r="62" spans="1:11" ht="12.75" customHeight="1" x14ac:dyDescent="0.2">
      <c r="A62" s="1513" t="s">
        <v>935</v>
      </c>
      <c r="B62" s="558">
        <v>1454</v>
      </c>
      <c r="C62" s="468"/>
      <c r="D62" s="468"/>
      <c r="E62" s="468"/>
      <c r="F62" s="467">
        <f>[1]!'acct[40-01454].adjbal{1}/VR'</f>
        <v>0</v>
      </c>
      <c r="G62" s="468"/>
      <c r="H62" s="468"/>
      <c r="I62" s="468"/>
      <c r="J62" s="468"/>
      <c r="K62" s="468"/>
    </row>
    <row r="63" spans="1:11" ht="12.75" customHeight="1" thickBot="1" x14ac:dyDescent="0.25">
      <c r="A63" s="1723" t="s">
        <v>506</v>
      </c>
      <c r="B63" s="1724"/>
      <c r="C63" s="468"/>
      <c r="D63" s="468"/>
      <c r="E63" s="468"/>
      <c r="F63" s="1703">
        <f>SUM(F42:F62)</f>
        <v>0</v>
      </c>
      <c r="G63" s="468"/>
      <c r="H63" s="468"/>
      <c r="I63" s="468"/>
      <c r="J63" s="468"/>
      <c r="K63" s="468"/>
    </row>
    <row r="64" spans="1:11" ht="15.75" customHeight="1" thickTop="1" x14ac:dyDescent="0.2">
      <c r="A64" s="1608" t="s">
        <v>474</v>
      </c>
      <c r="B64" s="1609">
        <v>1500</v>
      </c>
      <c r="C64" s="468"/>
      <c r="D64" s="468"/>
      <c r="E64" s="468"/>
      <c r="F64" s="468"/>
      <c r="G64" s="468"/>
      <c r="H64" s="468"/>
      <c r="I64" s="468"/>
      <c r="J64" s="468"/>
      <c r="K64" s="468"/>
    </row>
    <row r="65" spans="1:11" ht="12.75" customHeight="1" x14ac:dyDescent="0.2">
      <c r="A65" s="463" t="s">
        <v>568</v>
      </c>
      <c r="B65" s="470">
        <v>1510</v>
      </c>
      <c r="C65" s="466">
        <f>[1]!'acct[10-01510].adjbal{1}/VR'</f>
        <v>9682</v>
      </c>
      <c r="D65" s="466">
        <f>[1]!'acct[20-01510].adjbal{1}/VR'</f>
        <v>526</v>
      </c>
      <c r="E65" s="466">
        <f>[1]!'acct[30-01510].adjbal{1}/VR'</f>
        <v>127</v>
      </c>
      <c r="F65" s="467">
        <f>[1]!'acct[40-01510].adjbal{1}/VR'</f>
        <v>216</v>
      </c>
      <c r="G65" s="466">
        <f>[1]!'acct[50-01510].adjbal{1}/VR'</f>
        <v>258</v>
      </c>
      <c r="H65" s="466">
        <f>[1]!'acct[60-01510].adjbal{1}/VR'</f>
        <v>125</v>
      </c>
      <c r="I65" s="466">
        <f>[1]!'acct[70-01510].adjbal{1}/VR'</f>
        <v>242</v>
      </c>
      <c r="J65" s="467">
        <f>[1]!'acct[80-01510].adjbal{1}/VR'</f>
        <v>90</v>
      </c>
      <c r="K65" s="466">
        <f>[1]!'acct[90-01510].adjbal{1}/VR'</f>
        <v>104</v>
      </c>
    </row>
    <row r="66" spans="1:11" ht="12.75" customHeight="1" x14ac:dyDescent="0.2">
      <c r="A66" s="463" t="s">
        <v>700</v>
      </c>
      <c r="B66" s="470">
        <v>1520</v>
      </c>
      <c r="C66" s="466">
        <f>[1]!'acct[10-01520].adjbal{1}/VR'</f>
        <v>0</v>
      </c>
      <c r="D66" s="466">
        <f>[1]!'acct[20-01520].adjbal{1}/VR'</f>
        <v>0</v>
      </c>
      <c r="E66" s="466">
        <f>[1]!'acct[30-01520].adjbal{1}/VR'</f>
        <v>0</v>
      </c>
      <c r="F66" s="466">
        <f>[1]!'acct[40-01520].adjbal{1}/VR'</f>
        <v>0</v>
      </c>
      <c r="G66" s="466">
        <f>[1]!'acct[50-01520].adjbal{1}/VR'</f>
        <v>0</v>
      </c>
      <c r="H66" s="466">
        <f>[1]!'acct[60-01520].adjbal{1}/VR'</f>
        <v>0</v>
      </c>
      <c r="I66" s="466">
        <f>[1]!'acct[70-01520].adjbal{1}/VR'</f>
        <v>0</v>
      </c>
      <c r="J66" s="467">
        <f>[1]!'acct[80-01520].adjbal{1}/VR'</f>
        <v>0</v>
      </c>
      <c r="K66" s="466">
        <f>[1]!'acct[90-01520].adjbal{1}/VR'</f>
        <v>0</v>
      </c>
    </row>
    <row r="67" spans="1:11" ht="12.75" customHeight="1" thickBot="1" x14ac:dyDescent="0.25">
      <c r="A67" s="1723" t="s">
        <v>507</v>
      </c>
      <c r="B67" s="1724"/>
      <c r="C67" s="1703">
        <f>SUM(C65:C66)</f>
        <v>9682</v>
      </c>
      <c r="D67" s="1703">
        <f t="shared" ref="D67:K67" si="2">SUM(D65:D66)</f>
        <v>526</v>
      </c>
      <c r="E67" s="1703">
        <f t="shared" si="2"/>
        <v>127</v>
      </c>
      <c r="F67" s="1703">
        <f t="shared" si="2"/>
        <v>216</v>
      </c>
      <c r="G67" s="1703">
        <f t="shared" si="2"/>
        <v>258</v>
      </c>
      <c r="H67" s="1703">
        <f t="shared" si="2"/>
        <v>125</v>
      </c>
      <c r="I67" s="1703">
        <f t="shared" si="2"/>
        <v>242</v>
      </c>
      <c r="J67" s="1703">
        <f t="shared" si="2"/>
        <v>90</v>
      </c>
      <c r="K67" s="1703">
        <f t="shared" si="2"/>
        <v>104</v>
      </c>
    </row>
    <row r="68" spans="1:11" ht="15.75" customHeight="1" thickTop="1" x14ac:dyDescent="0.2">
      <c r="A68" s="1608" t="s">
        <v>475</v>
      </c>
      <c r="B68" s="1610">
        <v>1600</v>
      </c>
      <c r="C68" s="553"/>
      <c r="D68" s="468"/>
      <c r="E68" s="468"/>
      <c r="F68" s="468"/>
      <c r="G68" s="468"/>
      <c r="H68" s="468"/>
      <c r="I68" s="468"/>
      <c r="J68" s="468"/>
      <c r="K68" s="468"/>
    </row>
    <row r="69" spans="1:11" ht="12.75" customHeight="1" x14ac:dyDescent="0.2">
      <c r="A69" s="463" t="s">
        <v>687</v>
      </c>
      <c r="B69" s="470">
        <v>1611</v>
      </c>
      <c r="C69" s="466">
        <f>[1]!'acct[10-01611].adjbal{1}/VR'</f>
        <v>108891</v>
      </c>
      <c r="D69" s="468"/>
      <c r="E69" s="468"/>
      <c r="F69" s="468"/>
      <c r="G69" s="468"/>
      <c r="H69" s="468"/>
      <c r="I69" s="468"/>
      <c r="J69" s="468"/>
      <c r="K69" s="468"/>
    </row>
    <row r="70" spans="1:11" ht="12.75" customHeight="1" x14ac:dyDescent="0.2">
      <c r="A70" s="463" t="s">
        <v>1054</v>
      </c>
      <c r="B70" s="470">
        <v>1612</v>
      </c>
      <c r="C70" s="551">
        <f>[1]!'acct[10-01612].adjbal{1}/VR'</f>
        <v>8588</v>
      </c>
      <c r="D70" s="468"/>
      <c r="E70" s="468"/>
      <c r="F70" s="468"/>
      <c r="G70" s="468"/>
      <c r="H70" s="468"/>
      <c r="I70" s="468"/>
      <c r="J70" s="468"/>
      <c r="K70" s="468"/>
    </row>
    <row r="71" spans="1:11" ht="12.75" customHeight="1" x14ac:dyDescent="0.2">
      <c r="A71" s="463" t="s">
        <v>291</v>
      </c>
      <c r="B71" s="470">
        <v>1613</v>
      </c>
      <c r="C71" s="551">
        <f>[1]!'acct[10-01613].adjbal{1}/VR'</f>
        <v>11452</v>
      </c>
      <c r="D71" s="468"/>
      <c r="E71" s="468"/>
      <c r="F71" s="468"/>
      <c r="G71" s="468"/>
      <c r="H71" s="468"/>
      <c r="I71" s="468"/>
      <c r="J71" s="468"/>
      <c r="K71" s="468"/>
    </row>
    <row r="72" spans="1:11" ht="12.75" customHeight="1" x14ac:dyDescent="0.2">
      <c r="A72" s="463" t="s">
        <v>24</v>
      </c>
      <c r="B72" s="470">
        <v>1614</v>
      </c>
      <c r="C72" s="551">
        <f>[1]!'acct[10-01614].adjbal{1}/VR'</f>
        <v>0</v>
      </c>
      <c r="D72" s="468"/>
      <c r="E72" s="468"/>
      <c r="F72" s="468"/>
      <c r="G72" s="468"/>
      <c r="H72" s="468"/>
      <c r="I72" s="468"/>
      <c r="J72" s="468"/>
      <c r="K72" s="468"/>
    </row>
    <row r="73" spans="1:11" ht="12.75" customHeight="1" x14ac:dyDescent="0.2">
      <c r="A73" s="463" t="s">
        <v>1055</v>
      </c>
      <c r="B73" s="470">
        <v>1620</v>
      </c>
      <c r="C73" s="551">
        <f>[1]!'acct[10-01620].adjbal{1}/VR'</f>
        <v>6163</v>
      </c>
      <c r="D73" s="468"/>
      <c r="E73" s="468"/>
      <c r="F73" s="468"/>
      <c r="G73" s="468"/>
      <c r="H73" s="468"/>
      <c r="I73" s="468"/>
      <c r="J73" s="468"/>
      <c r="K73" s="468"/>
    </row>
    <row r="74" spans="1:11" ht="12.75" customHeight="1" x14ac:dyDescent="0.2">
      <c r="A74" s="463" t="s">
        <v>25</v>
      </c>
      <c r="B74" s="470">
        <v>1690</v>
      </c>
      <c r="C74" s="551">
        <f>[1]!'acct[10-01690].adjbal{1}/VR'</f>
        <v>4421</v>
      </c>
      <c r="D74" s="468"/>
      <c r="E74" s="468"/>
      <c r="F74" s="468"/>
      <c r="G74" s="468"/>
      <c r="H74" s="468"/>
      <c r="I74" s="468"/>
      <c r="J74" s="468"/>
      <c r="K74" s="468"/>
    </row>
    <row r="75" spans="1:11" ht="12.75" customHeight="1" thickBot="1" x14ac:dyDescent="0.25">
      <c r="A75" s="1723" t="s">
        <v>569</v>
      </c>
      <c r="B75" s="1724"/>
      <c r="C75" s="1703">
        <f>SUM(C69:C74)</f>
        <v>139515</v>
      </c>
      <c r="D75" s="468"/>
      <c r="E75" s="468"/>
      <c r="F75" s="468"/>
      <c r="G75" s="468"/>
      <c r="H75" s="468"/>
      <c r="I75" s="468"/>
      <c r="J75" s="468"/>
      <c r="K75" s="468"/>
    </row>
    <row r="76" spans="1:11" ht="15.75" customHeight="1" thickTop="1" x14ac:dyDescent="0.2">
      <c r="A76" s="1608" t="s">
        <v>936</v>
      </c>
      <c r="B76" s="1610">
        <v>1700</v>
      </c>
      <c r="C76" s="553"/>
      <c r="D76" s="468"/>
      <c r="E76" s="468"/>
      <c r="F76" s="468"/>
      <c r="G76" s="468"/>
      <c r="H76" s="468"/>
      <c r="I76" s="468"/>
      <c r="J76" s="468"/>
      <c r="K76" s="468"/>
    </row>
    <row r="77" spans="1:11" ht="12.75" customHeight="1" x14ac:dyDescent="0.2">
      <c r="A77" s="463" t="s">
        <v>570</v>
      </c>
      <c r="B77" s="470">
        <v>1711</v>
      </c>
      <c r="C77" s="516">
        <f>[1]!'acct[10-01711].adjbal{1}/VR'</f>
        <v>18800</v>
      </c>
      <c r="D77" s="466">
        <f>[1]!'acct[20-01711].adjbal{1}/VR'</f>
        <v>0</v>
      </c>
      <c r="E77" s="468"/>
      <c r="F77" s="468"/>
      <c r="G77" s="468"/>
      <c r="H77" s="468"/>
      <c r="I77" s="468"/>
      <c r="J77" s="468"/>
      <c r="K77" s="468"/>
    </row>
    <row r="78" spans="1:11" ht="12.75" customHeight="1" x14ac:dyDescent="0.2">
      <c r="A78" s="463" t="s">
        <v>78</v>
      </c>
      <c r="B78" s="470">
        <v>1719</v>
      </c>
      <c r="C78" s="551">
        <f>[1]!'acct[10-01719].adjbal{1}/VR'</f>
        <v>0</v>
      </c>
      <c r="D78" s="466">
        <f>[1]!'acct[20-01719].adjbal{1}/VR'</f>
        <v>0</v>
      </c>
      <c r="E78" s="468"/>
      <c r="F78" s="468"/>
      <c r="G78" s="468"/>
      <c r="H78" s="468"/>
      <c r="I78" s="468"/>
      <c r="J78" s="468"/>
      <c r="K78" s="468"/>
    </row>
    <row r="79" spans="1:11" ht="12.75" customHeight="1" x14ac:dyDescent="0.2">
      <c r="A79" s="463" t="s">
        <v>571</v>
      </c>
      <c r="B79" s="470">
        <v>1720</v>
      </c>
      <c r="C79" s="551">
        <f>[1]!'acct[10-01720].adjbal{1}/VR'</f>
        <v>14382</v>
      </c>
      <c r="D79" s="466">
        <f>[1]!'acct[20-01720].adjbal{1}/VR'</f>
        <v>0</v>
      </c>
      <c r="E79" s="468"/>
      <c r="F79" s="468"/>
      <c r="G79" s="468"/>
      <c r="H79" s="468"/>
      <c r="I79" s="468"/>
      <c r="J79" s="468"/>
      <c r="K79" s="468"/>
    </row>
    <row r="80" spans="1:11" ht="12.75" customHeight="1" x14ac:dyDescent="0.2">
      <c r="A80" s="463" t="s">
        <v>572</v>
      </c>
      <c r="B80" s="470">
        <v>1730</v>
      </c>
      <c r="C80" s="551">
        <f>[1]!'acct[10-01730].adjbal{1}/VR'</f>
        <v>0</v>
      </c>
      <c r="D80" s="466">
        <f>[1]!'acct[20-01730].adjbal{1}/VR'</f>
        <v>0</v>
      </c>
      <c r="E80" s="468"/>
      <c r="F80" s="468"/>
      <c r="G80" s="468"/>
      <c r="H80" s="468"/>
      <c r="I80" s="468"/>
      <c r="J80" s="468"/>
      <c r="K80" s="468"/>
    </row>
    <row r="81" spans="1:11" ht="12.75" customHeight="1" x14ac:dyDescent="0.2">
      <c r="A81" s="463" t="s">
        <v>26</v>
      </c>
      <c r="B81" s="470">
        <v>1790</v>
      </c>
      <c r="C81" s="551">
        <f>[1]!'acct[10-01790].adjbal{1}/VR'</f>
        <v>0</v>
      </c>
      <c r="D81" s="466">
        <f>[1]!'acct[20-01790].adjbal{1}/VR'</f>
        <v>0</v>
      </c>
      <c r="E81" s="468"/>
      <c r="F81" s="468"/>
      <c r="G81" s="468"/>
      <c r="H81" s="468"/>
      <c r="I81" s="468"/>
      <c r="J81" s="468"/>
      <c r="K81" s="468"/>
    </row>
    <row r="82" spans="1:11" ht="12.75" customHeight="1" thickBot="1" x14ac:dyDescent="0.25">
      <c r="A82" s="1723" t="s">
        <v>259</v>
      </c>
      <c r="B82" s="1724"/>
      <c r="C82" s="1722">
        <f>SUM(C77:C81)</f>
        <v>33182</v>
      </c>
      <c r="D82" s="1703">
        <f>SUM(D77:D81)</f>
        <v>0</v>
      </c>
      <c r="E82" s="468"/>
      <c r="F82" s="468"/>
      <c r="G82" s="468"/>
      <c r="H82" s="468"/>
      <c r="I82" s="468"/>
      <c r="J82" s="468"/>
      <c r="K82" s="468"/>
    </row>
    <row r="83" spans="1:11" ht="15.75" customHeight="1" thickTop="1" x14ac:dyDescent="0.2">
      <c r="A83" s="1608" t="s">
        <v>260</v>
      </c>
      <c r="B83" s="1610">
        <v>1800</v>
      </c>
      <c r="C83" s="553"/>
      <c r="D83" s="468"/>
      <c r="E83" s="468"/>
      <c r="F83" s="468"/>
      <c r="G83" s="468"/>
      <c r="H83" s="468"/>
      <c r="I83" s="468"/>
      <c r="J83" s="468"/>
      <c r="K83" s="468"/>
    </row>
    <row r="84" spans="1:11" ht="12.75" customHeight="1" x14ac:dyDescent="0.2">
      <c r="A84" s="463" t="s">
        <v>573</v>
      </c>
      <c r="B84" s="470">
        <v>1811</v>
      </c>
      <c r="C84" s="466">
        <f>[1]!'acct[10-01811].adjbal{1}/VR'</f>
        <v>34324</v>
      </c>
      <c r="D84" s="468"/>
      <c r="E84" s="468"/>
      <c r="F84" s="468"/>
      <c r="G84" s="468"/>
      <c r="H84" s="468"/>
      <c r="I84" s="468"/>
      <c r="J84" s="468"/>
      <c r="K84" s="468"/>
    </row>
    <row r="85" spans="1:11" ht="12.75" customHeight="1" x14ac:dyDescent="0.2">
      <c r="A85" s="463" t="s">
        <v>574</v>
      </c>
      <c r="B85" s="470">
        <v>1812</v>
      </c>
      <c r="C85" s="551">
        <f>[1]!'acct[10-01812].adjbal{1}/VR'</f>
        <v>0</v>
      </c>
      <c r="D85" s="468"/>
      <c r="E85" s="468"/>
      <c r="F85" s="468"/>
      <c r="G85" s="468"/>
      <c r="H85" s="468"/>
      <c r="I85" s="468"/>
      <c r="J85" s="468"/>
      <c r="K85" s="468"/>
    </row>
    <row r="86" spans="1:11" ht="12.75" customHeight="1" x14ac:dyDescent="0.2">
      <c r="A86" s="463" t="s">
        <v>1056</v>
      </c>
      <c r="B86" s="470">
        <v>1813</v>
      </c>
      <c r="C86" s="551">
        <f>[1]!'acct[10-01813].adjbal{1}/VR'</f>
        <v>0</v>
      </c>
      <c r="D86" s="468"/>
      <c r="E86" s="468"/>
      <c r="F86" s="468"/>
      <c r="G86" s="468"/>
      <c r="H86" s="468"/>
      <c r="I86" s="468"/>
      <c r="J86" s="468"/>
      <c r="K86" s="468"/>
    </row>
    <row r="87" spans="1:11" ht="12.75" customHeight="1" x14ac:dyDescent="0.2">
      <c r="A87" s="463" t="s">
        <v>79</v>
      </c>
      <c r="B87" s="470">
        <v>1819</v>
      </c>
      <c r="C87" s="551">
        <f>[1]!'acct[10-01819].adjbal{1}/VR'</f>
        <v>0</v>
      </c>
      <c r="D87" s="468"/>
      <c r="E87" s="468"/>
      <c r="F87" s="468"/>
      <c r="G87" s="468"/>
      <c r="H87" s="468"/>
      <c r="I87" s="468"/>
      <c r="J87" s="468"/>
      <c r="K87" s="468"/>
    </row>
    <row r="88" spans="1:11" ht="12.75" customHeight="1" x14ac:dyDescent="0.2">
      <c r="A88" s="463" t="s">
        <v>575</v>
      </c>
      <c r="B88" s="470">
        <v>1821</v>
      </c>
      <c r="C88" s="551">
        <f>[1]!'acct[10-01821].adjbal{1}/VR'</f>
        <v>0</v>
      </c>
      <c r="D88" s="468"/>
      <c r="E88" s="468"/>
      <c r="F88" s="468"/>
      <c r="G88" s="468"/>
      <c r="H88" s="468"/>
      <c r="I88" s="468"/>
      <c r="J88" s="468"/>
      <c r="K88" s="468"/>
    </row>
    <row r="89" spans="1:11" ht="12.75" customHeight="1" x14ac:dyDescent="0.2">
      <c r="A89" s="463" t="s">
        <v>738</v>
      </c>
      <c r="B89" s="470">
        <v>1822</v>
      </c>
      <c r="C89" s="551">
        <f>[1]!'acct[10-01822].adjbal{1}/VR'</f>
        <v>0</v>
      </c>
      <c r="D89" s="468"/>
      <c r="E89" s="468"/>
      <c r="F89" s="468"/>
      <c r="G89" s="468"/>
      <c r="H89" s="468"/>
      <c r="I89" s="468"/>
      <c r="J89" s="468"/>
      <c r="K89" s="468"/>
    </row>
    <row r="90" spans="1:11" ht="12.75" customHeight="1" x14ac:dyDescent="0.2">
      <c r="A90" s="463" t="s">
        <v>141</v>
      </c>
      <c r="B90" s="470">
        <v>1823</v>
      </c>
      <c r="C90" s="551">
        <f>[1]!'acct[10-01823].adjbal{1}/VR'</f>
        <v>0</v>
      </c>
      <c r="D90" s="468"/>
      <c r="E90" s="468"/>
      <c r="F90" s="468"/>
      <c r="G90" s="468"/>
      <c r="H90" s="468"/>
      <c r="I90" s="468"/>
      <c r="J90" s="468"/>
      <c r="K90" s="468"/>
    </row>
    <row r="91" spans="1:11" ht="12.75" customHeight="1" x14ac:dyDescent="0.2">
      <c r="A91" s="463" t="s">
        <v>27</v>
      </c>
      <c r="B91" s="470">
        <v>1829</v>
      </c>
      <c r="C91" s="551">
        <f>[1]!'acct[10-01829].adjbal{1}/VR'</f>
        <v>0</v>
      </c>
      <c r="D91" s="468"/>
      <c r="E91" s="468"/>
      <c r="F91" s="468"/>
      <c r="G91" s="468"/>
      <c r="H91" s="468"/>
      <c r="I91" s="468"/>
      <c r="J91" s="468"/>
      <c r="K91" s="468"/>
    </row>
    <row r="92" spans="1:11" ht="12.75" customHeight="1" x14ac:dyDescent="0.2">
      <c r="A92" s="463" t="s">
        <v>786</v>
      </c>
      <c r="B92" s="470">
        <v>1890</v>
      </c>
      <c r="C92" s="551">
        <f>[1]!'acct[10-01890].adjbal{1}/VR'</f>
        <v>0</v>
      </c>
      <c r="D92" s="468"/>
      <c r="E92" s="468"/>
      <c r="F92" s="468"/>
      <c r="G92" s="468"/>
      <c r="H92" s="468"/>
      <c r="I92" s="468"/>
      <c r="J92" s="468"/>
      <c r="K92" s="468"/>
    </row>
    <row r="93" spans="1:11" ht="12.75" customHeight="1" thickBot="1" x14ac:dyDescent="0.25">
      <c r="A93" s="1723" t="s">
        <v>261</v>
      </c>
      <c r="B93" s="1724"/>
      <c r="C93" s="1703">
        <f>SUM(C84:C92)</f>
        <v>34324</v>
      </c>
      <c r="D93" s="468"/>
      <c r="E93" s="468"/>
      <c r="F93" s="468"/>
      <c r="G93" s="468"/>
      <c r="H93" s="468"/>
      <c r="I93" s="468"/>
      <c r="J93" s="468"/>
      <c r="K93" s="468"/>
    </row>
    <row r="94" spans="1:11" ht="15.75" customHeight="1" thickTop="1" x14ac:dyDescent="0.2">
      <c r="A94" s="1608" t="s">
        <v>1199</v>
      </c>
      <c r="B94" s="1610">
        <v>1900</v>
      </c>
      <c r="C94" s="553"/>
      <c r="D94" s="521"/>
      <c r="E94" s="468"/>
      <c r="F94" s="468"/>
      <c r="G94" s="468"/>
      <c r="H94" s="468"/>
      <c r="I94" s="468"/>
      <c r="J94" s="468"/>
      <c r="K94" s="468"/>
    </row>
    <row r="95" spans="1:11" ht="12.75" customHeight="1" x14ac:dyDescent="0.2">
      <c r="A95" s="463" t="s">
        <v>1124</v>
      </c>
      <c r="B95" s="470">
        <v>1910</v>
      </c>
      <c r="C95" s="466">
        <f>[1]!'acct[10-01910].adjbal{1}/VR'</f>
        <v>0</v>
      </c>
      <c r="D95" s="551">
        <f>[1]!'acct[20-01910].adjbal{1}/VR'</f>
        <v>0</v>
      </c>
      <c r="E95" s="521"/>
      <c r="F95" s="521"/>
      <c r="G95" s="521"/>
      <c r="H95" s="521"/>
      <c r="I95" s="521"/>
      <c r="J95" s="521"/>
      <c r="K95" s="521"/>
    </row>
    <row r="96" spans="1:11" ht="12.75" customHeight="1" x14ac:dyDescent="0.2">
      <c r="A96" s="463" t="s">
        <v>409</v>
      </c>
      <c r="B96" s="470">
        <v>1920</v>
      </c>
      <c r="C96" s="551">
        <f>[1]!'acct[10-01920].adjbal{1}/VR'</f>
        <v>29789</v>
      </c>
      <c r="D96" s="551">
        <f>[1]!'acct[20-01920].adjbal{1}/VR'</f>
        <v>0</v>
      </c>
      <c r="E96" s="479">
        <f>[1]!'acct[30-01920].adjbal{1}/VR'</f>
        <v>0</v>
      </c>
      <c r="F96" s="478">
        <f>[1]!'acct[40-01920].adjbal{1}/VR'</f>
        <v>0</v>
      </c>
      <c r="G96" s="478">
        <f>[1]!'acct[50-01920].adjbal{1}/VR'</f>
        <v>0</v>
      </c>
      <c r="H96" s="478">
        <f>[1]!'acct[60-01920].adjbal{1}/VR'</f>
        <v>0</v>
      </c>
      <c r="I96" s="478">
        <f>[1]!'acct[70-01920].adjbal{1}/VR'</f>
        <v>0</v>
      </c>
      <c r="J96" s="478">
        <f>[1]!'acct[80-01920].adjbal{1}/VR'</f>
        <v>0</v>
      </c>
      <c r="K96" s="478">
        <f>[1]!'acct[90-01920].adjbal{1}/VR'</f>
        <v>0</v>
      </c>
    </row>
    <row r="97" spans="1:12" ht="12.75" customHeight="1" x14ac:dyDescent="0.2">
      <c r="A97" s="1511" t="s">
        <v>262</v>
      </c>
      <c r="B97" s="559">
        <v>1930</v>
      </c>
      <c r="C97" s="489" t="str">
        <f>[1]!'acct[10-01930].adjbal{1}/VR'</f>
        <v xml:space="preserve"> </v>
      </c>
      <c r="D97" s="467">
        <f>[1]!'acct[20-01930].adjbal{1}/VR'</f>
        <v>0</v>
      </c>
      <c r="E97" s="474">
        <f>[1]!'acct[30-01930].adjbal{1}/VR'</f>
        <v>0</v>
      </c>
      <c r="F97" s="467">
        <f>[1]!'acct[40-01930].adjbal{1}/VR'</f>
        <v>0</v>
      </c>
      <c r="G97" s="467">
        <f>[1]!'acct[50-01930].adjbal{1}/VR'</f>
        <v>0</v>
      </c>
      <c r="H97" s="467">
        <f>[1]!'acct[60-01930].adjbal{1}/VR'</f>
        <v>0</v>
      </c>
      <c r="I97" s="467">
        <f>[1]!'acct[70-01930].adjbal{1}/VR'</f>
        <v>0</v>
      </c>
      <c r="J97" s="467">
        <f>[1]!'acct[80-01930].adjbal{1}/VR'</f>
        <v>0</v>
      </c>
      <c r="K97" s="467">
        <f>[1]!'acct[90-01930].adjbal{1}/VR'</f>
        <v>0</v>
      </c>
    </row>
    <row r="98" spans="1:12" ht="12.75" customHeight="1" x14ac:dyDescent="0.2">
      <c r="A98" s="463" t="s">
        <v>198</v>
      </c>
      <c r="B98" s="470">
        <v>1940</v>
      </c>
      <c r="C98" s="489">
        <f>[1]!'acct[10-01940].adjbal{1}/VR'</f>
        <v>0</v>
      </c>
      <c r="D98" s="466">
        <f>[1]!'acct[20-01940].adjbal{1}/VR'</f>
        <v>0</v>
      </c>
      <c r="E98" s="512"/>
      <c r="F98" s="466">
        <f>[1]!'acct[40-01940].adjbal{1}/VR'</f>
        <v>0</v>
      </c>
      <c r="G98" s="512"/>
      <c r="H98" s="512"/>
      <c r="I98" s="510"/>
      <c r="J98" s="512"/>
      <c r="K98" s="512"/>
    </row>
    <row r="99" spans="1:12" ht="12.75" customHeight="1" x14ac:dyDescent="0.2">
      <c r="A99" s="463" t="s">
        <v>875</v>
      </c>
      <c r="B99" s="470">
        <v>1950</v>
      </c>
      <c r="C99" s="489">
        <f>[1]!'acct[10-01950].adjbal{1}/VR'</f>
        <v>0</v>
      </c>
      <c r="D99" s="466">
        <f>[1]!'acct[20-01950].adjbal{1}/VR'</f>
        <v>3478</v>
      </c>
      <c r="E99" s="466">
        <f>[1]!'acct[30-01950].adjbal{1}/VR'</f>
        <v>0</v>
      </c>
      <c r="F99" s="466">
        <f>[1]!'acct[40-01950].adjbal{1}/VR'</f>
        <v>0</v>
      </c>
      <c r="G99" s="466">
        <f>[1]!'acct[50-01950].adjbal{1}/VR'</f>
        <v>0</v>
      </c>
      <c r="H99" s="466">
        <f>[1]!'acct[60-01950].adjbal{1}/VR'</f>
        <v>0</v>
      </c>
      <c r="I99" s="468"/>
      <c r="J99" s="467">
        <f>[1]!'acct[80-01950].adjbal{1}/VR'</f>
        <v>0</v>
      </c>
      <c r="K99" s="466">
        <f>[1]!'acct[90-01950].adjbal{1}/VR'</f>
        <v>0</v>
      </c>
    </row>
    <row r="100" spans="1:12" ht="12.75" customHeight="1" x14ac:dyDescent="0.2">
      <c r="A100" s="463" t="s">
        <v>263</v>
      </c>
      <c r="B100" s="470">
        <v>1960</v>
      </c>
      <c r="C100" s="489">
        <f>[1]!'acct[10-01960].adjbal{1}/VR'</f>
        <v>0</v>
      </c>
      <c r="D100" s="489">
        <f>[1]!'acct[20-01960].adjbal{1}/VR'</f>
        <v>0</v>
      </c>
      <c r="E100" s="489">
        <f>[1]!'acct[30-01960].adjbal{1}/VR'</f>
        <v>0</v>
      </c>
      <c r="F100" s="489">
        <f>[1]!'acct[40-01960].adjbal{1}/VR'</f>
        <v>0</v>
      </c>
      <c r="G100" s="489">
        <f>[1]!'acct[50-01960].adjbal{1}/VR'</f>
        <v>0</v>
      </c>
      <c r="H100" s="489">
        <f>[1]!'acct[60-01960].adjbal{1}/VR'</f>
        <v>0</v>
      </c>
      <c r="I100" s="467">
        <f>[1]!'acct[70-01960].adjbal{1}/VR'</f>
        <v>0</v>
      </c>
      <c r="J100" s="489">
        <f>[1]!'acct[80-01960].adjbal{1}/VR'</f>
        <v>0</v>
      </c>
      <c r="K100" s="467">
        <f>[1]!'acct[90-01960].adjbal{1}/VR'</f>
        <v>0</v>
      </c>
    </row>
    <row r="101" spans="1:12" ht="12.75" customHeight="1" x14ac:dyDescent="0.2">
      <c r="A101" s="463" t="s">
        <v>264</v>
      </c>
      <c r="B101" s="470">
        <v>1970</v>
      </c>
      <c r="C101" s="489">
        <f>[1]!'acct[10-01970].adjbal{1}/VR'</f>
        <v>0</v>
      </c>
      <c r="D101" s="526"/>
      <c r="E101" s="480"/>
      <c r="F101" s="526"/>
      <c r="G101" s="475"/>
      <c r="H101" s="526"/>
      <c r="I101" s="468"/>
      <c r="J101" s="475"/>
      <c r="K101" s="475"/>
    </row>
    <row r="102" spans="1:12" ht="12.75" customHeight="1" x14ac:dyDescent="0.2">
      <c r="A102" s="463" t="s">
        <v>265</v>
      </c>
      <c r="B102" s="470">
        <v>1980</v>
      </c>
      <c r="C102" s="489">
        <f>[1]!'acct[10-01980].adjbal{1}/VR'</f>
        <v>0</v>
      </c>
      <c r="D102" s="489">
        <f>[1]!'acct[20-01980].adjbal{1}/VR'</f>
        <v>0</v>
      </c>
      <c r="E102" s="489">
        <f>[1]!'acct[30-01980].adjbal{1}/VR'</f>
        <v>0</v>
      </c>
      <c r="F102" s="489">
        <f>[1]!'acct[40-01980].adjbal{1}/VR'</f>
        <v>0</v>
      </c>
      <c r="G102" s="489">
        <f>[1]!'acct[50-01980].adjbal{1}/VR'</f>
        <v>0</v>
      </c>
      <c r="H102" s="489">
        <f>[1]!'acct[60-01980].adjbal{1}/VR'</f>
        <v>0</v>
      </c>
      <c r="I102" s="467">
        <f>[1]!'acct[70-01980].adjbal{1}/VR'</f>
        <v>0</v>
      </c>
      <c r="J102" s="489">
        <f>[1]!'acct[80-01980].adjbal{1}/VR'</f>
        <v>0</v>
      </c>
      <c r="K102" s="467">
        <f>[1]!'acct[90-01980].adjbal{1}/VR'</f>
        <v>0</v>
      </c>
    </row>
    <row r="103" spans="1:12" ht="12.75" customHeight="1" x14ac:dyDescent="0.2">
      <c r="A103" s="463" t="s">
        <v>363</v>
      </c>
      <c r="B103" s="470">
        <v>1983</v>
      </c>
      <c r="C103" s="468"/>
      <c r="D103" s="468"/>
      <c r="E103" s="560">
        <f>[1]!'acct[30-01983].adjbal{1}/VR'</f>
        <v>247700</v>
      </c>
      <c r="F103" s="468"/>
      <c r="G103" s="468"/>
      <c r="H103" s="489">
        <f>[1]!'acct[60-01983].adjbal{1}/VR'</f>
        <v>148093</v>
      </c>
      <c r="I103" s="468"/>
      <c r="J103" s="510"/>
      <c r="K103" s="510"/>
    </row>
    <row r="104" spans="1:12" ht="12.75" customHeight="1" x14ac:dyDescent="0.2">
      <c r="A104" s="463" t="s">
        <v>885</v>
      </c>
      <c r="B104" s="470">
        <v>1991</v>
      </c>
      <c r="C104" s="489">
        <f>[1]!'acct[10-01991].adjbal{1}/VR'</f>
        <v>0</v>
      </c>
      <c r="D104" s="466">
        <f>[1]!'acct[20-01991].adjbal{1}/VR'</f>
        <v>0</v>
      </c>
      <c r="E104" s="481">
        <f>[1]!'acct[30-01991].adjbal{1}/VR'</f>
        <v>0</v>
      </c>
      <c r="F104" s="467">
        <f>[1]!'acct[40-01991].adjbal{1}/VR'</f>
        <v>0</v>
      </c>
      <c r="G104" s="467">
        <f>[1]!'acct[50-01991].adjbal{1}/VR'</f>
        <v>0</v>
      </c>
      <c r="H104" s="466">
        <f>[1]!'acct[60-01991].adjbal{1}/VR'</f>
        <v>0</v>
      </c>
      <c r="I104" s="468"/>
      <c r="J104" s="468"/>
      <c r="K104" s="468"/>
    </row>
    <row r="105" spans="1:12" ht="12.75" customHeight="1" x14ac:dyDescent="0.2">
      <c r="A105" s="463" t="s">
        <v>876</v>
      </c>
      <c r="B105" s="470">
        <v>1992</v>
      </c>
      <c r="C105" s="466">
        <f>[1]!'acct[10-01992].adjbal{1}/VR'</f>
        <v>0</v>
      </c>
      <c r="D105" s="561"/>
      <c r="E105" s="468"/>
      <c r="F105" s="468"/>
      <c r="G105" s="468"/>
      <c r="H105" s="510"/>
      <c r="I105" s="468"/>
      <c r="J105" s="468"/>
      <c r="K105" s="468"/>
    </row>
    <row r="106" spans="1:12" ht="12.75" customHeight="1" x14ac:dyDescent="0.2">
      <c r="A106" s="463" t="s">
        <v>1505</v>
      </c>
      <c r="B106" s="470">
        <v>1993</v>
      </c>
      <c r="C106" s="466">
        <f>[1]!'acct[10-01993].adjbal{1}/VR'</f>
        <v>0</v>
      </c>
      <c r="D106" s="489">
        <f>[1]!'acct[20-01993].adjbal{1}/VR'</f>
        <v>0</v>
      </c>
      <c r="E106" s="467">
        <f>[1]!'acct[30-01993].adjbal{1}/VR'</f>
        <v>0</v>
      </c>
      <c r="F106" s="467">
        <f>[1]!'acct[40-01993].adjbal{1}/VR'</f>
        <v>0</v>
      </c>
      <c r="G106" s="467">
        <f>[1]!'acct[50-01993].adjbal{1}/VR'</f>
        <v>0</v>
      </c>
      <c r="H106" s="467">
        <f>[1]!'acct[60-01993].adjbal{1}/VR'</f>
        <v>0</v>
      </c>
      <c r="I106" s="521"/>
      <c r="J106" s="467">
        <f>[1]!'acct[80-01993].adjbal{1}/VR'</f>
        <v>0</v>
      </c>
      <c r="K106" s="467">
        <f>[1]!'acct[90-01993].adjbal{1}/VR'</f>
        <v>0</v>
      </c>
    </row>
    <row r="107" spans="1:12" ht="12.75" customHeight="1" x14ac:dyDescent="0.2">
      <c r="A107" s="463" t="s">
        <v>80</v>
      </c>
      <c r="B107" s="470">
        <v>1999</v>
      </c>
      <c r="C107" s="551">
        <f>[1]!'acct[10-01999].adjbal{1}/VR'</f>
        <v>7729</v>
      </c>
      <c r="D107" s="466">
        <f>[1]!'acct[20-01999].adjbal{1}/VR'</f>
        <v>9585</v>
      </c>
      <c r="E107" s="466">
        <f>[1]!'acct[30-01999].adjbal{1}/VR'</f>
        <v>0</v>
      </c>
      <c r="F107" s="466">
        <f>[1]!'acct[40-01999].adjbal{1}/VR'</f>
        <v>300</v>
      </c>
      <c r="G107" s="466">
        <f>[1]!'acct[50-01999].adjbal{1}/VR'</f>
        <v>0</v>
      </c>
      <c r="H107" s="466">
        <f>[1]!'acct[60-01999].adjbal{1}/VR'</f>
        <v>0</v>
      </c>
      <c r="I107" s="466">
        <f>[1]!'acct[70-01999].adjbal{1}/VR'</f>
        <v>0</v>
      </c>
      <c r="J107" s="467">
        <f>[1]!'acct[80-01999].adjbal{1}/VR'</f>
        <v>0</v>
      </c>
      <c r="K107" s="466">
        <f>[1]!'acct[90-01999].adjbal{1}/VR'</f>
        <v>0</v>
      </c>
    </row>
    <row r="108" spans="1:12" ht="12.75" customHeight="1" thickBot="1" x14ac:dyDescent="0.25">
      <c r="A108" s="1723" t="s">
        <v>508</v>
      </c>
      <c r="B108" s="1727"/>
      <c r="C108" s="1722">
        <f>SUM(C95:C107)</f>
        <v>37518</v>
      </c>
      <c r="D108" s="1722">
        <f t="shared" ref="D108:K108" si="3">SUM(D95:D107)</f>
        <v>13063</v>
      </c>
      <c r="E108" s="1722">
        <f t="shared" si="3"/>
        <v>247700</v>
      </c>
      <c r="F108" s="1722">
        <f t="shared" si="3"/>
        <v>300</v>
      </c>
      <c r="G108" s="1722">
        <f t="shared" si="3"/>
        <v>0</v>
      </c>
      <c r="H108" s="1722">
        <f t="shared" si="3"/>
        <v>148093</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5709079</v>
      </c>
      <c r="D109" s="1730">
        <f t="shared" si="4"/>
        <v>1039949</v>
      </c>
      <c r="E109" s="1730">
        <f t="shared" si="4"/>
        <v>643331</v>
      </c>
      <c r="F109" s="1730">
        <f t="shared" si="4"/>
        <v>411062</v>
      </c>
      <c r="G109" s="1730">
        <f t="shared" si="4"/>
        <v>350862</v>
      </c>
      <c r="H109" s="1730">
        <f t="shared" si="4"/>
        <v>148218</v>
      </c>
      <c r="I109" s="1730">
        <f t="shared" si="4"/>
        <v>102877</v>
      </c>
      <c r="J109" s="1730">
        <f t="shared" si="4"/>
        <v>303499</v>
      </c>
      <c r="K109" s="1717">
        <f t="shared" si="4"/>
        <v>102739</v>
      </c>
    </row>
    <row r="110" spans="1:12" ht="30" customHeight="1" thickTop="1" x14ac:dyDescent="0.2">
      <c r="A110" s="1601" t="s">
        <v>364</v>
      </c>
      <c r="B110" s="1602"/>
      <c r="C110" s="1587"/>
      <c r="D110" s="1587"/>
      <c r="E110" s="1587"/>
      <c r="F110" s="1587"/>
      <c r="G110" s="1587"/>
      <c r="H110" s="1587"/>
      <c r="I110" s="1587"/>
      <c r="J110" s="1587"/>
      <c r="K110" s="1588"/>
    </row>
    <row r="111" spans="1:12" ht="12.75" customHeight="1" x14ac:dyDescent="0.2">
      <c r="A111" s="493" t="s">
        <v>877</v>
      </c>
      <c r="B111" s="491">
        <v>2100</v>
      </c>
      <c r="C111" s="516">
        <f>[1]!'acct[10-02100].adjbal{1}/VR'</f>
        <v>0</v>
      </c>
      <c r="D111" s="481">
        <f>[1]!'acct[20-02100].adjbal{1}/VR'</f>
        <v>0</v>
      </c>
      <c r="E111" s="561"/>
      <c r="F111" s="481">
        <f>[1]!'acct[40-02100].adjbal{1}/VR'</f>
        <v>0</v>
      </c>
      <c r="G111" s="481">
        <f>[1]!'acct[50-02100].adjbal{1}/VR'</f>
        <v>0</v>
      </c>
      <c r="H111" s="561"/>
      <c r="I111" s="468"/>
      <c r="J111" s="468"/>
      <c r="K111" s="468"/>
    </row>
    <row r="112" spans="1:12" ht="12.75" customHeight="1" x14ac:dyDescent="0.2">
      <c r="A112" s="463" t="s">
        <v>878</v>
      </c>
      <c r="B112" s="470">
        <v>2200</v>
      </c>
      <c r="C112" s="551">
        <f>[1]!'acct[10-02200].adjbal{1}/VR'</f>
        <v>0</v>
      </c>
      <c r="D112" s="466">
        <f>[1]!'acct[20-02200].adjbal{1}/VR'</f>
        <v>0</v>
      </c>
      <c r="E112" s="561"/>
      <c r="F112" s="466">
        <f>[1]!'acct[40-02200].adjbal{1}/VR'</f>
        <v>0</v>
      </c>
      <c r="G112" s="466">
        <f>[1]!'acct[50-02200].adjbal{1}/VR'</f>
        <v>0</v>
      </c>
      <c r="H112" s="561"/>
      <c r="I112" s="468"/>
      <c r="J112" s="468"/>
      <c r="K112" s="468"/>
      <c r="L112" s="552"/>
    </row>
    <row r="113" spans="1:11" ht="12.75" customHeight="1" x14ac:dyDescent="0.2">
      <c r="A113" s="463" t="s">
        <v>28</v>
      </c>
      <c r="B113" s="470">
        <v>2300</v>
      </c>
      <c r="C113" s="551">
        <f>[1]!'acct[10-02300].adjbal{1}/VR'</f>
        <v>0</v>
      </c>
      <c r="D113" s="466">
        <f>[1]!'acct[20-02300].adjbal{1}/VR'</f>
        <v>0</v>
      </c>
      <c r="E113" s="561"/>
      <c r="F113" s="466">
        <f>[1]!'acct[40-02300].adjbal{1}/VR'</f>
        <v>0</v>
      </c>
      <c r="G113" s="466">
        <f>[1]!'acct[50-02300].adjbal{1}/VR'</f>
        <v>0</v>
      </c>
      <c r="H113" s="561"/>
      <c r="I113" s="468"/>
      <c r="J113" s="468"/>
      <c r="K113" s="468"/>
    </row>
    <row r="114" spans="1:11" ht="13.5" thickBot="1" x14ac:dyDescent="0.25">
      <c r="A114" s="1731" t="s">
        <v>839</v>
      </c>
      <c r="B114" s="1732" t="s">
        <v>590</v>
      </c>
      <c r="C114" s="1733">
        <f>SUM(C111:C113)</f>
        <v>0</v>
      </c>
      <c r="D114" s="1733">
        <f>SUM(D111:D113)</f>
        <v>0</v>
      </c>
      <c r="E114" s="561" t="s">
        <v>1231</v>
      </c>
      <c r="F114" s="1733">
        <f>SUM(F111:F113)</f>
        <v>0</v>
      </c>
      <c r="G114" s="1733">
        <f>SUM(G111:G113)</f>
        <v>0</v>
      </c>
      <c r="H114" s="561"/>
      <c r="I114" s="468"/>
      <c r="J114" s="468"/>
      <c r="K114" s="468"/>
    </row>
    <row r="115" spans="1:11" ht="16.7" customHeight="1" thickTop="1" x14ac:dyDescent="0.2">
      <c r="A115" s="1603" t="s">
        <v>836</v>
      </c>
      <c r="B115" s="1604"/>
      <c r="C115" s="1586"/>
      <c r="D115" s="1587"/>
      <c r="E115" s="1587"/>
      <c r="F115" s="1587"/>
      <c r="G115" s="1587"/>
      <c r="H115" s="1587"/>
      <c r="I115" s="1587"/>
      <c r="J115" s="1587"/>
      <c r="K115" s="1588"/>
    </row>
    <row r="116" spans="1:11" ht="18" customHeight="1" x14ac:dyDescent="0.2">
      <c r="A116" s="1611" t="s">
        <v>1571</v>
      </c>
      <c r="B116" s="1612"/>
      <c r="C116" s="522"/>
      <c r="D116" s="521"/>
      <c r="E116" s="561"/>
      <c r="F116" s="521"/>
      <c r="G116" s="521"/>
      <c r="H116" s="561"/>
      <c r="I116" s="468"/>
      <c r="J116" s="521"/>
      <c r="K116" s="521"/>
    </row>
    <row r="117" spans="1:11" ht="12.75" customHeight="1" x14ac:dyDescent="0.2">
      <c r="A117" s="463" t="s">
        <v>1766</v>
      </c>
      <c r="B117" s="562">
        <v>3001</v>
      </c>
      <c r="C117" s="516">
        <f>[1]!'acct[10-03001].adjbal{1}/VR'</f>
        <v>2038354</v>
      </c>
      <c r="D117" s="481">
        <f>[1]!'acct[20-03001].adjbal{1}/VR'</f>
        <v>0</v>
      </c>
      <c r="E117" s="466">
        <f>[1]!'acct[30-03001].adjbal{1}/VR'</f>
        <v>0</v>
      </c>
      <c r="F117" s="481">
        <f>[1]!'acct[40-03001].adjbal{1}/VR'</f>
        <v>0</v>
      </c>
      <c r="G117" s="481">
        <f>[1]!'acct[50-03001].adjbal{1}/VR'</f>
        <v>0</v>
      </c>
      <c r="H117" s="466">
        <f>[1]!'acct[60-03001].adjbal{1}/VR'</f>
        <v>0</v>
      </c>
      <c r="I117" s="468"/>
      <c r="J117" s="467">
        <f>[1]!'acct[80-03001].adjbal{1}/VR'</f>
        <v>0</v>
      </c>
      <c r="K117" s="466">
        <f>[1]!'acct[90-03001].adjbal{1}/VR'</f>
        <v>0</v>
      </c>
    </row>
    <row r="118" spans="1:11" ht="12.75" customHeight="1" x14ac:dyDescent="0.2">
      <c r="A118" s="463" t="s">
        <v>1900</v>
      </c>
      <c r="B118" s="562">
        <v>3002</v>
      </c>
      <c r="C118" s="551">
        <f>[1]!'acct[10-03002].adjbal{1}/VR'</f>
        <v>0</v>
      </c>
      <c r="D118" s="466">
        <f>[1]!'acct[20-03002].adjbal{1}/VR'</f>
        <v>0</v>
      </c>
      <c r="E118" s="466">
        <f>[1]!'acct[30-03002].adjbal{1}/VR'</f>
        <v>0</v>
      </c>
      <c r="F118" s="466">
        <f>[1]!'acct[40-03002].adjbal{1}/VR'</f>
        <v>0</v>
      </c>
      <c r="G118" s="466">
        <f>[1]!'acct[50-03002].adjbal{1}/VR'</f>
        <v>0</v>
      </c>
      <c r="H118" s="466">
        <f>[1]!'acct[60-03002].adjbal{1}/VR'</f>
        <v>0</v>
      </c>
      <c r="I118" s="468"/>
      <c r="J118" s="467">
        <f>[1]!'acct[80-03002].adjbal{1}/VR'</f>
        <v>0</v>
      </c>
      <c r="K118" s="466">
        <f>[1]!'acct[90-03002].adjbal{1}/VR'</f>
        <v>0</v>
      </c>
    </row>
    <row r="119" spans="1:11" ht="12.75" customHeight="1" x14ac:dyDescent="0.2">
      <c r="A119" s="463" t="s">
        <v>1901</v>
      </c>
      <c r="B119" s="562">
        <v>3005</v>
      </c>
      <c r="C119" s="551">
        <f>[1]!'acct[10-03005].adjbal{1}/VR'</f>
        <v>193815</v>
      </c>
      <c r="D119" s="466">
        <f>[1]!'acct[20-03005].adjbal{1}/VR'</f>
        <v>0</v>
      </c>
      <c r="E119" s="466">
        <f>[1]!'acct[30-03005].adjbal{1}/VR'</f>
        <v>0</v>
      </c>
      <c r="F119" s="466">
        <f>[1]!'acct[40-03005].adjbal{1}/VR'</f>
        <v>0</v>
      </c>
      <c r="G119" s="466">
        <f>[1]!'acct[50-03005].adjbal{1}/VR'</f>
        <v>0</v>
      </c>
      <c r="H119" s="466">
        <f>[1]!'acct[60-03005].adjbal{1}/VR'</f>
        <v>0</v>
      </c>
      <c r="I119" s="468"/>
      <c r="J119" s="467">
        <f>[1]!'acct[80-03005].adjbal{1}/VR'</f>
        <v>0</v>
      </c>
      <c r="K119" s="466">
        <f>[1]!'acct[90-03005].adjbal{1}/VR'</f>
        <v>0</v>
      </c>
    </row>
    <row r="120" spans="1:11" x14ac:dyDescent="0.2">
      <c r="A120" s="1512" t="s">
        <v>1902</v>
      </c>
      <c r="B120" s="564">
        <v>3099</v>
      </c>
      <c r="C120" s="551">
        <f>[1]!'acct[10-03099].adjbal{1}/VR'</f>
        <v>0</v>
      </c>
      <c r="D120" s="466">
        <f>[1]!'acct[20-03099].adjbal{1}/VR'</f>
        <v>0</v>
      </c>
      <c r="E120" s="466">
        <f>[1]!'acct[30-03099].adjbal{1}/VR'</f>
        <v>0</v>
      </c>
      <c r="F120" s="466">
        <f>[1]!'acct[40-03099].adjbal{1}/VR'</f>
        <v>0</v>
      </c>
      <c r="G120" s="466">
        <f>[1]!'acct[50-03099].adjbal{1}/VR'</f>
        <v>0</v>
      </c>
      <c r="H120" s="466">
        <f>[1]!'acct[60-03099].adjbal{1}/VR'</f>
        <v>0</v>
      </c>
      <c r="I120" s="468"/>
      <c r="J120" s="467">
        <f>[1]!'acct[80-03099].adjbal{1}/VR'</f>
        <v>0</v>
      </c>
      <c r="K120" s="466">
        <f>[1]!'acct[90-03099].adjbal{1}/VR'</f>
        <v>0</v>
      </c>
    </row>
    <row r="121" spans="1:11" ht="12.6" customHeight="1" thickBot="1" x14ac:dyDescent="0.25">
      <c r="A121" s="1723" t="s">
        <v>509</v>
      </c>
      <c r="B121" s="1734"/>
      <c r="C121" s="1722">
        <f t="shared" ref="C121:H121" si="5">SUM(C117:C120)</f>
        <v>2232169</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8" t="s">
        <v>1570</v>
      </c>
      <c r="B122" s="1613"/>
      <c r="C122" s="565"/>
      <c r="D122" s="509"/>
      <c r="E122" s="468"/>
      <c r="F122" s="566"/>
      <c r="G122" s="468"/>
      <c r="H122" s="468"/>
      <c r="I122" s="468"/>
      <c r="J122" s="468"/>
      <c r="K122" s="468"/>
    </row>
    <row r="123" spans="1:11" ht="15" customHeight="1" x14ac:dyDescent="0.2">
      <c r="A123" s="1614" t="s">
        <v>688</v>
      </c>
      <c r="B123" s="1615"/>
      <c r="C123" s="521"/>
      <c r="D123" s="509"/>
      <c r="E123" s="468"/>
      <c r="F123" s="521"/>
      <c r="G123" s="468"/>
      <c r="H123" s="468"/>
      <c r="I123" s="468"/>
      <c r="J123" s="468"/>
      <c r="K123" s="468"/>
    </row>
    <row r="124" spans="1:11" ht="12.75" customHeight="1" x14ac:dyDescent="0.2">
      <c r="A124" s="463" t="s">
        <v>921</v>
      </c>
      <c r="B124" s="567">
        <v>3100</v>
      </c>
      <c r="C124" s="481">
        <f>[1]!'acct[10-03100].adjbal{1}/VR'</f>
        <v>0</v>
      </c>
      <c r="D124" s="561"/>
      <c r="E124" s="468"/>
      <c r="F124" s="548">
        <f>[1]!'acct[40-03100].adjbal{1}/VR'</f>
        <v>0</v>
      </c>
      <c r="G124" s="468"/>
      <c r="H124" s="468"/>
      <c r="I124" s="468"/>
      <c r="J124" s="468"/>
      <c r="K124" s="468"/>
    </row>
    <row r="125" spans="1:11" ht="12.75" customHeight="1" x14ac:dyDescent="0.2">
      <c r="A125" s="463" t="s">
        <v>1521</v>
      </c>
      <c r="B125" s="562">
        <v>3105</v>
      </c>
      <c r="C125" s="466">
        <f>[1]!'acct[10-03105].adjbal{1}/VR'</f>
        <v>80704</v>
      </c>
      <c r="D125" s="561"/>
      <c r="E125" s="468"/>
      <c r="F125" s="466">
        <f>[1]!'acct[40-03105].adjbal{1}/VR'</f>
        <v>0</v>
      </c>
      <c r="G125" s="468"/>
      <c r="H125" s="468"/>
      <c r="I125" s="468"/>
      <c r="J125" s="468"/>
      <c r="K125" s="468"/>
    </row>
    <row r="126" spans="1:11" ht="12.75" customHeight="1" x14ac:dyDescent="0.2">
      <c r="A126" s="463" t="s">
        <v>922</v>
      </c>
      <c r="B126" s="562">
        <v>3110</v>
      </c>
      <c r="C126" s="551">
        <f>[1]!'acct[10-03110].adjbal{1}/VR'</f>
        <v>101615</v>
      </c>
      <c r="D126" s="466">
        <f>[1]!'acct[20-03110].adjbal{1}/VR'</f>
        <v>0</v>
      </c>
      <c r="E126" s="468"/>
      <c r="F126" s="466">
        <f>[1]!'acct[40-03110].adjbal{1}/VR'</f>
        <v>0</v>
      </c>
      <c r="G126" s="468"/>
      <c r="H126" s="468"/>
      <c r="I126" s="468"/>
      <c r="J126" s="468"/>
      <c r="K126" s="468"/>
    </row>
    <row r="127" spans="1:11" ht="12.75" customHeight="1" x14ac:dyDescent="0.2">
      <c r="A127" s="463" t="s">
        <v>107</v>
      </c>
      <c r="B127" s="562">
        <v>3120</v>
      </c>
      <c r="C127" s="466">
        <f>[1]!'acct[10-03120].adjbal{1}/VR'</f>
        <v>20785</v>
      </c>
      <c r="D127" s="561"/>
      <c r="E127" s="468"/>
      <c r="F127" s="466">
        <f>[1]!'acct[40-03120].adjbal{1}/VR'</f>
        <v>0</v>
      </c>
      <c r="G127" s="468"/>
      <c r="H127" s="468"/>
      <c r="I127" s="468"/>
      <c r="J127" s="468"/>
      <c r="K127" s="468"/>
    </row>
    <row r="128" spans="1:11" ht="12.75" customHeight="1" x14ac:dyDescent="0.2">
      <c r="A128" s="463" t="s">
        <v>1522</v>
      </c>
      <c r="B128" s="562">
        <v>3130</v>
      </c>
      <c r="C128" s="466">
        <f>[1]!'acct[10-03130].adjbal{1}/VR'</f>
        <v>0</v>
      </c>
      <c r="D128" s="561"/>
      <c r="E128" s="468"/>
      <c r="F128" s="466">
        <f>[1]!'acct[40-03130].adjbal{1}/VR'</f>
        <v>0</v>
      </c>
      <c r="G128" s="468"/>
      <c r="H128" s="468"/>
      <c r="I128" s="468"/>
      <c r="J128" s="468"/>
      <c r="K128" s="468"/>
    </row>
    <row r="129" spans="1:11" ht="12.75" customHeight="1" x14ac:dyDescent="0.2">
      <c r="A129" s="463" t="s">
        <v>139</v>
      </c>
      <c r="B129" s="562">
        <v>3145</v>
      </c>
      <c r="C129" s="466">
        <f>[1]!'acct[10-03145].adjbal{1}/VR'</f>
        <v>0</v>
      </c>
      <c r="D129" s="561"/>
      <c r="E129" s="468"/>
      <c r="F129" s="466">
        <f>[1]!'acct[40-03145].adjbal{1}/VR'</f>
        <v>0</v>
      </c>
      <c r="G129" s="468"/>
      <c r="H129" s="468"/>
      <c r="I129" s="468"/>
      <c r="J129" s="468"/>
      <c r="K129" s="468"/>
    </row>
    <row r="130" spans="1:11" ht="12.75" customHeight="1" x14ac:dyDescent="0.2">
      <c r="A130" s="463" t="s">
        <v>68</v>
      </c>
      <c r="B130" s="562">
        <v>3199</v>
      </c>
      <c r="C130" s="551">
        <f>[1]!'acct[10-03199].adjbal{1}/VR'</f>
        <v>0</v>
      </c>
      <c r="D130" s="467">
        <f>[1]!'acct[20-03199].adjbal{1}/VR'</f>
        <v>0</v>
      </c>
      <c r="E130" s="468"/>
      <c r="F130" s="466">
        <f>[1]!'acct[40-03199].adjbal{1}/VR'</f>
        <v>0</v>
      </c>
      <c r="G130" s="468"/>
      <c r="H130" s="468"/>
      <c r="I130" s="468"/>
      <c r="J130" s="468"/>
      <c r="K130" s="468"/>
    </row>
    <row r="131" spans="1:11" ht="12.75" customHeight="1" thickBot="1" x14ac:dyDescent="0.25">
      <c r="A131" s="1723" t="s">
        <v>1092</v>
      </c>
      <c r="B131" s="1735"/>
      <c r="C131" s="1722">
        <f>SUM(C124:C130)</f>
        <v>203104</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6" t="s">
        <v>268</v>
      </c>
      <c r="B132" s="1617"/>
      <c r="C132" s="553"/>
      <c r="D132" s="553"/>
      <c r="E132" s="509"/>
      <c r="F132" s="553"/>
      <c r="G132" s="468"/>
      <c r="H132" s="468"/>
      <c r="I132" s="468"/>
      <c r="J132" s="468"/>
      <c r="K132" s="468"/>
    </row>
    <row r="133" spans="1:11" x14ac:dyDescent="0.2">
      <c r="A133" s="463" t="s">
        <v>620</v>
      </c>
      <c r="B133" s="562">
        <v>3200</v>
      </c>
      <c r="C133" s="551">
        <f>[1]!'acct[10-03200].adjbal{1}/VR'</f>
        <v>0</v>
      </c>
      <c r="D133" s="466">
        <f>[1]!'acct[20-03200].adjbal{1}/VR'</f>
        <v>0</v>
      </c>
      <c r="E133" s="561"/>
      <c r="F133" s="468"/>
      <c r="G133" s="466">
        <f>[1]!'acct[50-03200].adjbal{1}/VR'</f>
        <v>0</v>
      </c>
      <c r="H133" s="468"/>
      <c r="I133" s="468"/>
      <c r="J133" s="468"/>
      <c r="K133" s="468"/>
    </row>
    <row r="134" spans="1:11" ht="12.75" customHeight="1" x14ac:dyDescent="0.2">
      <c r="A134" s="463" t="s">
        <v>690</v>
      </c>
      <c r="B134" s="562">
        <v>3220</v>
      </c>
      <c r="C134" s="551">
        <f>[1]!'acct[10-03220].adjbal{1}/VR'</f>
        <v>8220</v>
      </c>
      <c r="D134" s="466">
        <f>[1]!'acct[20-03220].adjbal{1}/VR'</f>
        <v>0</v>
      </c>
      <c r="E134" s="561"/>
      <c r="F134" s="468"/>
      <c r="G134" s="467">
        <f>[1]!'acct[50-03220].adjbal{1}/VR'</f>
        <v>0</v>
      </c>
      <c r="H134" s="468"/>
      <c r="I134" s="468"/>
      <c r="J134" s="468"/>
      <c r="K134" s="468"/>
    </row>
    <row r="135" spans="1:11" ht="12.75" customHeight="1" x14ac:dyDescent="0.2">
      <c r="A135" s="463" t="s">
        <v>267</v>
      </c>
      <c r="B135" s="562">
        <v>3225</v>
      </c>
      <c r="C135" s="551">
        <f>[1]!'acct[10-03225].adjbal{1}/VR'</f>
        <v>0</v>
      </c>
      <c r="D135" s="466">
        <f>[1]!'acct[20-03225].adjbal{1}/VR'</f>
        <v>0</v>
      </c>
      <c r="E135" s="561"/>
      <c r="F135" s="468"/>
      <c r="G135" s="467">
        <f>[1]!'acct[50-03225].adjbal{1}/VR'</f>
        <v>0</v>
      </c>
      <c r="H135" s="468"/>
      <c r="I135" s="468"/>
      <c r="J135" s="468"/>
      <c r="K135" s="468"/>
    </row>
    <row r="136" spans="1:11" ht="12.75" customHeight="1" x14ac:dyDescent="0.2">
      <c r="A136" s="463" t="s">
        <v>621</v>
      </c>
      <c r="B136" s="562">
        <v>3235</v>
      </c>
      <c r="C136" s="489">
        <f>[1]!'acct[10-03235].adjbal{1}/VR'</f>
        <v>4748</v>
      </c>
      <c r="D136" s="467">
        <f>[1]!'acct[20-03235].adjbal{1}/VR'</f>
        <v>0</v>
      </c>
      <c r="E136" s="561"/>
      <c r="F136" s="468"/>
      <c r="G136" s="467">
        <f>[1]!'acct[50-03235].adjbal{1}/VR'</f>
        <v>0</v>
      </c>
      <c r="H136" s="468"/>
      <c r="I136" s="468"/>
      <c r="J136" s="468"/>
      <c r="K136" s="468"/>
    </row>
    <row r="137" spans="1:11" ht="12.75" customHeight="1" x14ac:dyDescent="0.2">
      <c r="A137" s="463" t="s">
        <v>622</v>
      </c>
      <c r="B137" s="562">
        <v>3240</v>
      </c>
      <c r="C137" s="489">
        <f>[1]!'acct[10-03240].adjbal{1}/VR'</f>
        <v>0</v>
      </c>
      <c r="D137" s="467">
        <f>[1]!'acct[20-03240].adjbal{1}/VR'</f>
        <v>0</v>
      </c>
      <c r="E137" s="561"/>
      <c r="F137" s="468"/>
      <c r="G137" s="467">
        <f>[1]!'acct[50-03240].adjbal{1}/VR'</f>
        <v>0</v>
      </c>
      <c r="H137" s="468"/>
      <c r="I137" s="468"/>
      <c r="J137" s="468"/>
      <c r="K137" s="468"/>
    </row>
    <row r="138" spans="1:11" ht="12.75" customHeight="1" x14ac:dyDescent="0.2">
      <c r="A138" s="463" t="s">
        <v>623</v>
      </c>
      <c r="B138" s="562">
        <v>3270</v>
      </c>
      <c r="C138" s="489">
        <f>[1]!'acct[10-03270].adjbal{1}/VR'</f>
        <v>0</v>
      </c>
      <c r="D138" s="467">
        <f>[1]!'acct[20-03270].adjbal{1}/VR'</f>
        <v>0</v>
      </c>
      <c r="E138" s="561"/>
      <c r="F138" s="468"/>
      <c r="G138" s="467">
        <f>[1]!'acct[50-03270].adjbal{1}/VR'</f>
        <v>0</v>
      </c>
      <c r="H138" s="468"/>
      <c r="I138" s="468"/>
      <c r="J138" s="468"/>
      <c r="K138" s="468"/>
    </row>
    <row r="139" spans="1:11" ht="12.75" customHeight="1" x14ac:dyDescent="0.2">
      <c r="A139" s="463" t="s">
        <v>69</v>
      </c>
      <c r="B139" s="562">
        <v>3299</v>
      </c>
      <c r="C139" s="551">
        <f>[1]!'acct[10-03299].adjbal{1}/VR'</f>
        <v>0</v>
      </c>
      <c r="D139" s="466">
        <f>[1]!'acct[20-03299].adjbal{1}/VR'</f>
        <v>0</v>
      </c>
      <c r="E139" s="561"/>
      <c r="F139" s="477"/>
      <c r="G139" s="467">
        <f>[1]!'acct[50-03299].adjbal{1}/VR'</f>
        <v>0</v>
      </c>
      <c r="H139" s="468"/>
      <c r="I139" s="468"/>
      <c r="J139" s="468"/>
      <c r="K139" s="468"/>
    </row>
    <row r="140" spans="1:11" ht="12.75" customHeight="1" thickBot="1" x14ac:dyDescent="0.25">
      <c r="A140" s="1723" t="s">
        <v>624</v>
      </c>
      <c r="B140" s="1735"/>
      <c r="C140" s="1722">
        <f>SUM(C133:C139)</f>
        <v>12968</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16" t="s">
        <v>691</v>
      </c>
      <c r="B141" s="1617"/>
      <c r="C141" s="553"/>
      <c r="D141" s="566"/>
      <c r="E141" s="561"/>
      <c r="F141" s="553"/>
      <c r="G141" s="553"/>
      <c r="H141" s="468"/>
      <c r="I141" s="468"/>
      <c r="J141" s="468"/>
      <c r="K141" s="468"/>
    </row>
    <row r="142" spans="1:11" ht="12.75" customHeight="1" x14ac:dyDescent="0.2">
      <c r="A142" s="463" t="s">
        <v>625</v>
      </c>
      <c r="B142" s="562">
        <v>3305</v>
      </c>
      <c r="C142" s="466">
        <f>[1]!'acct[10-03305].adjbal{1}/VR'</f>
        <v>0</v>
      </c>
      <c r="D142" s="468"/>
      <c r="E142" s="561"/>
      <c r="F142" s="468"/>
      <c r="G142" s="466">
        <f>[1]!'acct[50-03305].adjbal{1}/VR'</f>
        <v>0</v>
      </c>
      <c r="H142" s="468"/>
      <c r="I142" s="468"/>
      <c r="J142" s="468"/>
      <c r="K142" s="468"/>
    </row>
    <row r="143" spans="1:11" ht="12.75" customHeight="1" x14ac:dyDescent="0.2">
      <c r="A143" s="463" t="s">
        <v>365</v>
      </c>
      <c r="B143" s="562">
        <v>3310</v>
      </c>
      <c r="C143" s="551">
        <f>[1]!'acct[10-03310].adjbal{1}/VR'</f>
        <v>0</v>
      </c>
      <c r="D143" s="468"/>
      <c r="E143" s="561"/>
      <c r="F143" s="468"/>
      <c r="G143" s="466">
        <f>[1]!'acct[50-03310].adjbal{1}/VR'</f>
        <v>0</v>
      </c>
      <c r="H143" s="468"/>
      <c r="I143" s="468"/>
      <c r="J143" s="468"/>
      <c r="K143" s="468"/>
    </row>
    <row r="144" spans="1:11" s="202" customFormat="1" ht="13.5" thickBot="1" x14ac:dyDescent="0.25">
      <c r="A144" s="1723" t="s">
        <v>414</v>
      </c>
      <c r="B144" s="1735"/>
      <c r="C144" s="1703">
        <f>SUM(C142:C143)</f>
        <v>0</v>
      </c>
      <c r="D144" s="468"/>
      <c r="E144" s="509"/>
      <c r="F144" s="468"/>
      <c r="G144" s="1736">
        <f>SUM(G142:G143)</f>
        <v>0</v>
      </c>
      <c r="H144" s="468"/>
      <c r="I144" s="468"/>
      <c r="J144" s="468"/>
      <c r="K144" s="468"/>
    </row>
    <row r="145" spans="1:11" s="202" customFormat="1" ht="12.75" customHeight="1" thickTop="1" x14ac:dyDescent="0.2">
      <c r="A145" s="1514" t="s">
        <v>1116</v>
      </c>
      <c r="B145" s="568">
        <v>3360</v>
      </c>
      <c r="C145" s="569">
        <f>[1]!'acct[10-03360].adjbal{1}/VR'</f>
        <v>3796</v>
      </c>
      <c r="D145" s="570"/>
      <c r="E145" s="509"/>
      <c r="F145" s="468"/>
      <c r="G145" s="571"/>
      <c r="H145" s="468"/>
      <c r="I145" s="468"/>
      <c r="J145" s="468"/>
      <c r="K145" s="468"/>
    </row>
    <row r="146" spans="1:11" ht="12.75" customHeight="1" thickBot="1" x14ac:dyDescent="0.25">
      <c r="A146" s="1515" t="s">
        <v>979</v>
      </c>
      <c r="B146" s="572">
        <v>3365</v>
      </c>
      <c r="C146" s="573">
        <f>[1]!'acct[10-03365].adjbal{1}/VR'</f>
        <v>0</v>
      </c>
      <c r="D146" s="532">
        <f>[1]!'acct[20-03365].adjbal{1}/VR'</f>
        <v>0</v>
      </c>
      <c r="E146" s="561"/>
      <c r="F146" s="468"/>
      <c r="G146" s="532">
        <f>[1]!'acct[50-03365].adjbal{1}/VR'</f>
        <v>0</v>
      </c>
      <c r="H146" s="468"/>
      <c r="I146" s="468"/>
      <c r="J146" s="468"/>
      <c r="K146" s="468"/>
    </row>
    <row r="147" spans="1:11" ht="12.75" customHeight="1" thickTop="1" thickBot="1" x14ac:dyDescent="0.25">
      <c r="A147" s="1516" t="s">
        <v>140</v>
      </c>
      <c r="B147" s="574">
        <v>3370</v>
      </c>
      <c r="C147" s="573">
        <f>[1]!'acct[10-03370].adjbal{1}/VR'</f>
        <v>18292</v>
      </c>
      <c r="D147" s="573">
        <f>[1]!'acct[20-03370].adjbal{1}/VR'</f>
        <v>0</v>
      </c>
      <c r="E147" s="509"/>
      <c r="F147" s="468"/>
      <c r="G147" s="468"/>
      <c r="H147" s="468"/>
      <c r="I147" s="468"/>
      <c r="J147" s="468"/>
      <c r="K147" s="468"/>
    </row>
    <row r="148" spans="1:11" ht="12.75" customHeight="1" thickTop="1" thickBot="1" x14ac:dyDescent="0.25">
      <c r="A148" s="1516" t="s">
        <v>791</v>
      </c>
      <c r="B148" s="574">
        <v>3410</v>
      </c>
      <c r="C148" s="575">
        <f>[1]!'acct[10-03410].adjbal{1}/VR'</f>
        <v>0</v>
      </c>
      <c r="D148" s="576">
        <f>[1]!'acct[20-03410].adjbal{1}/VR'</f>
        <v>0</v>
      </c>
      <c r="E148" s="577">
        <f>[1]!'acct[30-03410].adjbal{1}/VR'</f>
        <v>0</v>
      </c>
      <c r="F148" s="530">
        <f>[1]!'acct[40-03410].adjbal{1}/VR'</f>
        <v>0</v>
      </c>
      <c r="G148" s="530">
        <f>[1]!'acct[50-03410].adjbal{1}/VR'</f>
        <v>0</v>
      </c>
      <c r="H148" s="530">
        <f>[1]!'acct[60-03410].adjbal{1}/VR'</f>
        <v>0</v>
      </c>
      <c r="I148" s="530">
        <f>[1]!'acct[70-03410].adjbal{1}/VR'</f>
        <v>0</v>
      </c>
      <c r="J148" s="530">
        <f>[1]!'acct[80-03410].adjbal{1}/VR'</f>
        <v>0</v>
      </c>
      <c r="K148" s="530">
        <f>[1]!'acct[90-03410].adjbal{1}/VR'</f>
        <v>0</v>
      </c>
    </row>
    <row r="149" spans="1:11" ht="12.75" customHeight="1" thickTop="1" thickBot="1" x14ac:dyDescent="0.25">
      <c r="A149" s="1516" t="s">
        <v>70</v>
      </c>
      <c r="B149" s="574">
        <v>3499</v>
      </c>
      <c r="C149" s="575">
        <f>[1]!'acct[10-03499].adjbal{1}/VR'</f>
        <v>0</v>
      </c>
      <c r="D149" s="576">
        <f>[1]!'acct[20-03499].adjbal{1}/VR'</f>
        <v>0</v>
      </c>
      <c r="E149" s="532">
        <f>[1]!'acct[30-03499].adjbal{1}/VR'</f>
        <v>0</v>
      </c>
      <c r="F149" s="532">
        <f>[1]!'acct[40-03499].adjbal{1}/VR'</f>
        <v>0</v>
      </c>
      <c r="G149" s="532">
        <f>[1]!'acct[50-03499].adjbal{1}/VR'</f>
        <v>0</v>
      </c>
      <c r="H149" s="532">
        <f>[1]!'acct[60-03499].adjbal{1}/VR'</f>
        <v>0</v>
      </c>
      <c r="I149" s="532">
        <f>[1]!'acct[70-03499].adjbal{1}/VR'</f>
        <v>0</v>
      </c>
      <c r="J149" s="532">
        <f>[1]!'acct[80-03499].adjbal{1}/VR'</f>
        <v>0</v>
      </c>
      <c r="K149" s="532">
        <f>[1]!'acct[90-03499].adjbal{1}/VR'</f>
        <v>0</v>
      </c>
    </row>
    <row r="150" spans="1:11" ht="15.75" customHeight="1" thickTop="1" x14ac:dyDescent="0.2">
      <c r="A150" s="1616" t="s">
        <v>473</v>
      </c>
      <c r="B150" s="1618"/>
      <c r="C150" s="553"/>
      <c r="D150" s="468"/>
      <c r="E150" s="561"/>
      <c r="F150" s="468"/>
      <c r="G150" s="468"/>
      <c r="H150" s="468"/>
      <c r="I150" s="468"/>
      <c r="J150" s="468"/>
      <c r="K150" s="468"/>
    </row>
    <row r="151" spans="1:11" ht="12.75" customHeight="1" x14ac:dyDescent="0.2">
      <c r="A151" s="463" t="s">
        <v>1523</v>
      </c>
      <c r="B151" s="562">
        <v>3500</v>
      </c>
      <c r="C151" s="551">
        <f>[1]!'acct[10-03500].adjbal{1}/VR'</f>
        <v>0</v>
      </c>
      <c r="D151" s="466">
        <f>[1]!'acct[20-03500].adjbal{1}/VR'</f>
        <v>0</v>
      </c>
      <c r="E151" s="561"/>
      <c r="F151" s="466">
        <f>[1]!'acct[40-03500].adjbal{1}/VR'</f>
        <v>359610</v>
      </c>
      <c r="G151" s="467">
        <f>[1]!'acct[50-03500].adjbal{1}/VR'</f>
        <v>0</v>
      </c>
      <c r="H151" s="468"/>
      <c r="I151" s="468"/>
      <c r="J151" s="468"/>
      <c r="K151" s="468"/>
    </row>
    <row r="152" spans="1:11" ht="12.75" customHeight="1" x14ac:dyDescent="0.2">
      <c r="A152" s="463" t="s">
        <v>1117</v>
      </c>
      <c r="B152" s="562">
        <v>3510</v>
      </c>
      <c r="C152" s="551">
        <f>[1]!'acct[10-03510].adjbal{1}/VR'</f>
        <v>0</v>
      </c>
      <c r="D152" s="466">
        <f>[1]!'acct[20-03510].adjbal{1}/VR'</f>
        <v>0</v>
      </c>
      <c r="E152" s="561"/>
      <c r="F152" s="466">
        <f>[1]!'acct[40-03510].adjbal{1}/VR'</f>
        <v>250769</v>
      </c>
      <c r="G152" s="467">
        <f>[1]!'acct[50-03510].adjbal{1}/VR'</f>
        <v>0</v>
      </c>
      <c r="H152" s="468"/>
      <c r="I152" s="468"/>
      <c r="J152" s="468"/>
      <c r="K152" s="468"/>
    </row>
    <row r="153" spans="1:11" ht="12.75" customHeight="1" x14ac:dyDescent="0.2">
      <c r="A153" s="463" t="s">
        <v>71</v>
      </c>
      <c r="B153" s="562">
        <v>3599</v>
      </c>
      <c r="C153" s="551">
        <f>[1]!'acct[10-03599].adjbal{1}/VR'</f>
        <v>0</v>
      </c>
      <c r="D153" s="466">
        <f>[1]!'acct[20-03599].adjbal{1}/VR'</f>
        <v>0</v>
      </c>
      <c r="E153" s="561"/>
      <c r="F153" s="466">
        <f>[1]!'acct[40-03599].adjbal{1}/VR'</f>
        <v>0</v>
      </c>
      <c r="G153" s="467">
        <f>[1]!'acct[50-03599].adjbal{1}/VR'</f>
        <v>0</v>
      </c>
      <c r="H153" s="468"/>
      <c r="I153" s="468"/>
      <c r="J153" s="468"/>
      <c r="K153" s="468"/>
    </row>
    <row r="154" spans="1:11" ht="12.75" customHeight="1" thickBot="1" x14ac:dyDescent="0.25">
      <c r="A154" s="1723" t="s">
        <v>96</v>
      </c>
      <c r="B154" s="1735"/>
      <c r="C154" s="1722">
        <f>SUM(C151:C153)</f>
        <v>0</v>
      </c>
      <c r="D154" s="1722">
        <f>SUM(D151:D153)</f>
        <v>0</v>
      </c>
      <c r="E154" s="561"/>
      <c r="F154" s="1722">
        <f>SUM(F151:F153)</f>
        <v>610379</v>
      </c>
      <c r="G154" s="1722">
        <f>SUM(G151:G153)</f>
        <v>0</v>
      </c>
      <c r="H154" s="468"/>
      <c r="I154" s="468"/>
      <c r="J154" s="468"/>
      <c r="K154" s="468"/>
    </row>
    <row r="155" spans="1:11" ht="12.75" customHeight="1" thickTop="1" thickBot="1" x14ac:dyDescent="0.25">
      <c r="A155" s="1516" t="s">
        <v>398</v>
      </c>
      <c r="B155" s="574">
        <v>3610</v>
      </c>
      <c r="C155" s="576">
        <f>[1]!'acct[10-03610].adjbal{1}/VR'</f>
        <v>0</v>
      </c>
      <c r="D155" s="468"/>
      <c r="E155" s="509"/>
      <c r="F155" s="468"/>
      <c r="G155" s="468"/>
      <c r="H155" s="468"/>
      <c r="I155" s="468"/>
      <c r="J155" s="468"/>
      <c r="K155" s="468"/>
    </row>
    <row r="156" spans="1:11" ht="12.75" customHeight="1" thickTop="1" thickBot="1" x14ac:dyDescent="0.25">
      <c r="A156" s="1516" t="s">
        <v>52</v>
      </c>
      <c r="B156" s="574">
        <v>3660</v>
      </c>
      <c r="C156" s="573">
        <f>[1]!'acct[10-03660].adjbal{1}/VR'</f>
        <v>0</v>
      </c>
      <c r="D156" s="578">
        <f>[1]!'acct[20-03660].adjbal{1}/VR'</f>
        <v>0</v>
      </c>
      <c r="E156" s="561"/>
      <c r="F156" s="578">
        <f>[1]!'acct[40-03660].adjbal{1}/VR'</f>
        <v>0</v>
      </c>
      <c r="G156" s="578">
        <f>[1]!'acct[50-03660].adjbal{1}/VR'</f>
        <v>0</v>
      </c>
      <c r="H156" s="468"/>
      <c r="I156" s="468"/>
      <c r="J156" s="468"/>
      <c r="K156" s="468"/>
    </row>
    <row r="157" spans="1:11" ht="12.75" customHeight="1" thickTop="1" thickBot="1" x14ac:dyDescent="0.25">
      <c r="A157" s="1516" t="s">
        <v>1057</v>
      </c>
      <c r="B157" s="574">
        <v>3695</v>
      </c>
      <c r="C157" s="576">
        <f>[1]!'acct[10-03695].adjbal{1}/VR'</f>
        <v>0</v>
      </c>
      <c r="D157" s="468"/>
      <c r="E157" s="561"/>
      <c r="F157" s="576">
        <f>[1]!'acct[40-03695].adjbal{1}/VR'</f>
        <v>0</v>
      </c>
      <c r="G157" s="576">
        <f>[1]!'acct[50-03695].adjbal{1}/VR'</f>
        <v>0</v>
      </c>
      <c r="H157" s="468"/>
      <c r="I157" s="468"/>
      <c r="J157" s="468"/>
      <c r="K157" s="468"/>
    </row>
    <row r="158" spans="1:11" ht="12.75" customHeight="1" thickTop="1" thickBot="1" x14ac:dyDescent="0.25">
      <c r="A158" s="1516" t="s">
        <v>1111</v>
      </c>
      <c r="B158" s="574">
        <v>3705</v>
      </c>
      <c r="C158" s="576">
        <f>[1]!'acct[10-03705].adjbal{1}/VR'</f>
        <v>389562</v>
      </c>
      <c r="D158" s="578">
        <f>[1]!'acct[20-03705].adjbal{1}/VR'</f>
        <v>0</v>
      </c>
      <c r="E158" s="561"/>
      <c r="F158" s="576">
        <f>[1]!'acct[40-03705].adjbal{1}/VR'</f>
        <v>58482</v>
      </c>
      <c r="G158" s="576">
        <f>[1]!'acct[50-03705].adjbal{1}/VR'</f>
        <v>0</v>
      </c>
      <c r="H158" s="468"/>
      <c r="I158" s="468"/>
      <c r="J158" s="468"/>
      <c r="K158" s="468"/>
    </row>
    <row r="159" spans="1:11" ht="12.75" customHeight="1" thickTop="1" thickBot="1" x14ac:dyDescent="0.25">
      <c r="A159" s="1516" t="s">
        <v>39</v>
      </c>
      <c r="B159" s="574">
        <v>3715</v>
      </c>
      <c r="C159" s="576">
        <f>[1]!'acct[10-03715].adjbal{1}/VR3'</f>
        <v>0</v>
      </c>
      <c r="D159" s="468"/>
      <c r="E159" s="561"/>
      <c r="F159" s="576">
        <f>[1]!'acct[40-03715].adjbal{1}/VR'</f>
        <v>0</v>
      </c>
      <c r="G159" s="576">
        <f>[1]!'acct[50-03715].adjbal{1}/VR'</f>
        <v>0</v>
      </c>
      <c r="H159" s="468"/>
      <c r="I159" s="468"/>
      <c r="J159" s="468"/>
      <c r="K159" s="468"/>
    </row>
    <row r="160" spans="1:11" ht="12.75" customHeight="1" thickTop="1" thickBot="1" x14ac:dyDescent="0.25">
      <c r="A160" s="1516" t="s">
        <v>40</v>
      </c>
      <c r="B160" s="574">
        <v>3720</v>
      </c>
      <c r="C160" s="576">
        <f>[1]!'acct[10-03720].adjbal{1}/VR'</f>
        <v>0</v>
      </c>
      <c r="D160" s="468"/>
      <c r="E160" s="561"/>
      <c r="F160" s="576">
        <f>[1]!'acct[40-03720].adjbal{1}/VR'</f>
        <v>0</v>
      </c>
      <c r="G160" s="576">
        <f>[1]!'acct[50-03720].adjbal{1}/VR'</f>
        <v>0</v>
      </c>
      <c r="H160" s="468"/>
      <c r="I160" s="468"/>
      <c r="J160" s="468"/>
      <c r="K160" s="468"/>
    </row>
    <row r="161" spans="1:11" ht="12.75" customHeight="1" thickTop="1" thickBot="1" x14ac:dyDescent="0.25">
      <c r="A161" s="1516" t="s">
        <v>415</v>
      </c>
      <c r="B161" s="574">
        <v>3725</v>
      </c>
      <c r="C161" s="531">
        <f>[1]!'acct[10-03725].adjbal{1}/VR'</f>
        <v>0</v>
      </c>
      <c r="D161" s="468"/>
      <c r="E161" s="561"/>
      <c r="F161" s="531">
        <f>[1]!'acct[40-03725].adjbal{1}/VR'</f>
        <v>0</v>
      </c>
      <c r="G161" s="531">
        <f>[1]!'acct[50-03725].adjbal{1}/VR'</f>
        <v>0</v>
      </c>
      <c r="H161" s="468"/>
      <c r="I161" s="468"/>
      <c r="J161" s="468"/>
      <c r="K161" s="468"/>
    </row>
    <row r="162" spans="1:11" ht="12.75" customHeight="1" thickTop="1" thickBot="1" x14ac:dyDescent="0.25">
      <c r="A162" s="1516" t="s">
        <v>416</v>
      </c>
      <c r="B162" s="574">
        <v>3726</v>
      </c>
      <c r="C162" s="531">
        <f>[1]!'acct[10-03726].adjbal{1}/VR'</f>
        <v>0</v>
      </c>
      <c r="D162" s="468"/>
      <c r="E162" s="561"/>
      <c r="F162" s="531">
        <f>[1]!'acct[40-03726].adjbal{1}/VR'</f>
        <v>0</v>
      </c>
      <c r="G162" s="531">
        <f>[1]!'acct[50-03726].adjbal{1}/VR'</f>
        <v>0</v>
      </c>
      <c r="H162" s="468"/>
      <c r="I162" s="468"/>
      <c r="J162" s="468"/>
      <c r="K162" s="468"/>
    </row>
    <row r="163" spans="1:11" ht="12.75" customHeight="1" thickTop="1" thickBot="1" x14ac:dyDescent="0.25">
      <c r="A163" s="1516" t="s">
        <v>41</v>
      </c>
      <c r="B163" s="574">
        <v>3766</v>
      </c>
      <c r="C163" s="576">
        <f>[1]!'acct[10-03766].adjbal{1}/VR'</f>
        <v>0</v>
      </c>
      <c r="D163" s="578">
        <f>[1]!'acct[20-03766].adjbal{1}/VR'</f>
        <v>0</v>
      </c>
      <c r="E163" s="561"/>
      <c r="F163" s="576">
        <f>[1]!'acct[40-03766].adjbal{1}/VR'</f>
        <v>0</v>
      </c>
      <c r="G163" s="531">
        <f>[1]!'acct[50-03766].adjbal{1}/VR'</f>
        <v>0</v>
      </c>
      <c r="H163" s="468"/>
      <c r="I163" s="468"/>
      <c r="J163" s="468"/>
      <c r="K163" s="468"/>
    </row>
    <row r="164" spans="1:11" ht="12.75" customHeight="1" thickTop="1" thickBot="1" x14ac:dyDescent="0.25">
      <c r="A164" s="1516" t="s">
        <v>1042</v>
      </c>
      <c r="B164" s="574">
        <v>3767</v>
      </c>
      <c r="C164" s="576">
        <f>[1]!'acct[10-03767].adjbal{1}/VR'</f>
        <v>0</v>
      </c>
      <c r="D164" s="531">
        <f>[1]!'acct[20-03767].adjbal{1}/VR'</f>
        <v>0</v>
      </c>
      <c r="E164" s="561"/>
      <c r="F164" s="531">
        <f>[1]!'acct[40-03767].adjbal{1}/VR'</f>
        <v>0</v>
      </c>
      <c r="G164" s="531">
        <f>[1]!'acct[50-03767].adjbal{1}/VR'</f>
        <v>0</v>
      </c>
      <c r="H164" s="468"/>
      <c r="I164" s="468"/>
      <c r="J164" s="468"/>
      <c r="K164" s="468"/>
    </row>
    <row r="165" spans="1:11" ht="12.75" customHeight="1" thickTop="1" thickBot="1" x14ac:dyDescent="0.25">
      <c r="A165" s="1516" t="s">
        <v>1043</v>
      </c>
      <c r="B165" s="574">
        <v>3775</v>
      </c>
      <c r="C165" s="576">
        <f>[1]!'acct[10-03775].adjbal{1}/VR'</f>
        <v>0</v>
      </c>
      <c r="D165" s="573">
        <f>[1]!'acct[20-03775].adjbal{1}/VR'</f>
        <v>0</v>
      </c>
      <c r="E165" s="530">
        <f>[1]!'acct[30-03775].adjbal{1}/VR'</f>
        <v>0</v>
      </c>
      <c r="F165" s="573">
        <f>[1]!'acct[40-03775].adjbal{1}/VR'</f>
        <v>0</v>
      </c>
      <c r="G165" s="532">
        <f>[1]!'acct[50-03775].adjbal{1}/VR'</f>
        <v>0</v>
      </c>
      <c r="H165" s="530">
        <f>[1]!'acct[60-03775].adjbal{1}/VR'</f>
        <v>0</v>
      </c>
      <c r="I165" s="468"/>
      <c r="J165" s="468"/>
      <c r="K165" s="530">
        <f>[1]!'acct[90-03775].adjbal{1}/VR'</f>
        <v>0</v>
      </c>
    </row>
    <row r="166" spans="1:11" ht="12.75" customHeight="1" thickTop="1" thickBot="1" x14ac:dyDescent="0.25">
      <c r="A166" s="1516" t="s">
        <v>1524</v>
      </c>
      <c r="B166" s="574">
        <v>3780</v>
      </c>
      <c r="C166" s="531">
        <f>[1]!'acct[10-03780].adjbal{1}/VR'</f>
        <v>0</v>
      </c>
      <c r="D166" s="530">
        <f>[1]!'acct[20-03780].adjbal{1}/VR'</f>
        <v>0</v>
      </c>
      <c r="E166" s="531">
        <f>[1]!'acct[30-03780].adjbal{1}/VR'</f>
        <v>0</v>
      </c>
      <c r="F166" s="531">
        <f>[1]!'acct[40-03780].adjbal{1}/VR'</f>
        <v>0</v>
      </c>
      <c r="G166" s="531">
        <f>[1]!'acct[50-03780].adjbal{1}/VR'</f>
        <v>0</v>
      </c>
      <c r="H166" s="531">
        <f>[1]!'acct[60-03780].adjbal{1}/VR'</f>
        <v>0</v>
      </c>
      <c r="I166" s="468"/>
      <c r="J166" s="468"/>
      <c r="K166" s="531">
        <f>[1]!'acct[90-03780].adjbal{1}/VR'</f>
        <v>0</v>
      </c>
    </row>
    <row r="167" spans="1:11" ht="12.75" customHeight="1" thickTop="1" thickBot="1" x14ac:dyDescent="0.25">
      <c r="A167" s="1516" t="s">
        <v>913</v>
      </c>
      <c r="B167" s="574">
        <v>3815</v>
      </c>
      <c r="C167" s="576">
        <f>[1]!'acct[10-03815].adjbal{1}/VR'</f>
        <v>0</v>
      </c>
      <c r="D167" s="468"/>
      <c r="E167" s="561"/>
      <c r="F167" s="576">
        <f>[1]!'acct[40-03815].adjbal{1}/VR'</f>
        <v>0</v>
      </c>
      <c r="G167" s="468"/>
      <c r="H167" s="468"/>
      <c r="I167" s="468"/>
      <c r="J167" s="468"/>
      <c r="K167" s="468"/>
    </row>
    <row r="168" spans="1:11" ht="12.75" customHeight="1" thickTop="1" thickBot="1" x14ac:dyDescent="0.25">
      <c r="A168" s="1516" t="s">
        <v>417</v>
      </c>
      <c r="B168" s="574">
        <v>3825</v>
      </c>
      <c r="C168" s="576">
        <f>[1]!'acct[10-03825].adjbal{1}/VR'</f>
        <v>0</v>
      </c>
      <c r="D168" s="468"/>
      <c r="E168" s="561"/>
      <c r="F168" s="576">
        <f>[1]!'acct[40-03825].adjbal{1}/VR'</f>
        <v>0</v>
      </c>
      <c r="G168" s="468"/>
      <c r="H168" s="468"/>
      <c r="I168" s="468"/>
      <c r="J168" s="468"/>
      <c r="K168" s="468"/>
    </row>
    <row r="169" spans="1:11" ht="12.75" customHeight="1" thickTop="1" thickBot="1" x14ac:dyDescent="0.25">
      <c r="A169" s="1516" t="s">
        <v>366</v>
      </c>
      <c r="B169" s="574">
        <v>3920</v>
      </c>
      <c r="C169" s="566"/>
      <c r="D169" s="578">
        <f>[1]!'acct[20-03920].adjbal{1}/VR'</f>
        <v>0</v>
      </c>
      <c r="E169" s="468"/>
      <c r="F169" s="566"/>
      <c r="G169" s="468"/>
      <c r="H169" s="530">
        <f>[1]!'acct[60-03920].adjbal{1}/VR'</f>
        <v>0</v>
      </c>
      <c r="I169" s="468"/>
      <c r="J169" s="468"/>
      <c r="K169" s="468"/>
    </row>
    <row r="170" spans="1:11" ht="12.75" customHeight="1" thickTop="1" thickBot="1" x14ac:dyDescent="0.25">
      <c r="A170" s="1516" t="s">
        <v>367</v>
      </c>
      <c r="B170" s="574">
        <v>3925</v>
      </c>
      <c r="C170" s="521"/>
      <c r="D170" s="576">
        <f>[1]!'acct[20-03925].adjbal{1}/VR'</f>
        <v>0</v>
      </c>
      <c r="E170" s="521"/>
      <c r="F170" s="521"/>
      <c r="G170" s="468"/>
      <c r="H170" s="531">
        <f>[1]!'acct[60-03925].adjbal{1}/VR'</f>
        <v>0</v>
      </c>
      <c r="I170" s="468"/>
      <c r="J170" s="468"/>
      <c r="K170" s="530">
        <f>[1]!'acct[90-03925].adjbal{1}/VR'</f>
        <v>0</v>
      </c>
    </row>
    <row r="171" spans="1:11" ht="14.25" thickTop="1" thickBot="1" x14ac:dyDescent="0.25">
      <c r="A171" s="1516" t="s">
        <v>72</v>
      </c>
      <c r="B171" s="574">
        <v>3999</v>
      </c>
      <c r="C171" s="579">
        <f>[1]!'acct[10-03999].adjbal{1}/VR'</f>
        <v>1578</v>
      </c>
      <c r="D171" s="580">
        <f>[1]!'acct[20-03999].adjbal{1}/VR'</f>
        <v>0</v>
      </c>
      <c r="E171" s="580">
        <f>[1]!'acct[30-03999].adjbal{1}/VR'</f>
        <v>0</v>
      </c>
      <c r="F171" s="580">
        <f>[1]!'acct[40-03999].adjbal{1}/VR'</f>
        <v>0</v>
      </c>
      <c r="G171" s="581">
        <f>[1]!'acct[50-03999].adjbal{1}/VR'</f>
        <v>0</v>
      </c>
      <c r="H171" s="582">
        <f>[1]!'acct[60-03999].adjbal{1}/VR'</f>
        <v>0</v>
      </c>
      <c r="I171" s="581">
        <f>[1]!'acct[70-03999].adjbal{1}/VR'</f>
        <v>0</v>
      </c>
      <c r="J171" s="581">
        <f>[1]!'acct[80-03999].adjbal{1}/VR'</f>
        <v>0</v>
      </c>
      <c r="K171" s="582">
        <f>[1]!'acct[90-03999].adjbal{1}/VR'</f>
        <v>0</v>
      </c>
    </row>
    <row r="172" spans="1:11" ht="12.75" customHeight="1" thickTop="1" thickBot="1" x14ac:dyDescent="0.25">
      <c r="A172" s="2173" t="s">
        <v>418</v>
      </c>
      <c r="B172" s="2174"/>
      <c r="C172" s="1737">
        <f t="shared" ref="C172:K172" si="6">SUM(C131,C140,C144,C145:C149,C154,C155:C170,C171)</f>
        <v>629300</v>
      </c>
      <c r="D172" s="1737">
        <f t="shared" si="6"/>
        <v>0</v>
      </c>
      <c r="E172" s="1737">
        <f t="shared" si="6"/>
        <v>0</v>
      </c>
      <c r="F172" s="1737">
        <f t="shared" si="6"/>
        <v>668861</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2861469</v>
      </c>
      <c r="D173" s="1730">
        <f>SUM(D121,D172)</f>
        <v>0</v>
      </c>
      <c r="E173" s="1730">
        <f>SUM(E121,E172)</f>
        <v>0</v>
      </c>
      <c r="F173" s="1730">
        <f t="shared" ref="F173:K173" si="7">SUM(F121,F172)</f>
        <v>668861</v>
      </c>
      <c r="G173" s="1730">
        <f t="shared" si="7"/>
        <v>0</v>
      </c>
      <c r="H173" s="1730">
        <f t="shared" si="7"/>
        <v>0</v>
      </c>
      <c r="I173" s="1730">
        <f t="shared" si="7"/>
        <v>0</v>
      </c>
      <c r="J173" s="1730">
        <f t="shared" si="7"/>
        <v>0</v>
      </c>
      <c r="K173" s="1717">
        <f t="shared" si="7"/>
        <v>0</v>
      </c>
    </row>
    <row r="174" spans="1:11" ht="16.7" customHeight="1" thickTop="1" x14ac:dyDescent="0.2">
      <c r="A174" s="1605" t="s">
        <v>837</v>
      </c>
      <c r="B174" s="1583"/>
      <c r="C174" s="1586"/>
      <c r="D174" s="1587"/>
      <c r="E174" s="1587"/>
      <c r="F174" s="1587"/>
      <c r="G174" s="1587"/>
      <c r="H174" s="1587"/>
      <c r="I174" s="1587"/>
      <c r="J174" s="1587"/>
      <c r="K174" s="1588"/>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f>[1]!'acct[10-04001].adjbal{1}/VR'</f>
        <v>0</v>
      </c>
      <c r="D176" s="481">
        <f>[1]!'acct[20-04001].adjbal{1}/VR'</f>
        <v>0</v>
      </c>
      <c r="E176" s="467">
        <f>[1]!'acct[30-04001].adjbal{1}/VR'</f>
        <v>0</v>
      </c>
      <c r="F176" s="466">
        <f>[1]!'acct[40-04001].adjbal{1}/VR'</f>
        <v>0</v>
      </c>
      <c r="G176" s="466">
        <f>[1]!'acct[50-04001].adjbal{1}/VR'</f>
        <v>0</v>
      </c>
      <c r="H176" s="467">
        <f>[1]!'acct[60-04001].adjbal{1}/VR'</f>
        <v>0</v>
      </c>
      <c r="I176" s="467">
        <f>[1]!'acct[70-04001].adjbal{1}/VR'</f>
        <v>0</v>
      </c>
      <c r="J176" s="467">
        <f>[1]!'acct[80-04001].adjbal{1}/VR'</f>
        <v>0</v>
      </c>
      <c r="K176" s="467">
        <f>[1]!'acct[90-04001].adjbal{1}/VR'</f>
        <v>0</v>
      </c>
    </row>
    <row r="177" spans="1:11" ht="22.5" x14ac:dyDescent="0.2">
      <c r="A177" s="563" t="s">
        <v>838</v>
      </c>
      <c r="B177" s="583">
        <v>4009</v>
      </c>
      <c r="C177" s="551">
        <f>[1]!'acct[10-04009].adjbal{1}/VR'</f>
        <v>0</v>
      </c>
      <c r="D177" s="466">
        <f>[1]!'acct[20-04009].adjbal{1}/VR'</f>
        <v>0</v>
      </c>
      <c r="E177" s="467">
        <f>[1]!'acct[30-04009].adjbal{1}/VR'</f>
        <v>0</v>
      </c>
      <c r="F177" s="466">
        <f>[1]!'acct[40-04009].adjbal{1}/VR'</f>
        <v>0</v>
      </c>
      <c r="G177" s="466">
        <f>[1]!'acct[50-04009].adjbal{1}/VR'</f>
        <v>0</v>
      </c>
      <c r="H177" s="467">
        <f>[1]!'acct[60-04009].adjbal{1}/VR'</f>
        <v>0</v>
      </c>
      <c r="I177" s="467">
        <f>[1]!'acct[70-04009].adjbal{1}/VR'</f>
        <v>0</v>
      </c>
      <c r="J177" s="467">
        <f>[1]!'acct[80-04009].adjbal{1}/VR'</f>
        <v>0</v>
      </c>
      <c r="K177" s="467">
        <f>[1]!'acct[90-04009].adjbal{1}/VR'</f>
        <v>0</v>
      </c>
    </row>
    <row r="178" spans="1:11" ht="13.5" thickBot="1" x14ac:dyDescent="0.25">
      <c r="A178" s="2179" t="s">
        <v>1764</v>
      </c>
      <c r="B178" s="2180"/>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f>[1]!'acct[10-04045].adjbal{1}/VR'</f>
        <v>0</v>
      </c>
      <c r="D180" s="468"/>
      <c r="E180" s="561"/>
      <c r="F180" s="468"/>
      <c r="G180" s="468"/>
      <c r="H180" s="468"/>
      <c r="I180" s="468"/>
      <c r="J180" s="468"/>
      <c r="K180" s="468"/>
    </row>
    <row r="181" spans="1:11" ht="12.75" customHeight="1" x14ac:dyDescent="0.2">
      <c r="A181" s="463" t="s">
        <v>1106</v>
      </c>
      <c r="B181" s="470">
        <v>4050</v>
      </c>
      <c r="C181" s="551">
        <f>[1]!'acct[10-04050].adjbal{1}/VR'</f>
        <v>0</v>
      </c>
      <c r="D181" s="467">
        <f>[1]!'acct[20-04050].adjbal{1}/VR'</f>
        <v>0</v>
      </c>
      <c r="E181" s="561"/>
      <c r="F181" s="468"/>
      <c r="G181" s="468"/>
      <c r="H181" s="467">
        <f>[1]!'acct[60-04050].adjbal{1}/VR'</f>
        <v>0</v>
      </c>
      <c r="I181" s="468"/>
      <c r="J181" s="468"/>
      <c r="K181" s="468"/>
    </row>
    <row r="182" spans="1:11" ht="12.75" customHeight="1" x14ac:dyDescent="0.2">
      <c r="A182" s="463" t="s">
        <v>278</v>
      </c>
      <c r="B182" s="470">
        <v>4060</v>
      </c>
      <c r="C182" s="516">
        <f>[1]!'acct[10-04060].adjbal{1}/VR'</f>
        <v>0</v>
      </c>
      <c r="D182" s="466">
        <f>[1]!'acct[20-04060].adjbal{1}/VR'</f>
        <v>0</v>
      </c>
      <c r="E182" s="468"/>
      <c r="F182" s="466">
        <f>[1]!'acct[40-04060].adjbal{1}/VR'</f>
        <v>0</v>
      </c>
      <c r="G182" s="466">
        <f>[1]!'acct[50-04060].adjbal{1}/VR'</f>
        <v>0</v>
      </c>
      <c r="H182" s="466">
        <f>[1]!'acct[60-04060].adjbal{1}/VR'</f>
        <v>0</v>
      </c>
      <c r="I182" s="468"/>
      <c r="J182" s="468"/>
      <c r="K182" s="521"/>
    </row>
    <row r="183" spans="1:11" ht="22.5" x14ac:dyDescent="0.2">
      <c r="A183" s="563" t="s">
        <v>819</v>
      </c>
      <c r="B183" s="583">
        <v>4090</v>
      </c>
      <c r="C183" s="551">
        <f>[1]!'acct[10-04090].adjbal{1}/VR'</f>
        <v>0</v>
      </c>
      <c r="D183" s="466">
        <f>[1]!'acct[20-04090].adjbal{1}/VR'</f>
        <v>0</v>
      </c>
      <c r="E183" s="468"/>
      <c r="F183" s="466">
        <f>[1]!'acct[40-04090].adjbal{1}/VR'</f>
        <v>0</v>
      </c>
      <c r="G183" s="466">
        <f>[1]!'acct[50-04090].adjbal{1}/VR'</f>
        <v>0</v>
      </c>
      <c r="H183" s="466">
        <f>[1]!'acct[60-04090].adjbal{1}/VR'</f>
        <v>0</v>
      </c>
      <c r="I183" s="468"/>
      <c r="J183" s="468"/>
      <c r="K183" s="466">
        <f>[1]!'acct[90-04090].adjbal{1}/VR'</f>
        <v>0</v>
      </c>
    </row>
    <row r="184" spans="1:11" ht="13.5" thickBot="1" x14ac:dyDescent="0.25">
      <c r="A184" s="2181" t="s">
        <v>818</v>
      </c>
      <c r="B184" s="2182"/>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77" t="s">
        <v>1904</v>
      </c>
      <c r="B185" s="2178"/>
      <c r="C185" s="584"/>
      <c r="D185" s="566"/>
      <c r="E185" s="509"/>
      <c r="F185" s="566"/>
      <c r="G185" s="566"/>
      <c r="H185" s="468"/>
      <c r="I185" s="468"/>
      <c r="J185" s="468"/>
      <c r="K185" s="468"/>
    </row>
    <row r="186" spans="1:11" ht="15.75" customHeight="1" x14ac:dyDescent="0.2">
      <c r="A186" s="1619" t="s">
        <v>1692</v>
      </c>
      <c r="B186" s="1620"/>
      <c r="C186" s="522"/>
      <c r="D186" s="521"/>
      <c r="E186" s="509"/>
      <c r="F186" s="521"/>
      <c r="G186" s="521"/>
      <c r="H186" s="468"/>
      <c r="I186" s="468"/>
      <c r="J186" s="468"/>
      <c r="K186" s="468"/>
    </row>
    <row r="187" spans="1:11" ht="12.75" customHeight="1" x14ac:dyDescent="0.2">
      <c r="A187" s="463" t="s">
        <v>1693</v>
      </c>
      <c r="B187" s="470">
        <v>4100</v>
      </c>
      <c r="C187" s="516">
        <f>[1]!'acct[10-04100].adjbal{1}/VR'</f>
        <v>0</v>
      </c>
      <c r="D187" s="481">
        <f>[1]!'acct[20-04100].adjbal{1}/VR'</f>
        <v>0</v>
      </c>
      <c r="E187" s="561"/>
      <c r="F187" s="481">
        <f>[1]!'acct[40-04100].adjbal{1}/VR'</f>
        <v>0</v>
      </c>
      <c r="G187" s="481">
        <f>[1]!'acct[50-04100].adjbal{1}/VR'</f>
        <v>0</v>
      </c>
      <c r="H187" s="468"/>
      <c r="I187" s="468"/>
      <c r="J187" s="468"/>
      <c r="K187" s="468"/>
    </row>
    <row r="188" spans="1:11" ht="12.75" customHeight="1" x14ac:dyDescent="0.2">
      <c r="A188" s="463" t="s">
        <v>1694</v>
      </c>
      <c r="B188" s="470">
        <v>4105</v>
      </c>
      <c r="C188" s="551">
        <f>[1]!'acct[10-04105].adjbal{1}/VR'</f>
        <v>0</v>
      </c>
      <c r="D188" s="466">
        <f>[1]!'acct[20-04105].adjbal{1}/VR'</f>
        <v>0</v>
      </c>
      <c r="E188" s="561"/>
      <c r="F188" s="466">
        <f>[1]!'acct[40-04105].adjbal{1}/VR'</f>
        <v>0</v>
      </c>
      <c r="G188" s="466">
        <f>[1]!'acct[50-04105].adjbal{1}/VR'</f>
        <v>0</v>
      </c>
      <c r="H188" s="468"/>
      <c r="I188" s="468"/>
      <c r="J188" s="468"/>
      <c r="K188" s="468"/>
    </row>
    <row r="189" spans="1:11" ht="12.75" customHeight="1" x14ac:dyDescent="0.2">
      <c r="A189" s="463" t="s">
        <v>1696</v>
      </c>
      <c r="B189" s="470">
        <v>4107</v>
      </c>
      <c r="C189" s="551">
        <f>[1]!'acct[10-04107].adjbal{1}/VR'</f>
        <v>0</v>
      </c>
      <c r="D189" s="466">
        <f>[1]!'acct[20-04107].adjbal{1}/VR'</f>
        <v>0</v>
      </c>
      <c r="E189" s="561"/>
      <c r="F189" s="466">
        <f>[1]!'acct[40-04107].adjbal{1}/VR'</f>
        <v>0</v>
      </c>
      <c r="G189" s="466">
        <f>[1]!'acct[50-04107].adjbal{1}/VR'</f>
        <v>0</v>
      </c>
      <c r="H189" s="468"/>
      <c r="I189" s="468"/>
      <c r="J189" s="468"/>
      <c r="K189" s="468"/>
    </row>
    <row r="190" spans="1:11" ht="12.75" customHeight="1" x14ac:dyDescent="0.2">
      <c r="A190" s="463" t="s">
        <v>1695</v>
      </c>
      <c r="B190" s="470">
        <v>4199</v>
      </c>
      <c r="C190" s="551">
        <f>[1]!'acct[10-04199].adjbal{1}/VR'</f>
        <v>0</v>
      </c>
      <c r="D190" s="466">
        <f>[1]!'acct[20-04199].adjbal{1}/VR'</f>
        <v>0</v>
      </c>
      <c r="E190" s="561"/>
      <c r="F190" s="466">
        <f>[1]!'acct[40-04199].adjbal{1}/VR'</f>
        <v>0</v>
      </c>
      <c r="G190" s="466">
        <f>[1]!'acct[50-04199].adjbal{1}/VR'</f>
        <v>0</v>
      </c>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16" t="s">
        <v>475</v>
      </c>
      <c r="B192" s="1621"/>
      <c r="C192" s="553"/>
      <c r="D192" s="566"/>
      <c r="E192" s="561"/>
      <c r="F192" s="553"/>
      <c r="G192" s="553"/>
      <c r="H192" s="468"/>
      <c r="I192" s="468"/>
      <c r="J192" s="468"/>
      <c r="K192" s="468"/>
    </row>
    <row r="193" spans="1:11" x14ac:dyDescent="0.2">
      <c r="A193" s="463" t="s">
        <v>1525</v>
      </c>
      <c r="B193" s="470">
        <v>4200</v>
      </c>
      <c r="C193" s="467">
        <f>[1]!'acct[10-04200].adjbal{1}/VR'</f>
        <v>0</v>
      </c>
      <c r="D193" s="468"/>
      <c r="E193" s="561"/>
      <c r="F193" s="553"/>
      <c r="G193" s="585">
        <f>[1]!'acct[50-04200].adjbal{1}/VR'</f>
        <v>0</v>
      </c>
      <c r="H193" s="468"/>
      <c r="I193" s="468"/>
      <c r="J193" s="468"/>
      <c r="K193" s="468"/>
    </row>
    <row r="194" spans="1:11" ht="12.75" customHeight="1" x14ac:dyDescent="0.2">
      <c r="A194" s="463" t="s">
        <v>1118</v>
      </c>
      <c r="B194" s="470">
        <v>4210</v>
      </c>
      <c r="C194" s="466">
        <f>[1]!'acct[10-04210].adjbal{1}/VR'</f>
        <v>231359</v>
      </c>
      <c r="D194" s="468"/>
      <c r="E194" s="561"/>
      <c r="F194" s="468"/>
      <c r="G194" s="585">
        <f>[1]!'acct[50-04210].adjbal{1}/VR'</f>
        <v>0</v>
      </c>
      <c r="H194" s="468"/>
      <c r="I194" s="468"/>
      <c r="J194" s="468"/>
      <c r="K194" s="468"/>
    </row>
    <row r="195" spans="1:11" ht="12.75" customHeight="1" x14ac:dyDescent="0.2">
      <c r="A195" s="463" t="s">
        <v>1107</v>
      </c>
      <c r="B195" s="470">
        <v>4215</v>
      </c>
      <c r="C195" s="551">
        <f>[1]!'acct[10-04215].adjbal{1}/VR'</f>
        <v>0</v>
      </c>
      <c r="D195" s="468"/>
      <c r="E195" s="561"/>
      <c r="F195" s="468"/>
      <c r="G195" s="585">
        <f>[1]!'acct[50-04215].adjbal{1}/VR'</f>
        <v>0</v>
      </c>
      <c r="H195" s="468"/>
      <c r="I195" s="468"/>
      <c r="J195" s="468"/>
      <c r="K195" s="468"/>
    </row>
    <row r="196" spans="1:11" ht="12.75" customHeight="1" x14ac:dyDescent="0.2">
      <c r="A196" s="463" t="s">
        <v>1119</v>
      </c>
      <c r="B196" s="470">
        <v>4220</v>
      </c>
      <c r="C196" s="551">
        <f>[1]!'acct[10-04220].adjbal{1}/VR'</f>
        <v>58066</v>
      </c>
      <c r="D196" s="468"/>
      <c r="E196" s="561"/>
      <c r="F196" s="468"/>
      <c r="G196" s="585">
        <f>[1]!'acct[50-04220].adjbal{1}/VR'</f>
        <v>0</v>
      </c>
      <c r="H196" s="468"/>
      <c r="I196" s="468"/>
      <c r="J196" s="468"/>
      <c r="K196" s="468"/>
    </row>
    <row r="197" spans="1:11" ht="12.75" customHeight="1" x14ac:dyDescent="0.2">
      <c r="A197" s="463" t="s">
        <v>1526</v>
      </c>
      <c r="B197" s="470">
        <v>4225</v>
      </c>
      <c r="C197" s="551">
        <f>[1]!'acct[10-04225].adjbal{1}/VR'</f>
        <v>0</v>
      </c>
      <c r="D197" s="468"/>
      <c r="E197" s="561"/>
      <c r="F197" s="468"/>
      <c r="G197" s="585">
        <f>[1]!'acct[50-04225].adjbal{1}/VR'</f>
        <v>0</v>
      </c>
      <c r="H197" s="468"/>
      <c r="I197" s="468"/>
      <c r="J197" s="468"/>
      <c r="K197" s="468"/>
    </row>
    <row r="198" spans="1:11" ht="12.75" customHeight="1" x14ac:dyDescent="0.2">
      <c r="A198" s="463" t="s">
        <v>1527</v>
      </c>
      <c r="B198" s="470">
        <v>4226</v>
      </c>
      <c r="C198" s="551">
        <f>[1]!'acct[10-04226].adjbal{1}/VR'</f>
        <v>0</v>
      </c>
      <c r="D198" s="468"/>
      <c r="E198" s="561"/>
      <c r="F198" s="468"/>
      <c r="G198" s="585">
        <f>[1]!'acct[50-04226].adjbal{1}/VR'</f>
        <v>0</v>
      </c>
      <c r="H198" s="468"/>
      <c r="I198" s="468"/>
      <c r="J198" s="468"/>
      <c r="K198" s="468"/>
    </row>
    <row r="199" spans="1:11" ht="12.75" customHeight="1" x14ac:dyDescent="0.2">
      <c r="A199" s="463" t="s">
        <v>825</v>
      </c>
      <c r="B199" s="470">
        <v>4240</v>
      </c>
      <c r="C199" s="489">
        <f>[1]!'acct[10-04240].adjbal{1}/VR'</f>
        <v>0</v>
      </c>
      <c r="D199" s="468"/>
      <c r="E199" s="561"/>
      <c r="F199" s="468"/>
      <c r="G199" s="586"/>
      <c r="H199" s="468"/>
      <c r="I199" s="468"/>
      <c r="J199" s="468"/>
      <c r="K199" s="468"/>
    </row>
    <row r="200" spans="1:11" ht="12.75" customHeight="1" x14ac:dyDescent="0.2">
      <c r="A200" s="463" t="s">
        <v>73</v>
      </c>
      <c r="B200" s="470">
        <v>4299</v>
      </c>
      <c r="C200" s="551">
        <f>[1]!'acct[10-04299].adjbal{1}/VR'</f>
        <v>0</v>
      </c>
      <c r="D200" s="468"/>
      <c r="E200" s="561"/>
      <c r="F200" s="468"/>
      <c r="G200" s="585">
        <f>[1]!'acct[50-04299].adjbal{1}/VR'</f>
        <v>0</v>
      </c>
      <c r="H200" s="468"/>
      <c r="I200" s="468"/>
      <c r="J200" s="468"/>
      <c r="K200" s="468"/>
    </row>
    <row r="201" spans="1:11" ht="12.75" customHeight="1" thickBot="1" x14ac:dyDescent="0.25">
      <c r="A201" s="1723" t="s">
        <v>569</v>
      </c>
      <c r="B201" s="1724"/>
      <c r="C201" s="1703">
        <f>SUM(C193:C200)</f>
        <v>289425</v>
      </c>
      <c r="D201" s="468"/>
      <c r="E201" s="468"/>
      <c r="F201" s="468"/>
      <c r="G201" s="1703">
        <f>SUM(G193:G200)</f>
        <v>0</v>
      </c>
      <c r="H201" s="468"/>
      <c r="I201" s="468"/>
      <c r="J201" s="468"/>
      <c r="K201" s="468"/>
    </row>
    <row r="202" spans="1:11" ht="15.75" customHeight="1" thickTop="1" x14ac:dyDescent="0.2">
      <c r="A202" s="1616" t="s">
        <v>1200</v>
      </c>
      <c r="B202" s="1621"/>
      <c r="C202" s="553"/>
      <c r="D202" s="468"/>
      <c r="E202" s="468"/>
      <c r="F202" s="468"/>
      <c r="G202" s="468"/>
      <c r="H202" s="468"/>
      <c r="I202" s="468"/>
      <c r="J202" s="468"/>
      <c r="K202" s="468"/>
    </row>
    <row r="203" spans="1:11" ht="12.75" customHeight="1" x14ac:dyDescent="0.2">
      <c r="A203" s="463" t="s">
        <v>974</v>
      </c>
      <c r="B203" s="470">
        <v>4300</v>
      </c>
      <c r="C203" s="466">
        <f>[1]!'acct[10-04300].adjbal{1}/VR'</f>
        <v>406906</v>
      </c>
      <c r="D203" s="466">
        <f>[1]!'acct[20-04300].adjbal{1}/VR'</f>
        <v>0</v>
      </c>
      <c r="E203" s="468"/>
      <c r="F203" s="466">
        <f>[1]!'acct[40-04300].adjbal{1}/VR'</f>
        <v>0</v>
      </c>
      <c r="G203" s="466">
        <f>[1]!'acct[50-04300].adjbal{1}/VR'</f>
        <v>0</v>
      </c>
      <c r="H203" s="468"/>
      <c r="I203" s="468"/>
      <c r="J203" s="468"/>
      <c r="K203" s="468"/>
    </row>
    <row r="204" spans="1:11" ht="12.75" customHeight="1" x14ac:dyDescent="0.2">
      <c r="A204" s="463" t="s">
        <v>975</v>
      </c>
      <c r="B204" s="470">
        <v>4305</v>
      </c>
      <c r="C204" s="551">
        <f>[1]!'acct[10-04305].adjbal{1}/VR'</f>
        <v>0</v>
      </c>
      <c r="D204" s="466">
        <f>[1]!'acct[20-04305].adjbal{1}/VR'</f>
        <v>0</v>
      </c>
      <c r="E204" s="468"/>
      <c r="F204" s="466">
        <f>[1]!'acct[40-04305].adjbal{1}/VR'</f>
        <v>0</v>
      </c>
      <c r="G204" s="466">
        <f>[1]!'acct[50-04305].adjbal{1}/VR'</f>
        <v>0</v>
      </c>
      <c r="H204" s="468"/>
      <c r="I204" s="468"/>
      <c r="J204" s="468"/>
      <c r="K204" s="468"/>
    </row>
    <row r="205" spans="1:11" ht="12.75" customHeight="1" x14ac:dyDescent="0.2">
      <c r="A205" s="463" t="s">
        <v>976</v>
      </c>
      <c r="B205" s="470">
        <v>4332</v>
      </c>
      <c r="C205" s="551">
        <f>[1]!'acct[10-04332].adjbal{1}/VR'</f>
        <v>0</v>
      </c>
      <c r="D205" s="466">
        <f>[1]!'acct[20-04332].adjbal{1}/VR'</f>
        <v>0</v>
      </c>
      <c r="E205" s="468"/>
      <c r="F205" s="466">
        <f>[1]!'acct[40-04332].adjbal{1}/VR'</f>
        <v>0</v>
      </c>
      <c r="G205" s="466">
        <f>[1]!'acct[50-04332].adjbal{1}/VR'</f>
        <v>0</v>
      </c>
      <c r="H205" s="468"/>
      <c r="I205" s="468"/>
      <c r="J205" s="468"/>
      <c r="K205" s="468"/>
    </row>
    <row r="206" spans="1:11" ht="12.75" customHeight="1" x14ac:dyDescent="0.2">
      <c r="A206" s="463" t="s">
        <v>1089</v>
      </c>
      <c r="B206" s="470">
        <v>4334</v>
      </c>
      <c r="C206" s="551">
        <f>[1]!'acct[10-04334].adjbal{1}/VR'</f>
        <v>0</v>
      </c>
      <c r="D206" s="466">
        <f>[1]!'acct[20-04334].adjbal{1}/VR'</f>
        <v>0</v>
      </c>
      <c r="E206" s="468"/>
      <c r="F206" s="466">
        <f>[1]!'acct[40-04334].adjbal{1}/VR'</f>
        <v>0</v>
      </c>
      <c r="G206" s="466">
        <f>[1]!'acct[50-04334].adjbal{1}/VR'</f>
        <v>0</v>
      </c>
      <c r="H206" s="468"/>
      <c r="I206" s="468"/>
      <c r="J206" s="468"/>
      <c r="K206" s="468"/>
    </row>
    <row r="207" spans="1:11" ht="12.75" customHeight="1" x14ac:dyDescent="0.2">
      <c r="A207" s="463" t="s">
        <v>1090</v>
      </c>
      <c r="B207" s="470">
        <v>4335</v>
      </c>
      <c r="C207" s="551">
        <f>[1]!'acct[10-04335].adjbal{1}/VR'</f>
        <v>0</v>
      </c>
      <c r="D207" s="466">
        <f>[1]!'acct[20-04335].adjbal{1}/VR'</f>
        <v>0</v>
      </c>
      <c r="E207" s="468"/>
      <c r="F207" s="466">
        <f>[1]!'acct[40-04335].adjbal{1}/VR'</f>
        <v>0</v>
      </c>
      <c r="G207" s="466">
        <f>[1]!'acct[50-04335].adjbal{1}/VR'</f>
        <v>0</v>
      </c>
      <c r="H207" s="468"/>
      <c r="I207" s="468"/>
      <c r="J207" s="468"/>
      <c r="K207" s="468"/>
    </row>
    <row r="208" spans="1:11" ht="12.75" customHeight="1" x14ac:dyDescent="0.2">
      <c r="A208" s="463" t="s">
        <v>1153</v>
      </c>
      <c r="B208" s="470">
        <v>4337</v>
      </c>
      <c r="C208" s="489">
        <f>[1]!'acct[10-04337].adjbal{1}/VR'</f>
        <v>0</v>
      </c>
      <c r="D208" s="467">
        <f>[1]!'acct[20-04337].adjbal{1}/VR'</f>
        <v>0</v>
      </c>
      <c r="E208" s="468"/>
      <c r="F208" s="467">
        <f>[1]!'acct[40-04337].adjbal{1}/VR'</f>
        <v>0</v>
      </c>
      <c r="G208" s="467">
        <f>[1]!'acct[50-04337].adjbal{1}/VR'</f>
        <v>0</v>
      </c>
      <c r="H208" s="468"/>
      <c r="I208" s="468"/>
      <c r="J208" s="468"/>
      <c r="K208" s="468"/>
    </row>
    <row r="209" spans="1:11" ht="12.75" customHeight="1" x14ac:dyDescent="0.2">
      <c r="A209" s="463" t="s">
        <v>1091</v>
      </c>
      <c r="B209" s="470">
        <v>4340</v>
      </c>
      <c r="C209" s="551">
        <f>[1]!'acct[10-04340].adjbal{1}/VR'</f>
        <v>0</v>
      </c>
      <c r="D209" s="466">
        <f>[1]!'acct[20-04340].adjbal{1}/VR'</f>
        <v>0</v>
      </c>
      <c r="E209" s="468"/>
      <c r="F209" s="466">
        <f>[1]!'acct[40-04340].adjbal{1}/VR'</f>
        <v>0</v>
      </c>
      <c r="G209" s="466">
        <f>[1]!'acct[50-04340].adjbal{1}/VR'</f>
        <v>0</v>
      </c>
      <c r="H209" s="468"/>
      <c r="I209" s="468"/>
      <c r="J209" s="468"/>
      <c r="K209" s="468"/>
    </row>
    <row r="210" spans="1:11" ht="12.75" customHeight="1" x14ac:dyDescent="0.2">
      <c r="A210" s="463" t="s">
        <v>74</v>
      </c>
      <c r="B210" s="470">
        <v>4399</v>
      </c>
      <c r="C210" s="551">
        <f>[1]!'acct[10-04399].adjbal{1}/VR'</f>
        <v>0</v>
      </c>
      <c r="D210" s="466">
        <f>[1]!'acct[20-04399].adjbal{1}/VR'</f>
        <v>0</v>
      </c>
      <c r="E210" s="468"/>
      <c r="F210" s="466">
        <f>[1]!'acct[40-04399].adjbal{1}/VR'</f>
        <v>0</v>
      </c>
      <c r="G210" s="466">
        <f>[1]!'acct[50-04399].adjbal{1}/VR'</f>
        <v>0</v>
      </c>
      <c r="H210" s="468"/>
      <c r="I210" s="468"/>
      <c r="J210" s="468"/>
      <c r="K210" s="468"/>
    </row>
    <row r="211" spans="1:11" ht="12.75" customHeight="1" thickBot="1" x14ac:dyDescent="0.25">
      <c r="A211" s="1723" t="s">
        <v>420</v>
      </c>
      <c r="B211" s="1724"/>
      <c r="C211" s="1722">
        <f>SUM(C203:C210)</f>
        <v>406906</v>
      </c>
      <c r="D211" s="1722">
        <f>SUM(D203:D210)</f>
        <v>0</v>
      </c>
      <c r="E211" s="468"/>
      <c r="F211" s="1722">
        <f>SUM(F203:F210)</f>
        <v>0</v>
      </c>
      <c r="G211" s="1722">
        <f>SUM(G203:G210)</f>
        <v>0</v>
      </c>
      <c r="H211" s="468"/>
      <c r="I211" s="468"/>
      <c r="J211" s="468"/>
      <c r="K211" s="468"/>
    </row>
    <row r="212" spans="1:11" ht="15.75" customHeight="1" thickTop="1" x14ac:dyDescent="0.2">
      <c r="A212" s="1616" t="s">
        <v>1201</v>
      </c>
      <c r="B212" s="1621"/>
      <c r="C212" s="553"/>
      <c r="D212" s="553"/>
      <c r="E212" s="468"/>
      <c r="F212" s="553"/>
      <c r="G212" s="553"/>
      <c r="H212" s="468"/>
      <c r="I212" s="468"/>
      <c r="J212" s="468"/>
      <c r="K212" s="468"/>
    </row>
    <row r="213" spans="1:11" ht="12.75" customHeight="1" x14ac:dyDescent="0.2">
      <c r="A213" s="463" t="s">
        <v>783</v>
      </c>
      <c r="B213" s="470">
        <v>4400</v>
      </c>
      <c r="C213" s="551">
        <f>[1]!'acct[10-04400].adjbal{1}/VR'</f>
        <v>0</v>
      </c>
      <c r="D213" s="466">
        <f>[1]!'acct[20-04400].adjbal{1}/VR'</f>
        <v>0</v>
      </c>
      <c r="E213" s="468"/>
      <c r="F213" s="466">
        <f>[1]!'acct[40-04400].adjbal{1}/VR'</f>
        <v>0</v>
      </c>
      <c r="G213" s="466">
        <f>[1]!'acct[50-04400].adjbal{1}/VR'</f>
        <v>0</v>
      </c>
      <c r="H213" s="468"/>
      <c r="I213" s="468"/>
      <c r="J213" s="468"/>
      <c r="K213" s="468"/>
    </row>
    <row r="214" spans="1:11" ht="12.75" customHeight="1" x14ac:dyDescent="0.2">
      <c r="A214" s="463" t="s">
        <v>1528</v>
      </c>
      <c r="B214" s="470">
        <v>4421</v>
      </c>
      <c r="C214" s="551">
        <f>[1]!'acct[10-04421].adjbal{1}/VR'</f>
        <v>0</v>
      </c>
      <c r="D214" s="466">
        <f>[1]!'acct[20-04421].adjbal{1}/VR'</f>
        <v>0</v>
      </c>
      <c r="E214" s="468"/>
      <c r="F214" s="466">
        <f>[1]!'acct[40-04421].adjbal{1}/VR'</f>
        <v>0</v>
      </c>
      <c r="G214" s="466">
        <f>[1]!'acct[50-04421].adjbal{1}/VR'</f>
        <v>0</v>
      </c>
      <c r="H214" s="468"/>
      <c r="I214" s="468"/>
      <c r="J214" s="468"/>
      <c r="K214" s="468"/>
    </row>
    <row r="215" spans="1:11" ht="12.75" customHeight="1" x14ac:dyDescent="0.2">
      <c r="A215" s="463" t="s">
        <v>75</v>
      </c>
      <c r="B215" s="470">
        <v>4499</v>
      </c>
      <c r="C215" s="551">
        <f>[1]!'acct[10-04499].adjbal{1}/VR'</f>
        <v>0</v>
      </c>
      <c r="D215" s="466">
        <f>[1]!'acct[20-04499].adjbal{1}/VR'</f>
        <v>0</v>
      </c>
      <c r="E215" s="468"/>
      <c r="F215" s="466">
        <f>[1]!'acct[40-04499].adjbal{1}/VR'</f>
        <v>0</v>
      </c>
      <c r="G215" s="466">
        <f>[1]!'acct[50-04499].adjbal{1}/VR'</f>
        <v>0</v>
      </c>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16" t="s">
        <v>1154</v>
      </c>
      <c r="B217" s="1621"/>
      <c r="C217" s="553"/>
      <c r="D217" s="553"/>
      <c r="E217" s="468"/>
      <c r="F217" s="553"/>
      <c r="G217" s="553"/>
      <c r="H217" s="468"/>
      <c r="I217" s="468"/>
      <c r="J217" s="468"/>
      <c r="K217" s="468"/>
    </row>
    <row r="218" spans="1:11" ht="12.75" customHeight="1" x14ac:dyDescent="0.2">
      <c r="A218" s="463" t="s">
        <v>1112</v>
      </c>
      <c r="B218" s="470">
        <v>4600</v>
      </c>
      <c r="C218" s="551">
        <f>[1]!'acct[10-04600].adjbal{1}/VR'</f>
        <v>0</v>
      </c>
      <c r="D218" s="466">
        <f>[1]!'acct[20-04600].adjbal{1}/VR'</f>
        <v>0</v>
      </c>
      <c r="E218" s="468"/>
      <c r="F218" s="466">
        <f>[1]!'acct[40-04600].adjbal{1}/VR'</f>
        <v>0</v>
      </c>
      <c r="G218" s="466">
        <f>[1]!'acct[50-04600].adjbal{1}/VR'</f>
        <v>0</v>
      </c>
      <c r="H218" s="468"/>
      <c r="I218" s="468"/>
      <c r="J218" s="468"/>
      <c r="K218" s="468"/>
    </row>
    <row r="219" spans="1:11" ht="12.75" customHeight="1" x14ac:dyDescent="0.2">
      <c r="A219" s="463" t="s">
        <v>1113</v>
      </c>
      <c r="B219" s="470">
        <v>4605</v>
      </c>
      <c r="C219" s="551">
        <f>[1]!'acct[10-04605].adjbal{1}/VR'</f>
        <v>0</v>
      </c>
      <c r="D219" s="466">
        <f>[1]!'acct[20-04605].adjbal{1}/VR'</f>
        <v>0</v>
      </c>
      <c r="E219" s="468"/>
      <c r="F219" s="466">
        <f>[1]!'acct[40-04605].adjbal{1}/VR'</f>
        <v>0</v>
      </c>
      <c r="G219" s="466">
        <f>[1]!'acct[50-04605].adjbal{1}/VR'</f>
        <v>0</v>
      </c>
      <c r="H219" s="468"/>
      <c r="I219" s="468"/>
      <c r="J219" s="468"/>
      <c r="K219" s="468"/>
    </row>
    <row r="220" spans="1:11" ht="12.75" customHeight="1" x14ac:dyDescent="0.2">
      <c r="A220" s="463" t="s">
        <v>1529</v>
      </c>
      <c r="B220" s="557">
        <v>4620</v>
      </c>
      <c r="C220" s="551">
        <f>[1]!'acct[10-04620].adjbal{1}/VR'</f>
        <v>7329</v>
      </c>
      <c r="D220" s="466">
        <f>[1]!'acct[20-04620].adjbal{1}/VR'</f>
        <v>0</v>
      </c>
      <c r="E220" s="468"/>
      <c r="F220" s="466">
        <f>[1]!'acct[40-04620].adjbal{1}/VR'</f>
        <v>0</v>
      </c>
      <c r="G220" s="466">
        <f>[1]!'acct[50-04620].adjbal{1}/VR'</f>
        <v>0</v>
      </c>
      <c r="H220" s="468"/>
      <c r="I220" s="468"/>
      <c r="J220" s="468"/>
      <c r="K220" s="468"/>
    </row>
    <row r="221" spans="1:11" ht="12.75" customHeight="1" x14ac:dyDescent="0.2">
      <c r="A221" s="463" t="s">
        <v>1114</v>
      </c>
      <c r="B221" s="470">
        <v>4625</v>
      </c>
      <c r="C221" s="551">
        <f>[1]!'acct[10-04625].adjbal{1}/VR'</f>
        <v>4171</v>
      </c>
      <c r="D221" s="466">
        <f>[1]!'acct[20-04625].adjbal{1}/VR'</f>
        <v>0</v>
      </c>
      <c r="E221" s="468"/>
      <c r="F221" s="466">
        <f>[1]!'acct[40-04625].adjbal{1}/VR'</f>
        <v>0</v>
      </c>
      <c r="G221" s="466">
        <f>[1]!'acct[50-04625].adjbal{1}/VR'</f>
        <v>0</v>
      </c>
      <c r="H221" s="468"/>
      <c r="I221" s="468"/>
      <c r="J221" s="468"/>
      <c r="K221" s="468"/>
    </row>
    <row r="222" spans="1:11" ht="12.75" customHeight="1" x14ac:dyDescent="0.2">
      <c r="A222" s="463" t="s">
        <v>1115</v>
      </c>
      <c r="B222" s="470">
        <v>4630</v>
      </c>
      <c r="C222" s="551">
        <f>[1]!'acct[10-04630].adjbal{1}/VR'</f>
        <v>0</v>
      </c>
      <c r="D222" s="466">
        <f>[1]!'acct[20-04630].adjbal{1}/VR'</f>
        <v>0</v>
      </c>
      <c r="E222" s="468"/>
      <c r="F222" s="466">
        <f>[1]!'acct[40-04630].adjbal{1}/VR'</f>
        <v>0</v>
      </c>
      <c r="G222" s="466">
        <f>[1]!'acct[50-04630].adjbal{1}/VR'</f>
        <v>0</v>
      </c>
      <c r="H222" s="468"/>
      <c r="I222" s="468"/>
      <c r="J222" s="468"/>
      <c r="K222" s="468"/>
    </row>
    <row r="223" spans="1:11" ht="12.75" customHeight="1" x14ac:dyDescent="0.2">
      <c r="A223" s="1517" t="s">
        <v>76</v>
      </c>
      <c r="B223" s="557">
        <v>4699</v>
      </c>
      <c r="C223" s="551">
        <f>[1]!'acct[10-04699].adjbal{1}/VR'</f>
        <v>0</v>
      </c>
      <c r="D223" s="466">
        <f>[1]!'acct[20-04699].adjbal{1}/VR'</f>
        <v>0</v>
      </c>
      <c r="E223" s="468"/>
      <c r="F223" s="466">
        <f>[1]!'acct[40-04699].adjbal{1}/VR'</f>
        <v>0</v>
      </c>
      <c r="G223" s="466">
        <f>[1]!'acct[50-04699].adjbal{1}/VR'</f>
        <v>0</v>
      </c>
      <c r="H223" s="468"/>
      <c r="I223" s="468"/>
      <c r="J223" s="468"/>
      <c r="K223" s="468"/>
    </row>
    <row r="224" spans="1:11" ht="12.75" customHeight="1" thickBot="1" x14ac:dyDescent="0.25">
      <c r="A224" s="1723" t="s">
        <v>467</v>
      </c>
      <c r="B224" s="1724"/>
      <c r="C224" s="1722">
        <f>SUM(C218:C223)</f>
        <v>11500</v>
      </c>
      <c r="D224" s="1722">
        <f>SUM(D218:D223)</f>
        <v>0</v>
      </c>
      <c r="E224" s="468"/>
      <c r="F224" s="1722">
        <f>SUM(F218:F223)</f>
        <v>0</v>
      </c>
      <c r="G224" s="1722">
        <f>SUM(G218:G223)</f>
        <v>0</v>
      </c>
      <c r="H224" s="468"/>
      <c r="I224" s="468"/>
      <c r="J224" s="468"/>
      <c r="K224" s="468"/>
    </row>
    <row r="225" spans="1:11" ht="15.75" customHeight="1" thickTop="1" x14ac:dyDescent="0.2">
      <c r="A225" s="1616" t="s">
        <v>1155</v>
      </c>
      <c r="B225" s="1621"/>
      <c r="C225" s="553"/>
      <c r="D225" s="553"/>
      <c r="E225" s="468"/>
      <c r="F225" s="553"/>
      <c r="G225" s="553"/>
      <c r="H225" s="468"/>
      <c r="I225" s="468"/>
      <c r="J225" s="468"/>
      <c r="K225" s="468"/>
    </row>
    <row r="226" spans="1:11" ht="12.75" customHeight="1" x14ac:dyDescent="0.2">
      <c r="A226" s="463" t="s">
        <v>820</v>
      </c>
      <c r="B226" s="470">
        <v>4770</v>
      </c>
      <c r="C226" s="551">
        <f>[1]!'acct[10-04770].adjbal{1}/VR'</f>
        <v>3139</v>
      </c>
      <c r="D226" s="466">
        <f>[1]!'acct[20-04770].adjbal{1}/VR'</f>
        <v>0</v>
      </c>
      <c r="E226" s="468"/>
      <c r="F226" s="468"/>
      <c r="G226" s="466">
        <f>[1]!'acct[50-04770].adjbal{1}/VR'</f>
        <v>0</v>
      </c>
      <c r="H226" s="468"/>
      <c r="I226" s="468"/>
      <c r="J226" s="468"/>
      <c r="K226" s="468"/>
    </row>
    <row r="227" spans="1:11" ht="12.75" customHeight="1" x14ac:dyDescent="0.2">
      <c r="A227" s="463" t="s">
        <v>69</v>
      </c>
      <c r="B227" s="470">
        <v>4799</v>
      </c>
      <c r="C227" s="551">
        <f>[1]!'acct[10-04799].adjbal{1}/VR'</f>
        <v>0</v>
      </c>
      <c r="D227" s="466">
        <f>[1]!'acct[20-04799].adjbal{1}/VR'</f>
        <v>0</v>
      </c>
      <c r="E227" s="468"/>
      <c r="F227" s="468"/>
      <c r="G227" s="466">
        <f>[1]!'acct[50-04799].adjbal{1}/VR'</f>
        <v>0</v>
      </c>
      <c r="H227" s="468"/>
      <c r="I227" s="468"/>
      <c r="J227" s="468"/>
      <c r="K227" s="468"/>
    </row>
    <row r="228" spans="1:11" ht="12.75" customHeight="1" thickBot="1" x14ac:dyDescent="0.25">
      <c r="A228" s="1738" t="s">
        <v>1145</v>
      </c>
      <c r="B228" s="1739"/>
      <c r="C228" s="1722">
        <f>SUM(C226:C227)</f>
        <v>3139</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f>[1]!'acct[10-04810].adjbal{1}/VR'</f>
        <v>0</v>
      </c>
      <c r="D229" s="576">
        <f>[1]!'acct[20-04810].adjbal{1}/VR'</f>
        <v>0</v>
      </c>
      <c r="E229" s="468"/>
      <c r="F229" s="468"/>
      <c r="G229" s="576">
        <f>[1]!'acct[50-04810].adjbal{1}/VR'</f>
        <v>0</v>
      </c>
      <c r="H229" s="468"/>
      <c r="I229" s="468"/>
      <c r="J229" s="468"/>
      <c r="K229" s="468"/>
    </row>
    <row r="230" spans="1:11" ht="12.75" customHeight="1" thickTop="1" x14ac:dyDescent="0.2">
      <c r="A230" s="493" t="s">
        <v>368</v>
      </c>
      <c r="B230" s="491">
        <v>4850</v>
      </c>
      <c r="C230" s="489">
        <f>[1]!'acct[10-04850].adjbal{1}/VR'</f>
        <v>0</v>
      </c>
      <c r="D230" s="467">
        <f>[1]!'acct[20-04850].adjbal{1}/VR'</f>
        <v>0</v>
      </c>
      <c r="E230" s="467">
        <f>[1]!'acct[30-04850].adjbal{1}/VR'</f>
        <v>0</v>
      </c>
      <c r="F230" s="467">
        <f>[1]!'acct[40-04850].adjbal{1}/VR'</f>
        <v>0</v>
      </c>
      <c r="G230" s="467">
        <f>[1]!'acct[50-04850].adjbal{1}/VR'</f>
        <v>0</v>
      </c>
      <c r="H230" s="467">
        <f>[1]!'acct[60-04850].adjbal{1}/VR'</f>
        <v>0</v>
      </c>
      <c r="I230" s="468"/>
      <c r="J230" s="467">
        <f>[1]!'acct[80-04850].adjbal{1}/VR'</f>
        <v>0</v>
      </c>
      <c r="K230" s="467">
        <f>[1]!'acct[90-04850].adjbal{1}/VR'</f>
        <v>0</v>
      </c>
    </row>
    <row r="231" spans="1:11" ht="12.75" customHeight="1" x14ac:dyDescent="0.2">
      <c r="A231" s="493" t="s">
        <v>369</v>
      </c>
      <c r="B231" s="491">
        <v>4851</v>
      </c>
      <c r="C231" s="489">
        <f>[1]!'acct[10-04851].adjbal{1}/VR'</f>
        <v>0</v>
      </c>
      <c r="D231" s="467">
        <f>[1]!'acct[20-04851].adjbal{1}/VR'</f>
        <v>0</v>
      </c>
      <c r="E231" s="468"/>
      <c r="F231" s="474">
        <f>[1]!'acct[40-04851].adjbal{1}/VR'</f>
        <v>0</v>
      </c>
      <c r="G231" s="467">
        <f>[1]!'acct[50-04851].adjbal{1}/VR'</f>
        <v>0</v>
      </c>
      <c r="H231" s="468"/>
      <c r="I231" s="468"/>
      <c r="J231" s="468"/>
      <c r="K231" s="468"/>
    </row>
    <row r="232" spans="1:11" ht="12.75" customHeight="1" x14ac:dyDescent="0.2">
      <c r="A232" s="493" t="s">
        <v>370</v>
      </c>
      <c r="B232" s="491">
        <v>4852</v>
      </c>
      <c r="C232" s="489">
        <f>[1]!'acct[10-04852].adjbal{1}/VR'</f>
        <v>0</v>
      </c>
      <c r="D232" s="467">
        <f>[1]!'acct[20-04852].adjbal{1}/VR'</f>
        <v>0</v>
      </c>
      <c r="E232" s="467">
        <f>[1]!'acct[30-04852].adjbal{1}/VR'</f>
        <v>0</v>
      </c>
      <c r="F232" s="467">
        <f>[1]!'acct[40-04852].adjbal{1}/VR'</f>
        <v>0</v>
      </c>
      <c r="G232" s="467">
        <f>[1]!'acct[50-04852].adjbal{1}/VR'</f>
        <v>0</v>
      </c>
      <c r="H232" s="467">
        <f>[1]!'acct[60-04852].adjbal{1}/VR'</f>
        <v>0</v>
      </c>
      <c r="I232" s="468"/>
      <c r="J232" s="467">
        <f>[1]!'acct[80-04852].adjbal{1}/VR'</f>
        <v>0</v>
      </c>
      <c r="K232" s="467">
        <f>[1]!'acct[90-04852].adjbal{1}/VR'</f>
        <v>0</v>
      </c>
    </row>
    <row r="233" spans="1:11" ht="12.75" customHeight="1" x14ac:dyDescent="0.2">
      <c r="A233" s="493" t="s">
        <v>371</v>
      </c>
      <c r="B233" s="491">
        <v>4853</v>
      </c>
      <c r="C233" s="489">
        <f>[1]!'acct[10-04853].adjbal{1}/VR'</f>
        <v>0</v>
      </c>
      <c r="D233" s="467">
        <f>[1]!'acct[20-04853].adjbal{1}/VR'</f>
        <v>0</v>
      </c>
      <c r="E233" s="467">
        <f>[1]!'acct[30-04853].adjbal{1}/VR'</f>
        <v>0</v>
      </c>
      <c r="F233" s="467">
        <f>[1]!'acct[40-04853].adjbal{1}/VR'</f>
        <v>0</v>
      </c>
      <c r="G233" s="467">
        <f>[1]!'acct[50-04853].adjbal{1}/VR'</f>
        <v>0</v>
      </c>
      <c r="H233" s="467">
        <f>[1]!'acct[60-04853].adjbal{1}/VR'</f>
        <v>0</v>
      </c>
      <c r="I233" s="468"/>
      <c r="J233" s="467">
        <f>[1]!'acct[80-04853].adjbal{1}/VR'</f>
        <v>0</v>
      </c>
      <c r="K233" s="467">
        <f>[1]!'acct[90-04853].adjbal{1}/VR'</f>
        <v>0</v>
      </c>
    </row>
    <row r="234" spans="1:11" ht="12.75" customHeight="1" x14ac:dyDescent="0.2">
      <c r="A234" s="493" t="s">
        <v>372</v>
      </c>
      <c r="B234" s="491">
        <v>4854</v>
      </c>
      <c r="C234" s="489">
        <f>[1]!'acct[10-04854].adjbal{1}/VR'</f>
        <v>0</v>
      </c>
      <c r="D234" s="467">
        <f>[1]!'acct[20-04854].adjbal{1}/VR'</f>
        <v>0</v>
      </c>
      <c r="E234" s="467">
        <f>[1]!'acct[30-04854].adjbal{1}/VR'</f>
        <v>0</v>
      </c>
      <c r="F234" s="467">
        <f>[1]!'acct[40-04854].adjbal{1}/VR'</f>
        <v>0</v>
      </c>
      <c r="G234" s="467">
        <f>[1]!'acct[50-04854].adjbal{1}/VR'</f>
        <v>0</v>
      </c>
      <c r="H234" s="467">
        <f>[1]!'acct[60-04854].adjbal{1}/VR'</f>
        <v>0</v>
      </c>
      <c r="I234" s="468"/>
      <c r="J234" s="467">
        <f>[1]!'acct[80-04854].adjbal{1}/VR'</f>
        <v>0</v>
      </c>
      <c r="K234" s="467">
        <f>[1]!'acct[90-04854].adjbal{1}/VR'</f>
        <v>0</v>
      </c>
    </row>
    <row r="235" spans="1:11" ht="12.75" customHeight="1" x14ac:dyDescent="0.2">
      <c r="A235" s="493" t="s">
        <v>484</v>
      </c>
      <c r="B235" s="491">
        <v>4855</v>
      </c>
      <c r="C235" s="489">
        <f>[1]!'acct[10-04855].adjbal{1}/VR'</f>
        <v>0</v>
      </c>
      <c r="D235" s="467">
        <f>[1]!'acct[20-04855].adjbal{1}/VR'</f>
        <v>0</v>
      </c>
      <c r="E235" s="467">
        <f>[1]!'acct[30-04855].adjbal{1}/VR'</f>
        <v>0</v>
      </c>
      <c r="F235" s="467">
        <f>[1]!'acct[40-04855].adjbal{1}/VR'</f>
        <v>0</v>
      </c>
      <c r="G235" s="467">
        <f>[1]!'acct[50-04855].adjbal{1}/VR'</f>
        <v>0</v>
      </c>
      <c r="H235" s="467">
        <f>[1]!'acct[60-04855].adjbal{1}/VR'</f>
        <v>0</v>
      </c>
      <c r="I235" s="468"/>
      <c r="J235" s="467">
        <f>[1]!'acct[80-04855].adjbal{1}/VR'</f>
        <v>0</v>
      </c>
      <c r="K235" s="467">
        <f>[1]!'acct[90-04855].adjbal{1}/VR'</f>
        <v>0</v>
      </c>
    </row>
    <row r="236" spans="1:11" ht="12.75" customHeight="1" x14ac:dyDescent="0.2">
      <c r="A236" s="493" t="s">
        <v>373</v>
      </c>
      <c r="B236" s="491">
        <v>4856</v>
      </c>
      <c r="C236" s="489">
        <f>[1]!'acct[10-04856].adjbal{1}/VR'</f>
        <v>0</v>
      </c>
      <c r="D236" s="467">
        <f>[1]!'acct[20-04856].adjbal{1}/VR'</f>
        <v>0</v>
      </c>
      <c r="E236" s="467">
        <f>[1]!'acct[30-04856].adjbal{1}/VR'</f>
        <v>0</v>
      </c>
      <c r="F236" s="467">
        <f>[1]!'acct[40-04856].adjbal{1}/VR'</f>
        <v>0</v>
      </c>
      <c r="G236" s="467">
        <f>[1]!'acct[50-04856].adjbal{1}/VR'</f>
        <v>0</v>
      </c>
      <c r="H236" s="467">
        <f>[1]!'acct[60-04856].adjbal{1}/VR'</f>
        <v>0</v>
      </c>
      <c r="I236" s="468"/>
      <c r="J236" s="467">
        <f>[1]!'acct[80-04856].adjbal{1}/VR'</f>
        <v>0</v>
      </c>
      <c r="K236" s="467">
        <f>[1]!'acct[90-04856].adjbal{1}/VR'</f>
        <v>0</v>
      </c>
    </row>
    <row r="237" spans="1:11" ht="12.75" customHeight="1" x14ac:dyDescent="0.2">
      <c r="A237" s="493" t="s">
        <v>374</v>
      </c>
      <c r="B237" s="491">
        <v>4857</v>
      </c>
      <c r="C237" s="489">
        <f>[1]!'acct[10-04857].adjbal{1}/VR'</f>
        <v>0</v>
      </c>
      <c r="D237" s="467">
        <f>[1]!'acct[20-04857].adjbal{1}/VR'</f>
        <v>0</v>
      </c>
      <c r="E237" s="467">
        <f>[1]!'acct[30-04857].adjbal{1}/VR'</f>
        <v>0</v>
      </c>
      <c r="F237" s="467">
        <f>[1]!'acct[40-04857].adjbal{1}/VR'</f>
        <v>0</v>
      </c>
      <c r="G237" s="467">
        <f>[1]!'acct[50-04857].adjbal{1}/VR'</f>
        <v>0</v>
      </c>
      <c r="H237" s="467">
        <f>[1]!'acct[60-04857].adjbal{1}/VR'</f>
        <v>0</v>
      </c>
      <c r="I237" s="468"/>
      <c r="J237" s="467">
        <f>[1]!'acct[80-04857].adjbal{1}/VR'</f>
        <v>0</v>
      </c>
      <c r="K237" s="467">
        <f>[1]!'acct[90-04857].adjbal{1}/VR'</f>
        <v>0</v>
      </c>
    </row>
    <row r="238" spans="1:11" ht="12.75" customHeight="1" x14ac:dyDescent="0.2">
      <c r="A238" s="493" t="s">
        <v>375</v>
      </c>
      <c r="B238" s="491">
        <v>4860</v>
      </c>
      <c r="C238" s="489">
        <f>[1]!'acct[10-04860].adjbal{1}/VR'</f>
        <v>0</v>
      </c>
      <c r="D238" s="467">
        <f>[1]!'acct[20-04860].adjbal{1}/VR'</f>
        <v>0</v>
      </c>
      <c r="E238" s="467">
        <f>[1]!'acct[30-04860].adjbal{1}/VR'</f>
        <v>0</v>
      </c>
      <c r="F238" s="467">
        <f>[1]!'acct[40-04860].adjbal{1}/VR'</f>
        <v>0</v>
      </c>
      <c r="G238" s="467">
        <f>[1]!'acct[50-04860].adjbal{1}/VR'</f>
        <v>0</v>
      </c>
      <c r="H238" s="467">
        <f>[1]!'acct[60-04860].adjbal{1}/VR'</f>
        <v>0</v>
      </c>
      <c r="I238" s="468"/>
      <c r="J238" s="467">
        <f>[1]!'acct[80-04860].adjbal{1}/VR'</f>
        <v>0</v>
      </c>
      <c r="K238" s="467">
        <f>[1]!'acct[90-04860].adjbal{1}/VR'</f>
        <v>0</v>
      </c>
    </row>
    <row r="239" spans="1:11" ht="12.75" customHeight="1" x14ac:dyDescent="0.2">
      <c r="A239" s="493" t="s">
        <v>376</v>
      </c>
      <c r="B239" s="491">
        <v>4861</v>
      </c>
      <c r="C239" s="489">
        <f>[1]!'acct[10-04861].adjbal{1}/VR'</f>
        <v>0</v>
      </c>
      <c r="D239" s="467">
        <f>[1]!'acct[20-04861].adjbal{1}/VR'</f>
        <v>0</v>
      </c>
      <c r="E239" s="467">
        <f>[1]!'acct[30-04861].adjbal{1}/VR'</f>
        <v>0</v>
      </c>
      <c r="F239" s="467">
        <f>[1]!'acct[40-04861].adjbal{1}/VR'</f>
        <v>0</v>
      </c>
      <c r="G239" s="467">
        <f>[1]!'acct[50-04861].adjbal{1}/VR'</f>
        <v>0</v>
      </c>
      <c r="H239" s="467">
        <f>[1]!'acct[60-04861].adjbal{1}/VR'</f>
        <v>0</v>
      </c>
      <c r="I239" s="468"/>
      <c r="J239" s="467">
        <f>[1]!'acct[80-04861].adjbal{1}/VR'</f>
        <v>0</v>
      </c>
      <c r="K239" s="467">
        <f>[1]!'acct[90-04861].adjbal{1}/VR'</f>
        <v>0</v>
      </c>
    </row>
    <row r="240" spans="1:11" ht="12.75" customHeight="1" x14ac:dyDescent="0.2">
      <c r="A240" s="493" t="s">
        <v>377</v>
      </c>
      <c r="B240" s="491">
        <v>4862</v>
      </c>
      <c r="C240" s="489">
        <f>[1]!'acct[10-04862].adjbal{1}/VR'</f>
        <v>0</v>
      </c>
      <c r="D240" s="467">
        <f>[1]!'acct[20-04862].adjbal{1}/VR'</f>
        <v>0</v>
      </c>
      <c r="E240" s="475"/>
      <c r="F240" s="467">
        <f>[1]!'acct[40-04862].adjbal{1}/VR'</f>
        <v>0</v>
      </c>
      <c r="G240" s="467">
        <f>[1]!'acct[50-04862].adjbal{1}/VR'</f>
        <v>0</v>
      </c>
      <c r="H240" s="475"/>
      <c r="I240" s="468"/>
      <c r="J240" s="475"/>
      <c r="K240" s="475"/>
    </row>
    <row r="241" spans="1:11" ht="12.75" customHeight="1" x14ac:dyDescent="0.2">
      <c r="A241" s="493" t="s">
        <v>378</v>
      </c>
      <c r="B241" s="491">
        <v>4863</v>
      </c>
      <c r="C241" s="489">
        <f>[1]!'acct[10-04863].adjbal{1}/VR'</f>
        <v>0</v>
      </c>
      <c r="D241" s="467">
        <f>[1]!'acct[20-04863].adjbal{1}/VR'</f>
        <v>0</v>
      </c>
      <c r="E241" s="468"/>
      <c r="F241" s="475"/>
      <c r="G241" s="526"/>
      <c r="H241" s="468"/>
      <c r="I241" s="468"/>
      <c r="J241" s="468"/>
      <c r="K241" s="468"/>
    </row>
    <row r="242" spans="1:11" ht="12.75" customHeight="1" x14ac:dyDescent="0.2">
      <c r="A242" s="493" t="s">
        <v>489</v>
      </c>
      <c r="B242" s="491">
        <v>4864</v>
      </c>
      <c r="C242" s="489">
        <f>[1]!'acct[10-04864].adjbal{1}/VR'</f>
        <v>0</v>
      </c>
      <c r="D242" s="467">
        <f>[1]!'acct[20-04864].adjbal{1}/VR'</f>
        <v>0</v>
      </c>
      <c r="E242" s="467">
        <f>[1]!'acct[30-04864].adjbal{1}/VR'</f>
        <v>0</v>
      </c>
      <c r="F242" s="467">
        <f>[1]!'acct[40-04864].adjbal{1}/VR'</f>
        <v>0</v>
      </c>
      <c r="G242" s="467">
        <f>[1]!'acct[50-04864].adjbal{1}/VR'</f>
        <v>0</v>
      </c>
      <c r="H242" s="467">
        <f>[1]!'acct[60-04864].adjbal{1}/VR'</f>
        <v>0</v>
      </c>
      <c r="I242" s="468"/>
      <c r="J242" s="467">
        <f>[1]!'acct[80-04864].adjbal{1}/VR'</f>
        <v>0</v>
      </c>
      <c r="K242" s="467">
        <f>[1]!'acct[90-04864].adjbal{1}/VR'</f>
        <v>0</v>
      </c>
    </row>
    <row r="243" spans="1:11" ht="12.75" customHeight="1" x14ac:dyDescent="0.2">
      <c r="A243" s="493" t="s">
        <v>490</v>
      </c>
      <c r="B243" s="491">
        <v>4865</v>
      </c>
      <c r="C243" s="489">
        <f>[1]!'acct[10-04865].adjbal{1}/VR'</f>
        <v>0</v>
      </c>
      <c r="D243" s="467">
        <f>[1]!'acct[20-04865].adjbal{1}/VR'</f>
        <v>0</v>
      </c>
      <c r="E243" s="467">
        <f>[1]!'acct[30-04865].adjbal{1}/VR'</f>
        <v>0</v>
      </c>
      <c r="F243" s="467">
        <f>[1]!'acct[40-04865].adjbal{1}/VR'</f>
        <v>0</v>
      </c>
      <c r="G243" s="467">
        <f>[1]!'acct[50-04865].adjbal{1}/VR'</f>
        <v>0</v>
      </c>
      <c r="H243" s="467">
        <f>[1]!'acct[60-04865].adjbal{1}/VR'</f>
        <v>0</v>
      </c>
      <c r="I243" s="468"/>
      <c r="J243" s="467">
        <f>[1]!'acct[80-04865].adjbal{1}/VR'</f>
        <v>0</v>
      </c>
      <c r="K243" s="467">
        <f>[1]!'acct[90-04865].adjbal{1}/VR'</f>
        <v>0</v>
      </c>
    </row>
    <row r="244" spans="1:11" ht="12.75" customHeight="1" x14ac:dyDescent="0.2">
      <c r="A244" s="493" t="s">
        <v>488</v>
      </c>
      <c r="B244" s="491">
        <v>4866</v>
      </c>
      <c r="C244" s="489">
        <f>[1]!'acct[10-04866].adjbal{1}/VR'</f>
        <v>0</v>
      </c>
      <c r="D244" s="467">
        <f>[1]!'acct[20-04866].adjbal{1}/VR'</f>
        <v>0</v>
      </c>
      <c r="E244" s="467">
        <f>[1]!'acct[30-04866].adjbal{1}/VR'</f>
        <v>0</v>
      </c>
      <c r="F244" s="467">
        <f>[1]!'acct[40-04866].adjbal{1}/VR'</f>
        <v>0</v>
      </c>
      <c r="G244" s="467">
        <f>[1]!'acct[50-04866].adjbal{1}/VR'</f>
        <v>0</v>
      </c>
      <c r="H244" s="467">
        <f>[1]!'acct[60-04866].adjbal{1}/VR'</f>
        <v>0</v>
      </c>
      <c r="I244" s="468"/>
      <c r="J244" s="467">
        <f>[1]!'acct[80-04866].adjbal{1}/VR'</f>
        <v>0</v>
      </c>
      <c r="K244" s="467">
        <f>[1]!'acct[90-04866].adjbal{1}/VR'</f>
        <v>0</v>
      </c>
    </row>
    <row r="245" spans="1:11" ht="12.75" customHeight="1" x14ac:dyDescent="0.2">
      <c r="A245" s="493" t="s">
        <v>487</v>
      </c>
      <c r="B245" s="491">
        <v>4867</v>
      </c>
      <c r="C245" s="489">
        <f>[1]!'acct[10-04867].adjbal{1}/VR'</f>
        <v>0</v>
      </c>
      <c r="D245" s="467">
        <f>[1]!'acct[20-04867].adjbal{1}/VR'</f>
        <v>0</v>
      </c>
      <c r="E245" s="467">
        <f>[1]!'acct[30-04867].adjbal{1}/VR'</f>
        <v>0</v>
      </c>
      <c r="F245" s="467">
        <f>[1]!'acct[40-04867].adjbal{1}/VR'</f>
        <v>0</v>
      </c>
      <c r="G245" s="467">
        <f>[1]!'acct[50-04867].adjbal{1}/VR'</f>
        <v>0</v>
      </c>
      <c r="H245" s="467">
        <f>[1]!'acct[60-04867].adjbal{1}/VR'</f>
        <v>0</v>
      </c>
      <c r="I245" s="468"/>
      <c r="J245" s="467">
        <f>[1]!'acct[80-04867].adjbal{1}/VR'</f>
        <v>0</v>
      </c>
      <c r="K245" s="467">
        <f>[1]!'acct[90-04867].adjbal{1}/VR'</f>
        <v>0</v>
      </c>
    </row>
    <row r="246" spans="1:11" ht="12.75" customHeight="1" x14ac:dyDescent="0.2">
      <c r="A246" s="493" t="s">
        <v>486</v>
      </c>
      <c r="B246" s="491">
        <v>4868</v>
      </c>
      <c r="C246" s="489">
        <f>[1]!'acct[10-04868].adjbal{1}/VR'</f>
        <v>0</v>
      </c>
      <c r="D246" s="467">
        <f>[1]!'acct[20-04868].adjbal{1}/VR'</f>
        <v>0</v>
      </c>
      <c r="E246" s="467">
        <f>[1]!'acct[30-04868].adjbal{1}/VR'</f>
        <v>0</v>
      </c>
      <c r="F246" s="467">
        <f>[1]!'acct[40-04868].adjbal{1}/VR'</f>
        <v>0</v>
      </c>
      <c r="G246" s="467">
        <f>[1]!'acct[50-04868].adjbal{1}/VR'</f>
        <v>0</v>
      </c>
      <c r="H246" s="467">
        <f>[1]!'acct[60-04868].adjbal{1}/VR'</f>
        <v>0</v>
      </c>
      <c r="I246" s="468"/>
      <c r="J246" s="467">
        <f>[1]!'acct[80-04868].adjbal{1}/VR'</f>
        <v>0</v>
      </c>
      <c r="K246" s="467">
        <f>[1]!'acct[90-04868].adjbal{1}/VR'</f>
        <v>0</v>
      </c>
    </row>
    <row r="247" spans="1:11" ht="12.75" customHeight="1" x14ac:dyDescent="0.2">
      <c r="A247" s="493" t="s">
        <v>485</v>
      </c>
      <c r="B247" s="491">
        <v>4869</v>
      </c>
      <c r="C247" s="489">
        <f>[1]!'acct[10-04869].adjbal{1}/VR'</f>
        <v>0</v>
      </c>
      <c r="D247" s="467">
        <f>[1]!'acct[20-04869].adjbal{1}/VR'</f>
        <v>0</v>
      </c>
      <c r="E247" s="467">
        <f>[1]!'acct[30-04869].adjbal{1}/VR'</f>
        <v>0</v>
      </c>
      <c r="F247" s="467">
        <f>[1]!'acct[40-04869].adjbal{1}/VR'</f>
        <v>0</v>
      </c>
      <c r="G247" s="467">
        <f>[1]!'acct[50-04869].adjbal{1}/VR'</f>
        <v>0</v>
      </c>
      <c r="H247" s="467">
        <f>[1]!'acct[60-04869].adjbal{1}/VR'</f>
        <v>0</v>
      </c>
      <c r="I247" s="468"/>
      <c r="J247" s="467">
        <f>[1]!'acct[80-04869].adjbal{1}/VR'</f>
        <v>0</v>
      </c>
      <c r="K247" s="467">
        <f>[1]!'acct[90-04869].adjbal{1}/VR'</f>
        <v>0</v>
      </c>
    </row>
    <row r="248" spans="1:11" ht="12.75" customHeight="1" x14ac:dyDescent="0.2">
      <c r="A248" s="493" t="s">
        <v>1190</v>
      </c>
      <c r="B248" s="491">
        <v>4870</v>
      </c>
      <c r="C248" s="489">
        <f>[1]!'acct[10-04870].adjbal{1}/VR'</f>
        <v>0</v>
      </c>
      <c r="D248" s="467">
        <f>[1]!'acct[20-04870].adjbal{1}/VR'</f>
        <v>0</v>
      </c>
      <c r="E248" s="467">
        <f>[1]!'acct[30-04870].adjbal{1}/VR'</f>
        <v>0</v>
      </c>
      <c r="F248" s="467">
        <f>[1]!'acct[40-04870].adjbal{1}/VR'</f>
        <v>0</v>
      </c>
      <c r="G248" s="467">
        <f>[1]!'acct[50-04870].adjbal{1}/VR'</f>
        <v>0</v>
      </c>
      <c r="H248" s="467">
        <f>[1]!'acct[60-04870].adjbal{1}/VR'</f>
        <v>0</v>
      </c>
      <c r="I248" s="468"/>
      <c r="J248" s="467">
        <f>[1]!'acct[80-04870].adjbal{1}/VR'</f>
        <v>0</v>
      </c>
      <c r="K248" s="467">
        <f>[1]!'acct[90-04870].adjbal{1}/VR'</f>
        <v>0</v>
      </c>
    </row>
    <row r="249" spans="1:11" ht="12.75" customHeight="1" x14ac:dyDescent="0.2">
      <c r="A249" s="493" t="s">
        <v>821</v>
      </c>
      <c r="B249" s="491">
        <v>4871</v>
      </c>
      <c r="C249" s="489">
        <f>[1]!'acct[10-04871].adjbal{1}/VR'</f>
        <v>0</v>
      </c>
      <c r="D249" s="467">
        <f>[1]!'acct[20-04871].adjbal{1}/VR'</f>
        <v>0</v>
      </c>
      <c r="E249" s="467">
        <f>[1]!'acct[30-04871].adjbal{1}/VR'</f>
        <v>0</v>
      </c>
      <c r="F249" s="467">
        <f>[1]!'acct[40-04871].adjbal{1}/VR'</f>
        <v>0</v>
      </c>
      <c r="G249" s="467">
        <f>[1]!'acct[50-04871].adjbal{1}/VR'</f>
        <v>0</v>
      </c>
      <c r="H249" s="467">
        <f>[1]!'acct[60-04871].adjbal{1}/VR'</f>
        <v>0</v>
      </c>
      <c r="I249" s="468"/>
      <c r="J249" s="467">
        <f>[1]!'acct[80-04871].adjbal{1}/VR'</f>
        <v>0</v>
      </c>
      <c r="K249" s="467">
        <f>[1]!'acct[90-04871].adjbal{1}/VR'</f>
        <v>0</v>
      </c>
    </row>
    <row r="250" spans="1:11" ht="12.75" customHeight="1" x14ac:dyDescent="0.2">
      <c r="A250" s="493" t="s">
        <v>822</v>
      </c>
      <c r="B250" s="491">
        <v>4872</v>
      </c>
      <c r="C250" s="489">
        <f>[1]!'acct[10-04872].adjbal{1}/VR'</f>
        <v>0</v>
      </c>
      <c r="D250" s="467">
        <f>[1]!'acct[20-04872].adjbal{1}/VR'</f>
        <v>0</v>
      </c>
      <c r="E250" s="467">
        <f>[1]!'acct[30-04872].adjbal{1}/VR'</f>
        <v>0</v>
      </c>
      <c r="F250" s="467">
        <f>[1]!'acct[40-04872].adjbal{1}/VR'</f>
        <v>0</v>
      </c>
      <c r="G250" s="467">
        <f>[1]!'acct[50-04872].adjbal{1}/VR'</f>
        <v>0</v>
      </c>
      <c r="H250" s="467">
        <f>[1]!'acct[60-04872].adjbal{1}/VR'</f>
        <v>0</v>
      </c>
      <c r="I250" s="468"/>
      <c r="J250" s="467">
        <f>[1]!'acct[80-04872].adjbal{1}/VR'</f>
        <v>0</v>
      </c>
      <c r="K250" s="467">
        <f>[1]!'acct[90-04872].adjbal{1}/VR'</f>
        <v>0</v>
      </c>
    </row>
    <row r="251" spans="1:11" ht="12.75" customHeight="1" x14ac:dyDescent="0.2">
      <c r="A251" s="493" t="s">
        <v>823</v>
      </c>
      <c r="B251" s="491">
        <v>4873</v>
      </c>
      <c r="C251" s="489">
        <f>[1]!'acct[10-04873].adjbal{1}/VR'</f>
        <v>0</v>
      </c>
      <c r="D251" s="467">
        <f>[1]!'acct[20-04873].adjbal{1}/VR'</f>
        <v>0</v>
      </c>
      <c r="E251" s="467">
        <f>[1]!'acct[30-04873].adjbal{1}/VR'</f>
        <v>0</v>
      </c>
      <c r="F251" s="467">
        <f>[1]!'acct[40-04873].adjbal{1}/VR'</f>
        <v>0</v>
      </c>
      <c r="G251" s="467">
        <f>[1]!'acct[50-04873].adjbal{1}/VR'</f>
        <v>0</v>
      </c>
      <c r="H251" s="467">
        <f>[1]!'acct[60-04873].adjbal{1}/VR'</f>
        <v>0</v>
      </c>
      <c r="I251" s="468"/>
      <c r="J251" s="467">
        <f>[1]!'acct[80-04873].adjbal{1}/VR'</f>
        <v>0</v>
      </c>
      <c r="K251" s="467">
        <f>[1]!'acct[90-04873].adjbal{1}/VR'</f>
        <v>0</v>
      </c>
    </row>
    <row r="252" spans="1:11" ht="12.75" customHeight="1" x14ac:dyDescent="0.2">
      <c r="A252" s="493" t="s">
        <v>824</v>
      </c>
      <c r="B252" s="491">
        <v>4874</v>
      </c>
      <c r="C252" s="489">
        <f>[1]!'acct[10-04874].adjbal{1}/VR'</f>
        <v>0</v>
      </c>
      <c r="D252" s="467">
        <f>[1]!'acct[20-04874].adjbal{1}/VR'</f>
        <v>0</v>
      </c>
      <c r="E252" s="467">
        <f>[1]!'acct[30-04874].adjbal{1}/VR'</f>
        <v>0</v>
      </c>
      <c r="F252" s="467">
        <f>[1]!'acct[40-04874].adjbal{1}/VR'</f>
        <v>0</v>
      </c>
      <c r="G252" s="467">
        <f>[1]!'acct[50-04874].adjbal{1}/VR'</f>
        <v>0</v>
      </c>
      <c r="H252" s="467">
        <f>[1]!'acct[60-04874].adjbal{1}/VR'</f>
        <v>0</v>
      </c>
      <c r="I252" s="468"/>
      <c r="J252" s="467">
        <f>[1]!'acct[80-04874].adjbal{1}/VR'</f>
        <v>0</v>
      </c>
      <c r="K252" s="467">
        <f>[1]!'acct[90-04874].adjbal{1}/VR'</f>
        <v>0</v>
      </c>
    </row>
    <row r="253" spans="1:11" ht="12.75" customHeight="1" x14ac:dyDescent="0.2">
      <c r="A253" s="493" t="s">
        <v>491</v>
      </c>
      <c r="B253" s="491">
        <v>4875</v>
      </c>
      <c r="C253" s="489">
        <f>[1]!'acct[10-04875].adjbal{1}/VR'</f>
        <v>0</v>
      </c>
      <c r="D253" s="467">
        <f>[1]!'acct[20-04875].adjbal{1}/VR'</f>
        <v>0</v>
      </c>
      <c r="E253" s="467">
        <f>[1]!'acct[30-04875].adjbal{1}/VR'</f>
        <v>0</v>
      </c>
      <c r="F253" s="467">
        <f>[1]!'acct[40-04875].adjbal{1}/VR'</f>
        <v>0</v>
      </c>
      <c r="G253" s="467">
        <f>[1]!'acct[50-04875].adjbal{1}/VR'</f>
        <v>0</v>
      </c>
      <c r="H253" s="467">
        <f>[1]!'acct[60-04875].adjbal{1}/VR'</f>
        <v>0</v>
      </c>
      <c r="I253" s="468"/>
      <c r="J253" s="467">
        <f>[1]!'acct[80-04875].adjbal{1}/VR'</f>
        <v>0</v>
      </c>
      <c r="K253" s="467">
        <f>[1]!'acct[90-04875].adjbal{1}/VR'</f>
        <v>0</v>
      </c>
    </row>
    <row r="254" spans="1:11" ht="12.75" customHeight="1" x14ac:dyDescent="0.2">
      <c r="A254" s="493" t="s">
        <v>794</v>
      </c>
      <c r="B254" s="491">
        <v>4876</v>
      </c>
      <c r="C254" s="489">
        <f>[1]!'acct[10-04876].adjbal{1}/VR'</f>
        <v>0</v>
      </c>
      <c r="D254" s="467">
        <f>[1]!'acct[20-04876].adjbal{1}/VR'</f>
        <v>0</v>
      </c>
      <c r="E254" s="467">
        <f>[1]!'acct[30-04876].adjbal{1}/VR'</f>
        <v>0</v>
      </c>
      <c r="F254" s="467">
        <f>[1]!'acct[40-04876].adjbal{1}/VR'</f>
        <v>0</v>
      </c>
      <c r="G254" s="467">
        <f>[1]!'acct[50-04876].adjbal{1}/VR'</f>
        <v>0</v>
      </c>
      <c r="H254" s="467">
        <f>[1]!'acct[60-04876].adjbal{1}/VR'</f>
        <v>0</v>
      </c>
      <c r="I254" s="468"/>
      <c r="J254" s="467">
        <f>[1]!'acct[80-04876].adjbal{1}/VR'</f>
        <v>0</v>
      </c>
      <c r="K254" s="467">
        <f>[1]!'acct[90-04876].adjbal{1}/VR'</f>
        <v>0</v>
      </c>
    </row>
    <row r="255" spans="1:11" ht="12.75" customHeight="1" x14ac:dyDescent="0.2">
      <c r="A255" s="493" t="s">
        <v>795</v>
      </c>
      <c r="B255" s="491">
        <v>4877</v>
      </c>
      <c r="C255" s="489">
        <f>[1]!'acct[10-04877].adjbal{1}/VR'</f>
        <v>0</v>
      </c>
      <c r="D255" s="467">
        <f>[1]!'acct[20-04877].adjbal{1}/VR'</f>
        <v>0</v>
      </c>
      <c r="E255" s="467">
        <f>[1]!'acct[30-04877].adjbal{1}/VR'</f>
        <v>0</v>
      </c>
      <c r="F255" s="467">
        <f>[1]!'acct[40-04877].adjbal{1}/VR'</f>
        <v>0</v>
      </c>
      <c r="G255" s="467">
        <f>[1]!'acct[50-04877].adjbal{1}/VR'</f>
        <v>0</v>
      </c>
      <c r="H255" s="467">
        <f>[1]!'acct[60-04877].adjbal{1}/VR'</f>
        <v>0</v>
      </c>
      <c r="I255" s="468"/>
      <c r="J255" s="467">
        <f>[1]!'acct[80-04877].adjbal{1}/VR'</f>
        <v>0</v>
      </c>
      <c r="K255" s="467">
        <f>[1]!'acct[90-04877].adjbal{1}/VR'</f>
        <v>0</v>
      </c>
    </row>
    <row r="256" spans="1:11" ht="12.75" customHeight="1" x14ac:dyDescent="0.2">
      <c r="A256" s="493" t="s">
        <v>796</v>
      </c>
      <c r="B256" s="491">
        <v>4878</v>
      </c>
      <c r="C256" s="489">
        <f>[1]!'acct[10-04878].adjbal{1}/VR'</f>
        <v>0</v>
      </c>
      <c r="D256" s="467">
        <f>[1]!'acct[20-04878].adjbal{1}/VR'</f>
        <v>0</v>
      </c>
      <c r="E256" s="467">
        <f>[1]!'acct[30-04878].adjbal{1}/VR'</f>
        <v>0</v>
      </c>
      <c r="F256" s="467">
        <f>[1]!'acct[40-04878].adjbal{1}/VR'</f>
        <v>0</v>
      </c>
      <c r="G256" s="467">
        <f>[1]!'acct[50-04878].adjbal{1}/VR'</f>
        <v>0</v>
      </c>
      <c r="H256" s="467">
        <f>[1]!'acct[60-04878].adjbal{1}/VR'</f>
        <v>0</v>
      </c>
      <c r="I256" s="468"/>
      <c r="J256" s="467">
        <f>[1]!'acct[80-04878].adjbal{1}/VR'</f>
        <v>0</v>
      </c>
      <c r="K256" s="467">
        <f>[1]!'acct[90-04878].adjbal{1}/VR'</f>
        <v>0</v>
      </c>
    </row>
    <row r="257" spans="1:11" ht="12.75" customHeight="1" x14ac:dyDescent="0.2">
      <c r="A257" s="493" t="s">
        <v>797</v>
      </c>
      <c r="B257" s="491">
        <v>4879</v>
      </c>
      <c r="C257" s="489">
        <f>[1]!'acct[10-04879].adjbal{1}/VR'</f>
        <v>0</v>
      </c>
      <c r="D257" s="467">
        <f>[1]!'acct[20-04879].adjbal{1}/VR'</f>
        <v>0</v>
      </c>
      <c r="E257" s="467">
        <f>[1]!'acct[30-04879].adjbal{1}/VR'</f>
        <v>0</v>
      </c>
      <c r="F257" s="467">
        <f>[1]!'acct[40-04879].adjbal{1}/VR'</f>
        <v>0</v>
      </c>
      <c r="G257" s="467">
        <f>[1]!'acct[50-04879].adjbal{1}/VR'</f>
        <v>0</v>
      </c>
      <c r="H257" s="467">
        <f>[1]!'acct[60-04879].adjbal{1}/VR'</f>
        <v>0</v>
      </c>
      <c r="I257" s="468"/>
      <c r="J257" s="467">
        <f>[1]!'acct[80-04879].adjbal{1}/VR'</f>
        <v>0</v>
      </c>
      <c r="K257" s="467">
        <f>[1]!'acct[90-04879].adjbal{1}/VR'</f>
        <v>0</v>
      </c>
    </row>
    <row r="258" spans="1:11" ht="12.75" customHeight="1" x14ac:dyDescent="0.2">
      <c r="A258" s="225" t="s">
        <v>1530</v>
      </c>
      <c r="B258" s="587">
        <v>4880</v>
      </c>
      <c r="C258" s="489">
        <f>[1]!'acct[10-04880].adjbal{1}/VR'</f>
        <v>0</v>
      </c>
      <c r="D258" s="467">
        <f>[1]!'acct[20-04880].adjbal{1}/VR'</f>
        <v>0</v>
      </c>
      <c r="E258" s="467">
        <f>[1]!'acct[30-04880].adjbal{1}/VR'</f>
        <v>0</v>
      </c>
      <c r="F258" s="467">
        <f>[1]!'acct[40-04880].adjbal{1}/VR'</f>
        <v>0</v>
      </c>
      <c r="G258" s="467">
        <f>[1]!'acct[50-04880].adjbal{1}/VR'</f>
        <v>0</v>
      </c>
      <c r="H258" s="467">
        <f>[1]!'acct[60-04880].adjbal{1}/VR'</f>
        <v>0</v>
      </c>
      <c r="I258" s="468"/>
      <c r="J258" s="467">
        <f>[1]!'acct[80-04880].adjbal{1}/VR'</f>
        <v>0</v>
      </c>
      <c r="K258" s="467">
        <f>[1]!'acct[90-04880].adjbal{1}/VR'</f>
        <v>0</v>
      </c>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18" t="s">
        <v>1493</v>
      </c>
      <c r="B260" s="588">
        <v>4901</v>
      </c>
      <c r="C260" s="589" t="str">
        <f>[1]!'acct[10-04901].adjbal{1}/VR'</f>
        <v xml:space="preserve"> </v>
      </c>
      <c r="D260" s="469"/>
      <c r="E260" s="468"/>
      <c r="F260" s="468"/>
      <c r="G260" s="468"/>
      <c r="H260" s="468"/>
      <c r="I260" s="468"/>
      <c r="J260" s="468"/>
      <c r="K260" s="468"/>
    </row>
    <row r="261" spans="1:11" ht="12.75" customHeight="1" thickTop="1" thickBot="1" x14ac:dyDescent="0.25">
      <c r="A261" s="1519" t="s">
        <v>1538</v>
      </c>
      <c r="B261" s="590">
        <v>4902</v>
      </c>
      <c r="C261" s="591" t="str">
        <f>[1]!'acct[10-04902].adjbal{1}/VR'</f>
        <v xml:space="preserve"> </v>
      </c>
      <c r="D261" s="592" t="str">
        <f>[1]!'acct[20-04902].adjbal{1}/VR'</f>
        <v xml:space="preserve"> </v>
      </c>
      <c r="E261" s="469"/>
      <c r="F261" s="592" t="str">
        <f>[1]!'acct[40-04902].adjbal{1}/VR'</f>
        <v xml:space="preserve"> </v>
      </c>
      <c r="G261" s="592" t="str">
        <f>[1]!'acct[50-04902].adjbal{1}/VR'</f>
        <v xml:space="preserve"> </v>
      </c>
      <c r="H261" s="469"/>
      <c r="I261" s="468"/>
      <c r="J261" s="469"/>
      <c r="K261" s="469"/>
    </row>
    <row r="262" spans="1:11" ht="12.75" customHeight="1" thickTop="1" thickBot="1" x14ac:dyDescent="0.25">
      <c r="A262" s="493" t="s">
        <v>1146</v>
      </c>
      <c r="B262" s="491">
        <v>4904</v>
      </c>
      <c r="C262" s="593">
        <f>[1]!'acct[10-04904].adjbal{1}/VR'</f>
        <v>0</v>
      </c>
      <c r="D262" s="591">
        <f>[1]!'acct[20-04904].adjbal{1}/VR'</f>
        <v>0</v>
      </c>
      <c r="E262" s="469"/>
      <c r="F262" s="553"/>
      <c r="G262" s="591">
        <f>[1]!'acct[50-04904].adjbal{1}/VR'</f>
        <v>0</v>
      </c>
      <c r="H262" s="469"/>
      <c r="I262" s="468"/>
      <c r="J262" s="468"/>
      <c r="K262" s="468"/>
    </row>
    <row r="263" spans="1:11" ht="12.75" customHeight="1" thickTop="1" thickBot="1" x14ac:dyDescent="0.25">
      <c r="A263" s="463" t="s">
        <v>1531</v>
      </c>
      <c r="B263" s="470">
        <v>4905</v>
      </c>
      <c r="C263" s="573">
        <f>[1]!'acct[10-04905].adjbal{1}/VR'</f>
        <v>0</v>
      </c>
      <c r="D263" s="468"/>
      <c r="E263" s="468"/>
      <c r="F263" s="578">
        <f>[1]!'acct[40-04905].adjbal{1}/VR'</f>
        <v>0</v>
      </c>
      <c r="G263" s="573">
        <f>[1]!'acct[50-04905].adjbal{1}/VR'</f>
        <v>0</v>
      </c>
      <c r="H263" s="468"/>
      <c r="I263" s="468"/>
      <c r="J263" s="468"/>
      <c r="K263" s="468"/>
    </row>
    <row r="264" spans="1:11" ht="12.75" customHeight="1" thickTop="1" thickBot="1" x14ac:dyDescent="0.25">
      <c r="A264" s="463" t="s">
        <v>1532</v>
      </c>
      <c r="B264" s="470">
        <v>4909</v>
      </c>
      <c r="C264" s="576">
        <f>[1]!'acct[10-04909].adjbal{1}/VR'</f>
        <v>0</v>
      </c>
      <c r="D264" s="468"/>
      <c r="E264" s="468"/>
      <c r="F264" s="576">
        <f>[1]!'acct[40-04909].adjbal{1}/VR'</f>
        <v>0</v>
      </c>
      <c r="G264" s="576">
        <f>[1]!'acct[50-04909].adjbal{1}/VR'</f>
        <v>0</v>
      </c>
      <c r="H264" s="468"/>
      <c r="I264" s="468"/>
      <c r="J264" s="468"/>
      <c r="K264" s="468"/>
    </row>
    <row r="265" spans="1:11" ht="12.75" customHeight="1" thickTop="1" thickBot="1" x14ac:dyDescent="0.25">
      <c r="A265" s="463" t="s">
        <v>945</v>
      </c>
      <c r="B265" s="470">
        <v>4910</v>
      </c>
      <c r="C265" s="576">
        <f>[1]!'acct[10-04910].adjbal{1}/VR'</f>
        <v>0</v>
      </c>
      <c r="D265" s="468"/>
      <c r="E265" s="468"/>
      <c r="F265" s="576">
        <f>[1]!'acct[40-04910].adjbal{1}/VR'</f>
        <v>0</v>
      </c>
      <c r="G265" s="576">
        <f>[1]!'acct[50-04910].adjbal{1}/VR'</f>
        <v>0</v>
      </c>
      <c r="H265" s="468"/>
      <c r="I265" s="468"/>
      <c r="J265" s="468"/>
      <c r="K265" s="468"/>
    </row>
    <row r="266" spans="1:11" ht="12.75" customHeight="1" thickTop="1" thickBot="1" x14ac:dyDescent="0.25">
      <c r="A266" s="463" t="s">
        <v>202</v>
      </c>
      <c r="B266" s="470">
        <v>4920</v>
      </c>
      <c r="C266" s="576">
        <f>[1]!'acct[10-04920].adjbal{1}/VR'</f>
        <v>0</v>
      </c>
      <c r="D266" s="578">
        <f>[1]!'acct[20-04920].adjbal{1}/VR'</f>
        <v>0</v>
      </c>
      <c r="E266" s="468"/>
      <c r="F266" s="573">
        <f>[1]!'acct[40-04920].adjbal{1}/VR'</f>
        <v>0</v>
      </c>
      <c r="G266" s="573">
        <f>[1]!'acct[50-04920].adjbal{1}/VR'</f>
        <v>0</v>
      </c>
      <c r="H266" s="468"/>
      <c r="I266" s="468"/>
      <c r="J266" s="468"/>
      <c r="K266" s="468"/>
    </row>
    <row r="267" spans="1:11" ht="12.75" customHeight="1" thickTop="1" thickBot="1" x14ac:dyDescent="0.25">
      <c r="A267" s="463" t="s">
        <v>441</v>
      </c>
      <c r="B267" s="470">
        <v>4930</v>
      </c>
      <c r="C267" s="576">
        <f>[1]!'acct[10-04930].adjbal{1}/VR'</f>
        <v>0</v>
      </c>
      <c r="D267" s="576">
        <f>[1]!'acct[20-04930].adjbal{1}/VR'</f>
        <v>0</v>
      </c>
      <c r="E267" s="468"/>
      <c r="F267" s="576">
        <f>[1]!'acct[40-04930].adjbal{1}/VR'</f>
        <v>0</v>
      </c>
      <c r="G267" s="576">
        <f>[1]!'acct[50-04930].adjbal{1}/VR'</f>
        <v>0</v>
      </c>
      <c r="H267" s="468"/>
      <c r="I267" s="468"/>
      <c r="J267" s="468"/>
      <c r="K267" s="468"/>
    </row>
    <row r="268" spans="1:11" ht="12.75" customHeight="1" thickTop="1" thickBot="1" x14ac:dyDescent="0.25">
      <c r="A268" s="463" t="s">
        <v>782</v>
      </c>
      <c r="B268" s="470">
        <v>4932</v>
      </c>
      <c r="C268" s="576">
        <f>[1]!'acct[10-04932].adjbal{1}/VR'</f>
        <v>48011</v>
      </c>
      <c r="D268" s="576">
        <f>[1]!'acct[20-04932].adjbal{1}/VR'</f>
        <v>0</v>
      </c>
      <c r="E268" s="468"/>
      <c r="F268" s="576">
        <f>[1]!'acct[40-04932].adjbal{1}/VR'</f>
        <v>0</v>
      </c>
      <c r="G268" s="576">
        <f>[1]!'acct[50-04932].adjbal{1}/VR'</f>
        <v>0</v>
      </c>
      <c r="H268" s="468"/>
      <c r="I268" s="468"/>
      <c r="J268" s="468"/>
      <c r="K268" s="468"/>
    </row>
    <row r="269" spans="1:11" ht="12.75" customHeight="1" thickTop="1" thickBot="1" x14ac:dyDescent="0.25">
      <c r="A269" s="463" t="s">
        <v>946</v>
      </c>
      <c r="B269" s="470">
        <v>4960</v>
      </c>
      <c r="C269" s="575">
        <f>[1]!'acct[10-04960].adjbal{1}/VR'</f>
        <v>0</v>
      </c>
      <c r="D269" s="576">
        <f>[1]!'acct[20-04960].adjbal{1}/VR'</f>
        <v>0</v>
      </c>
      <c r="E269" s="468"/>
      <c r="F269" s="576">
        <f>[1]!'acct[40-04960].adjbal{1}/VR'</f>
        <v>0</v>
      </c>
      <c r="G269" s="576">
        <f>[1]!'acct[50-04960].adjbal{1}/VR'</f>
        <v>0</v>
      </c>
      <c r="H269" s="468"/>
      <c r="I269" s="468"/>
      <c r="J269" s="468"/>
      <c r="K269" s="468"/>
    </row>
    <row r="270" spans="1:11" ht="12.75" customHeight="1" thickTop="1" thickBot="1" x14ac:dyDescent="0.25">
      <c r="A270" s="463" t="s">
        <v>589</v>
      </c>
      <c r="B270" s="470">
        <v>4991</v>
      </c>
      <c r="C270" s="575">
        <f>[1]!'acct[10-04991].adjbal{1}/VR'</f>
        <v>5641</v>
      </c>
      <c r="D270" s="576">
        <f>[1]!'acct[20-04991].adjbal{1}/VR'</f>
        <v>0</v>
      </c>
      <c r="E270" s="468"/>
      <c r="F270" s="576">
        <f>[1]!'acct[40-04991].adjbal{1}/VR'</f>
        <v>0</v>
      </c>
      <c r="G270" s="576">
        <f>[1]!'acct[50-04991].adjbal{1}/VR'</f>
        <v>0</v>
      </c>
      <c r="H270" s="468"/>
      <c r="I270" s="468"/>
      <c r="J270" s="468"/>
      <c r="K270" s="468"/>
    </row>
    <row r="271" spans="1:11" ht="12.75" customHeight="1" thickTop="1" thickBot="1" x14ac:dyDescent="0.25">
      <c r="A271" s="463" t="s">
        <v>395</v>
      </c>
      <c r="B271" s="470">
        <v>4992</v>
      </c>
      <c r="C271" s="575">
        <f>[1]!'acct[10-04992].adjbal{1}/VR'</f>
        <v>47210</v>
      </c>
      <c r="D271" s="576">
        <f>[1]!'acct[20-04992].adjbal{1}/VR'</f>
        <v>0</v>
      </c>
      <c r="E271" s="468"/>
      <c r="F271" s="576">
        <f>[1]!'acct[40-04992].adjbal{1}/VR'</f>
        <v>0</v>
      </c>
      <c r="G271" s="576">
        <f>[1]!'acct[50-04992].adjbal{1}/VR'</f>
        <v>0</v>
      </c>
      <c r="H271" s="468"/>
      <c r="I271" s="468"/>
      <c r="J271" s="468"/>
      <c r="K271" s="468"/>
    </row>
    <row r="272" spans="1:11" s="594" customFormat="1" ht="12.75" customHeight="1" thickTop="1" thickBot="1" x14ac:dyDescent="0.25">
      <c r="A272" s="563" t="s">
        <v>77</v>
      </c>
      <c r="B272" s="557">
        <v>4999</v>
      </c>
      <c r="C272" s="575">
        <f>[1]!'acct[10-04999].adjbal{1}/VR'</f>
        <v>0</v>
      </c>
      <c r="D272" s="576">
        <f>[1]!'acct[20-04999].adjbal{1}/VR'</f>
        <v>0</v>
      </c>
      <c r="E272" s="468"/>
      <c r="F272" s="576">
        <f>[1]!'acct[40-04999].adjbal{1}/VR'</f>
        <v>0</v>
      </c>
      <c r="G272" s="576">
        <f>[1]!'acct[50-04999].adjbal{1}/VR'</f>
        <v>0</v>
      </c>
      <c r="H272" s="530">
        <f>[1]!'acct[60-04999].adjbal{1}/VR'</f>
        <v>0</v>
      </c>
      <c r="I272" s="468"/>
      <c r="J272" s="468"/>
      <c r="K272" s="530">
        <f>[1]!'acct[90-04999].adjbal{1}/VR'</f>
        <v>0</v>
      </c>
    </row>
    <row r="273" spans="1:11" ht="14.25" thickTop="1" thickBot="1" x14ac:dyDescent="0.25">
      <c r="A273" s="1723" t="s">
        <v>1765</v>
      </c>
      <c r="B273" s="1742"/>
      <c r="C273" s="1730">
        <f t="shared" ref="C273:H273" si="10">SUM(C191,C201,C211,C216,C224,C228,C229,C259:C272)</f>
        <v>811832</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811832</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9382380</v>
      </c>
      <c r="D275" s="1730">
        <f t="shared" si="12"/>
        <v>1039949</v>
      </c>
      <c r="E275" s="1730">
        <f t="shared" si="12"/>
        <v>643331</v>
      </c>
      <c r="F275" s="1730">
        <f t="shared" si="12"/>
        <v>1079923</v>
      </c>
      <c r="G275" s="1730">
        <f t="shared" si="12"/>
        <v>350862</v>
      </c>
      <c r="H275" s="1730">
        <f t="shared" si="12"/>
        <v>148218</v>
      </c>
      <c r="I275" s="1730">
        <f t="shared" si="12"/>
        <v>102877</v>
      </c>
      <c r="J275" s="1730">
        <f t="shared" si="12"/>
        <v>303499</v>
      </c>
      <c r="K275" s="1717">
        <f t="shared" si="12"/>
        <v>102739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Normal="100" workbookViewId="0">
      <pane ySplit="2" topLeftCell="A42" activePane="bottomLeft" state="frozen"/>
      <selection activeCell="B29" sqref="B29"/>
      <selection pane="bottomLeft" activeCell="B29" sqref="B29"/>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3"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4"/>
      <c r="D3" s="1564"/>
      <c r="E3" s="1564"/>
      <c r="F3" s="1564"/>
      <c r="G3" s="1564"/>
      <c r="H3" s="1564"/>
      <c r="I3" s="1564"/>
      <c r="J3" s="1564"/>
      <c r="K3" s="1565"/>
      <c r="L3" s="1566"/>
      <c r="M3" s="610"/>
      <c r="N3" s="610"/>
    </row>
    <row r="4" spans="1:14" s="259" customFormat="1" ht="15.75" customHeight="1" x14ac:dyDescent="0.2">
      <c r="A4" s="1622" t="s">
        <v>46</v>
      </c>
      <c r="B4" s="1623" t="s">
        <v>591</v>
      </c>
      <c r="C4" s="611"/>
      <c r="D4" s="611"/>
      <c r="E4" s="611"/>
      <c r="F4" s="611"/>
      <c r="G4" s="611"/>
      <c r="H4" s="611"/>
      <c r="I4" s="612"/>
      <c r="J4" s="611"/>
      <c r="K4" s="613"/>
      <c r="L4" s="611"/>
      <c r="M4" s="614"/>
      <c r="N4" s="614"/>
    </row>
    <row r="5" spans="1:14" x14ac:dyDescent="0.2">
      <c r="A5" s="1520" t="s">
        <v>1018</v>
      </c>
      <c r="B5" s="615">
        <v>1100</v>
      </c>
      <c r="C5" s="466">
        <f>[1]!'acct[10-11001].adjbal{1}'</f>
        <v>3733619</v>
      </c>
      <c r="D5" s="466">
        <f>[1]!'acct[10-11002].adjbal{1}'</f>
        <v>907197</v>
      </c>
      <c r="E5" s="466">
        <f>[1]!'acct[10-11003].adjbal{1}'</f>
        <v>1790</v>
      </c>
      <c r="F5" s="466">
        <f>[1]!'acct[10-11004].adjbal{1}'</f>
        <v>111160</v>
      </c>
      <c r="G5" s="466">
        <f>[1]!'acct[10-11005].adjbal{1}'</f>
        <v>7074</v>
      </c>
      <c r="H5" s="466">
        <f>[1]!'acct[10-11006].adjbal{1}'</f>
        <v>12060</v>
      </c>
      <c r="I5" s="467">
        <f>[1]!'acct[10-11007].adjbal{1}'</f>
        <v>0</v>
      </c>
      <c r="J5" s="467">
        <f>[1]!'acct[10-11008].adjbal{1}'</f>
        <v>0</v>
      </c>
      <c r="K5" s="1686">
        <f>SUM(C5:J5)</f>
        <v>4772900</v>
      </c>
      <c r="L5" s="466">
        <v>4881162</v>
      </c>
    </row>
    <row r="6" spans="1:14" x14ac:dyDescent="0.2">
      <c r="A6" s="1520" t="s">
        <v>1508</v>
      </c>
      <c r="B6" s="615" t="s">
        <v>1506</v>
      </c>
      <c r="C6" s="477"/>
      <c r="D6" s="477"/>
      <c r="E6" s="466" t="str">
        <f>[1]!'acct[10-11153].adjbal{1}'</f>
        <v xml:space="preserve"> </v>
      </c>
      <c r="F6" s="477"/>
      <c r="G6" s="477"/>
      <c r="H6" s="477"/>
      <c r="I6" s="477"/>
      <c r="J6" s="477"/>
      <c r="K6" s="1686">
        <f>SUM(C6,E6)</f>
        <v>0</v>
      </c>
      <c r="L6" s="466"/>
    </row>
    <row r="7" spans="1:14" x14ac:dyDescent="0.2">
      <c r="A7" s="1520" t="s">
        <v>165</v>
      </c>
      <c r="B7" s="615" t="s">
        <v>1024</v>
      </c>
      <c r="C7" s="467">
        <f>[1]!'acct[10-11251].adjbal{1}'</f>
        <v>171918</v>
      </c>
      <c r="D7" s="467">
        <f>[1]!'acct[10-11252].adjbal{1}'</f>
        <v>41695</v>
      </c>
      <c r="E7" s="467">
        <f>[1]!'acct[10-11253].adjbal{1}'</f>
        <v>0</v>
      </c>
      <c r="F7" s="467">
        <f>[1]!'acct[10-11254].adjbal{1}'</f>
        <v>0</v>
      </c>
      <c r="G7" s="467">
        <f>[1]!'acct[10-11255].adjbal{1}'</f>
        <v>0</v>
      </c>
      <c r="H7" s="467">
        <f>[1]!'acct[10-11256].adjbal{1}'</f>
        <v>0</v>
      </c>
      <c r="I7" s="467">
        <f>[1]!'acct[10-11257].adjbal{1}'</f>
        <v>0</v>
      </c>
      <c r="J7" s="467">
        <f>[1]!'acct[10-11258].adjbal{1}'</f>
        <v>0</v>
      </c>
      <c r="K7" s="1686">
        <f t="shared" ref="K7:K32" si="0">SUM(C7:J7)</f>
        <v>213613</v>
      </c>
      <c r="L7" s="466"/>
    </row>
    <row r="8" spans="1:14" x14ac:dyDescent="0.2">
      <c r="A8" s="1520" t="s">
        <v>166</v>
      </c>
      <c r="B8" s="615">
        <v>1200</v>
      </c>
      <c r="C8" s="466">
        <f>[1]!'acct[10-12001].adjbal{1}'</f>
        <v>656936</v>
      </c>
      <c r="D8" s="466">
        <f>[1]!'acct[10-12002].adjbal{1}'</f>
        <v>135371</v>
      </c>
      <c r="E8" s="466">
        <f>[1]!'acct[10-12003].adjbal{1}'</f>
        <v>13129</v>
      </c>
      <c r="F8" s="466">
        <f>[1]!'acct[10-12004].adjbal{1}'</f>
        <v>1053</v>
      </c>
      <c r="G8" s="466">
        <f>[1]!'acct[10-12005].adjbal{1}'</f>
        <v>0</v>
      </c>
      <c r="H8" s="466">
        <f>[1]!'acct[10-12006].adjbal{1}'</f>
        <v>0</v>
      </c>
      <c r="I8" s="467">
        <f>[1]!'acct[10-12007].adjbal{1}'</f>
        <v>0</v>
      </c>
      <c r="J8" s="467">
        <f>[1]!'acct[10-12008].adjbal{1}'</f>
        <v>0</v>
      </c>
      <c r="K8" s="1686">
        <f t="shared" si="0"/>
        <v>806489</v>
      </c>
      <c r="L8" s="466">
        <v>1036804</v>
      </c>
    </row>
    <row r="9" spans="1:14" x14ac:dyDescent="0.2">
      <c r="A9" s="1520" t="s">
        <v>745</v>
      </c>
      <c r="B9" s="615" t="s">
        <v>1025</v>
      </c>
      <c r="C9" s="467">
        <f>[1]!'acct[10-12251].adjbal{1}'</f>
        <v>0</v>
      </c>
      <c r="D9" s="467">
        <f>[1]!'acct[10-12252].adjbal{1}'</f>
        <v>0</v>
      </c>
      <c r="E9" s="467">
        <f>[1]!'acct[10-12253].adjbal{1}'</f>
        <v>0</v>
      </c>
      <c r="F9" s="467">
        <f>[1]!'acct[10-12254].adjbal{1}'</f>
        <v>0</v>
      </c>
      <c r="G9" s="467">
        <f>[1]!'acct[10-12255].adjbal{1}'</f>
        <v>0</v>
      </c>
      <c r="H9" s="467">
        <f>[1]!'acct[10-12256].adjbal{1}'</f>
        <v>0</v>
      </c>
      <c r="I9" s="467">
        <f>[1]!'acct[10-12257].adjbal{1}'</f>
        <v>0</v>
      </c>
      <c r="J9" s="467">
        <f>[1]!'acct[10-12258].adjbal{1}'</f>
        <v>0</v>
      </c>
      <c r="K9" s="1686">
        <f t="shared" si="0"/>
        <v>0</v>
      </c>
      <c r="L9" s="466"/>
    </row>
    <row r="10" spans="1:14" x14ac:dyDescent="0.2">
      <c r="A10" s="1520" t="s">
        <v>746</v>
      </c>
      <c r="B10" s="615">
        <v>1250</v>
      </c>
      <c r="C10" s="466">
        <f>[1]!'acct[10-12501].adjbal{1}'</f>
        <v>231585</v>
      </c>
      <c r="D10" s="466">
        <f>[1]!'acct[10-12502].adjbal{1}'</f>
        <v>81303</v>
      </c>
      <c r="E10" s="466">
        <f>[1]!'acct[10-12503].adjbal{1}'</f>
        <v>7596</v>
      </c>
      <c r="F10" s="466">
        <f>[1]!'acct[10-12504].adjbal{1}'</f>
        <v>80938</v>
      </c>
      <c r="G10" s="466">
        <f>[1]!'acct[10-12505].adjbal{1}'</f>
        <v>5622</v>
      </c>
      <c r="H10" s="466">
        <f>[1]!'acct[10-12506].adjbal{1}'</f>
        <v>0</v>
      </c>
      <c r="I10" s="467">
        <f>[1]!'acct[10-12507].adjbal{1}'</f>
        <v>0</v>
      </c>
      <c r="J10" s="467">
        <f>[1]!'acct[10-12508].adjbal{1}'</f>
        <v>0</v>
      </c>
      <c r="K10" s="1686">
        <f t="shared" si="0"/>
        <v>407044</v>
      </c>
      <c r="L10" s="466">
        <v>485440</v>
      </c>
    </row>
    <row r="11" spans="1:14" x14ac:dyDescent="0.2">
      <c r="A11" s="1520" t="s">
        <v>1192</v>
      </c>
      <c r="B11" s="615" t="s">
        <v>163</v>
      </c>
      <c r="C11" s="467">
        <f>[1]!'acct[10-12751].adjbal{1}'</f>
        <v>0</v>
      </c>
      <c r="D11" s="467">
        <f>[1]!'acct[10-12752].adjbal{1}'</f>
        <v>0</v>
      </c>
      <c r="E11" s="467">
        <f>[1]!'acct[10-12753].adjbal{1}'</f>
        <v>0</v>
      </c>
      <c r="F11" s="467">
        <f>[1]!'acct[10-12754].adjbal{1}'</f>
        <v>0</v>
      </c>
      <c r="G11" s="467">
        <f>[1]!'acct[10-12755].adjbal{1}'</f>
        <v>0</v>
      </c>
      <c r="H11" s="467">
        <f>[1]!'acct[10-12756].adjbal{1}'</f>
        <v>0</v>
      </c>
      <c r="I11" s="467">
        <f>[1]!'acct[10-12757].adjbal{1}'</f>
        <v>0</v>
      </c>
      <c r="J11" s="467">
        <f>[1]!'acct[10-12758].adjbal{1}'</f>
        <v>0</v>
      </c>
      <c r="K11" s="1686">
        <f t="shared" si="0"/>
        <v>0</v>
      </c>
      <c r="L11" s="466"/>
    </row>
    <row r="12" spans="1:14" x14ac:dyDescent="0.2">
      <c r="A12" s="1520" t="s">
        <v>1019</v>
      </c>
      <c r="B12" s="615">
        <v>1300</v>
      </c>
      <c r="C12" s="466">
        <f>[1]!'acct[10-13001].adjbal{1}'</f>
        <v>0</v>
      </c>
      <c r="D12" s="466">
        <f>[1]!'acct[10-13002].adjbal{1}'</f>
        <v>0</v>
      </c>
      <c r="E12" s="466">
        <f>[1]!'acct[10-13003].adjbal{1}'</f>
        <v>0</v>
      </c>
      <c r="F12" s="466">
        <f>[1]!'acct[10-13004].adjbal{1}'</f>
        <v>0</v>
      </c>
      <c r="G12" s="466">
        <f>[1]!'acct[10-13005].adjbal{1}'</f>
        <v>0</v>
      </c>
      <c r="H12" s="466">
        <f>[1]!'acct[10-13006].adjbal{1}'</f>
        <v>0</v>
      </c>
      <c r="I12" s="467">
        <f>[1]!'acct[10-13007].adjbal{1}'</f>
        <v>0</v>
      </c>
      <c r="J12" s="467">
        <f>[1]!'acct[10-13008].adjbal{1}'</f>
        <v>0</v>
      </c>
      <c r="K12" s="1686">
        <f t="shared" si="0"/>
        <v>0</v>
      </c>
      <c r="L12" s="466"/>
    </row>
    <row r="13" spans="1:14" x14ac:dyDescent="0.2">
      <c r="A13" s="1520" t="s">
        <v>747</v>
      </c>
      <c r="B13" s="615">
        <v>1400</v>
      </c>
      <c r="C13" s="466">
        <f>[1]!'acct[10-14001].adjbal{1}'</f>
        <v>184207</v>
      </c>
      <c r="D13" s="466">
        <f>[1]!'acct[10-14002].adjbal{1}'</f>
        <v>46749</v>
      </c>
      <c r="E13" s="466">
        <f>[1]!'acct[10-14003].adjbal{1}'</f>
        <v>0</v>
      </c>
      <c r="F13" s="466">
        <f>[1]!'acct[10-14004].adjbal{1}'</f>
        <v>14447</v>
      </c>
      <c r="G13" s="466">
        <f>[1]!'acct[10-14005].adjbal{1}'</f>
        <v>18158</v>
      </c>
      <c r="H13" s="466">
        <f>[1]!'acct[10-14006].adjbal{1}'</f>
        <v>6466</v>
      </c>
      <c r="I13" s="467">
        <f>[1]!'acct[10-14007].adjbal{1}'</f>
        <v>0</v>
      </c>
      <c r="J13" s="467">
        <f>[1]!'acct[10-14008].adjbal{1}'</f>
        <v>0</v>
      </c>
      <c r="K13" s="1686">
        <f t="shared" si="0"/>
        <v>270027</v>
      </c>
      <c r="L13" s="466">
        <v>283261</v>
      </c>
    </row>
    <row r="14" spans="1:14" x14ac:dyDescent="0.2">
      <c r="A14" s="1520" t="s">
        <v>1020</v>
      </c>
      <c r="B14" s="615">
        <v>1500</v>
      </c>
      <c r="C14" s="466">
        <f>[1]!'acct[10-15001].adjbal{1}'</f>
        <v>116059</v>
      </c>
      <c r="D14" s="466">
        <f>[1]!'acct[10-15002].adjbal{1}'</f>
        <v>13321</v>
      </c>
      <c r="E14" s="466">
        <f>[1]!'acct[10-15003].adjbal{1}'</f>
        <v>16224</v>
      </c>
      <c r="F14" s="466">
        <f>[1]!'acct[10-15004].adjbal{1}'</f>
        <v>17326</v>
      </c>
      <c r="G14" s="466">
        <f>[1]!'acct[10-15005].adjbal{1}'</f>
        <v>558</v>
      </c>
      <c r="H14" s="466">
        <f>[1]!'acct[10-15006].adjbal{1}'</f>
        <v>14174</v>
      </c>
      <c r="I14" s="466">
        <f>[1]!'acct[10-15007].adjbal{1}'</f>
        <v>0</v>
      </c>
      <c r="J14" s="466">
        <f>[1]!'acct[10-15008].adjbal{1}'</f>
        <v>0</v>
      </c>
      <c r="K14" s="1686">
        <f t="shared" si="0"/>
        <v>177662</v>
      </c>
      <c r="L14" s="466">
        <v>203506</v>
      </c>
    </row>
    <row r="15" spans="1:14" x14ac:dyDescent="0.2">
      <c r="A15" s="1520" t="s">
        <v>1021</v>
      </c>
      <c r="B15" s="615">
        <v>1600</v>
      </c>
      <c r="C15" s="466">
        <f>[1]!'acct[10-16001].adjbal{1}'</f>
        <v>0</v>
      </c>
      <c r="D15" s="466">
        <f>[1]!'acct[10-16002].adjbal{1}'</f>
        <v>0</v>
      </c>
      <c r="E15" s="466">
        <f>[1]!'acct[10-16003].adjbal{1}'</f>
        <v>0</v>
      </c>
      <c r="F15" s="466">
        <f>[1]!'acct[10-16004].adjbal{1}'</f>
        <v>0</v>
      </c>
      <c r="G15" s="466">
        <f>[1]!'acct[10-16005].adjbal{1}'</f>
        <v>0</v>
      </c>
      <c r="H15" s="466">
        <f>[1]!'acct[10-16006].adjbal{1}'</f>
        <v>0</v>
      </c>
      <c r="I15" s="466">
        <f>[1]!'acct[10-16007].adjbal{1}'</f>
        <v>0</v>
      </c>
      <c r="J15" s="466">
        <f>[1]!'acct[10-16008].adjbal{1}'</f>
        <v>0</v>
      </c>
      <c r="K15" s="1686">
        <f t="shared" si="0"/>
        <v>0</v>
      </c>
      <c r="L15" s="466"/>
    </row>
    <row r="16" spans="1:14" x14ac:dyDescent="0.2">
      <c r="A16" s="1520" t="s">
        <v>1044</v>
      </c>
      <c r="B16" s="615" t="s">
        <v>444</v>
      </c>
      <c r="C16" s="466">
        <f>[1]!'acct[10-16501].adjbal{1}'</f>
        <v>0</v>
      </c>
      <c r="D16" s="466">
        <f>[1]!'acct[10-16502].adjbal{1}'</f>
        <v>0</v>
      </c>
      <c r="E16" s="466">
        <f>[1]!'acct[10-16503].adjbal{1}'</f>
        <v>0</v>
      </c>
      <c r="F16" s="466">
        <f>[1]!'acct[10-16504].adjbal{1}'</f>
        <v>0</v>
      </c>
      <c r="G16" s="466">
        <f>[1]!'acct[10-16505].adjbal{1}'</f>
        <v>0</v>
      </c>
      <c r="H16" s="466">
        <f>[1]!'acct[10-16506].adjbal{1}'</f>
        <v>0</v>
      </c>
      <c r="I16" s="466">
        <f>[1]!'acct[10-16507].adjbal{1}'</f>
        <v>0</v>
      </c>
      <c r="J16" s="466">
        <f>[1]!'acct[10-16508].adjbal{1}'</f>
        <v>0</v>
      </c>
      <c r="K16" s="1686">
        <f t="shared" si="0"/>
        <v>0</v>
      </c>
      <c r="L16" s="466"/>
    </row>
    <row r="17" spans="1:12" x14ac:dyDescent="0.2">
      <c r="A17" s="1520" t="s">
        <v>748</v>
      </c>
      <c r="B17" s="615" t="s">
        <v>164</v>
      </c>
      <c r="C17" s="466">
        <f>[1]!'acct[10-17001].adjbal{1}'</f>
        <v>8548</v>
      </c>
      <c r="D17" s="466">
        <f>[1]!'acct[10-17002].adjbal{1}'</f>
        <v>1646</v>
      </c>
      <c r="E17" s="466">
        <f>[1]!'acct[10-17003].adjbal{1}'</f>
        <v>0</v>
      </c>
      <c r="F17" s="466">
        <f>[1]!'acct[10-17004].adjbal{1}'</f>
        <v>0</v>
      </c>
      <c r="G17" s="466">
        <f>[1]!'acct[10-17005].adjbal{1}'</f>
        <v>0</v>
      </c>
      <c r="H17" s="466">
        <f>[1]!'acct[10-17006].adjbal{1}'</f>
        <v>0</v>
      </c>
      <c r="I17" s="466">
        <f>[1]!'acct[10-17007].adjbal{1}'</f>
        <v>0</v>
      </c>
      <c r="J17" s="466">
        <f>[1]!'acct[10-17008].adjbal{1}'</f>
        <v>0</v>
      </c>
      <c r="K17" s="1686">
        <f t="shared" si="0"/>
        <v>10194</v>
      </c>
      <c r="L17" s="466">
        <v>10828</v>
      </c>
    </row>
    <row r="18" spans="1:12" x14ac:dyDescent="0.2">
      <c r="A18" s="1520" t="s">
        <v>1148</v>
      </c>
      <c r="B18" s="615">
        <v>1800</v>
      </c>
      <c r="C18" s="466">
        <f>[1]!'acct[10-18001].adjbal{1}'</f>
        <v>0</v>
      </c>
      <c r="D18" s="466">
        <f>[1]!'acct[10-18002].adjbal{1}'</f>
        <v>0</v>
      </c>
      <c r="E18" s="466">
        <f>[1]!'acct[10-18003].adjbal{1}'</f>
        <v>0</v>
      </c>
      <c r="F18" s="466">
        <f>[1]!'acct[10-18004].adjbal{1}'</f>
        <v>0</v>
      </c>
      <c r="G18" s="466">
        <f>[1]!'acct[10-18005].adjbal{1}'</f>
        <v>0</v>
      </c>
      <c r="H18" s="466">
        <f>[1]!'acct[10-18006].adjbal{1}'</f>
        <v>0</v>
      </c>
      <c r="I18" s="466">
        <f>[1]!'acct[10-18007].adjbal{1}'</f>
        <v>0</v>
      </c>
      <c r="J18" s="466">
        <f>[1]!'acct[10-18008].adjbal{1}'</f>
        <v>0</v>
      </c>
      <c r="K18" s="1686">
        <f t="shared" si="0"/>
        <v>0</v>
      </c>
      <c r="L18" s="466"/>
    </row>
    <row r="19" spans="1:12" x14ac:dyDescent="0.2">
      <c r="A19" s="1520" t="s">
        <v>136</v>
      </c>
      <c r="B19" s="615">
        <v>1900</v>
      </c>
      <c r="C19" s="466">
        <f>[1]!'acct[10-19001].adjbal{1}'</f>
        <v>0</v>
      </c>
      <c r="D19" s="466">
        <f>[1]!'acct[10-19002].adjbal{1}'</f>
        <v>0</v>
      </c>
      <c r="E19" s="466">
        <f>[1]!'acct[10-19003].adjbal{1}'</f>
        <v>0</v>
      </c>
      <c r="F19" s="466">
        <f>[1]!'acct[10-19004].adjbal{1}'</f>
        <v>0</v>
      </c>
      <c r="G19" s="466">
        <f>[1]!'acct[10-19005].adjbal{1}'</f>
        <v>0</v>
      </c>
      <c r="H19" s="466">
        <f>[1]!'acct[10-19006].adjbal{1}'</f>
        <v>0</v>
      </c>
      <c r="I19" s="466">
        <f>[1]!'acct[10-19007].adjbal{1}'</f>
        <v>0</v>
      </c>
      <c r="J19" s="466">
        <f>[1]!'acct[10-19008].adjbal{1}'</f>
        <v>0</v>
      </c>
      <c r="K19" s="1686">
        <f t="shared" si="0"/>
        <v>0</v>
      </c>
      <c r="L19" s="466"/>
    </row>
    <row r="20" spans="1:12" x14ac:dyDescent="0.2">
      <c r="A20" s="1521" t="s">
        <v>762</v>
      </c>
      <c r="B20" s="603" t="s">
        <v>749</v>
      </c>
      <c r="C20" s="477"/>
      <c r="D20" s="477"/>
      <c r="E20" s="477"/>
      <c r="F20" s="477"/>
      <c r="G20" s="477"/>
      <c r="H20" s="466">
        <f>[1]!'acct[10-19106].adjbal{1}'</f>
        <v>0</v>
      </c>
      <c r="I20" s="617"/>
      <c r="J20" s="475"/>
      <c r="K20" s="1686">
        <f t="shared" si="0"/>
        <v>0</v>
      </c>
      <c r="L20" s="471"/>
    </row>
    <row r="21" spans="1:12" x14ac:dyDescent="0.2">
      <c r="A21" s="1521" t="s">
        <v>763</v>
      </c>
      <c r="B21" s="603" t="s">
        <v>750</v>
      </c>
      <c r="C21" s="477"/>
      <c r="D21" s="477"/>
      <c r="E21" s="477"/>
      <c r="F21" s="477"/>
      <c r="G21" s="477"/>
      <c r="H21" s="466">
        <f>[1]!'acct[10-19116].adjbal{1}'</f>
        <v>0</v>
      </c>
      <c r="I21" s="617"/>
      <c r="J21" s="477"/>
      <c r="K21" s="1686">
        <f t="shared" si="0"/>
        <v>0</v>
      </c>
      <c r="L21" s="471"/>
    </row>
    <row r="22" spans="1:12" x14ac:dyDescent="0.2">
      <c r="A22" s="1521" t="s">
        <v>764</v>
      </c>
      <c r="B22" s="603" t="s">
        <v>751</v>
      </c>
      <c r="C22" s="477"/>
      <c r="D22" s="477"/>
      <c r="E22" s="477"/>
      <c r="F22" s="477"/>
      <c r="G22" s="477"/>
      <c r="H22" s="466">
        <f>[1]!'acct[10-19126].adjbal{1}'</f>
        <v>0</v>
      </c>
      <c r="I22" s="617"/>
      <c r="J22" s="477"/>
      <c r="K22" s="1686">
        <f t="shared" si="0"/>
        <v>0</v>
      </c>
      <c r="L22" s="471"/>
    </row>
    <row r="23" spans="1:12" x14ac:dyDescent="0.2">
      <c r="A23" s="1521" t="s">
        <v>765</v>
      </c>
      <c r="B23" s="603" t="s">
        <v>752</v>
      </c>
      <c r="C23" s="477"/>
      <c r="D23" s="477"/>
      <c r="E23" s="477"/>
      <c r="F23" s="477"/>
      <c r="G23" s="477"/>
      <c r="H23" s="466">
        <f>[1]!'acct[10-19136].adjbal{1}'</f>
        <v>0</v>
      </c>
      <c r="I23" s="617"/>
      <c r="J23" s="477"/>
      <c r="K23" s="1686">
        <f t="shared" si="0"/>
        <v>0</v>
      </c>
      <c r="L23" s="471"/>
    </row>
    <row r="24" spans="1:12" ht="12.75" customHeight="1" x14ac:dyDescent="0.2">
      <c r="A24" s="1521" t="s">
        <v>766</v>
      </c>
      <c r="B24" s="603" t="s">
        <v>753</v>
      </c>
      <c r="C24" s="477"/>
      <c r="D24" s="477"/>
      <c r="E24" s="477"/>
      <c r="F24" s="477"/>
      <c r="G24" s="477"/>
      <c r="H24" s="466">
        <f>[1]!'acct[10-19146].adjbal{1}'</f>
        <v>0</v>
      </c>
      <c r="I24" s="617"/>
      <c r="J24" s="477"/>
      <c r="K24" s="1686">
        <f t="shared" si="0"/>
        <v>0</v>
      </c>
      <c r="L24" s="471"/>
    </row>
    <row r="25" spans="1:12" ht="12.75" customHeight="1" x14ac:dyDescent="0.2">
      <c r="A25" s="1521" t="s">
        <v>835</v>
      </c>
      <c r="B25" s="603" t="s">
        <v>754</v>
      </c>
      <c r="C25" s="477"/>
      <c r="D25" s="477"/>
      <c r="E25" s="477"/>
      <c r="F25" s="477"/>
      <c r="G25" s="477"/>
      <c r="H25" s="466">
        <f>[1]!'acct[10-19156].adjbal{1}'</f>
        <v>0</v>
      </c>
      <c r="I25" s="617"/>
      <c r="J25" s="477"/>
      <c r="K25" s="1686">
        <f t="shared" si="0"/>
        <v>0</v>
      </c>
      <c r="L25" s="471"/>
    </row>
    <row r="26" spans="1:12" x14ac:dyDescent="0.2">
      <c r="A26" s="1521" t="s">
        <v>643</v>
      </c>
      <c r="B26" s="603" t="s">
        <v>755</v>
      </c>
      <c r="C26" s="477"/>
      <c r="D26" s="477"/>
      <c r="E26" s="477"/>
      <c r="F26" s="477"/>
      <c r="G26" s="477"/>
      <c r="H26" s="466">
        <f>[1]!'acct[10-19166].adjbal{1}'</f>
        <v>0</v>
      </c>
      <c r="I26" s="617"/>
      <c r="J26" s="477"/>
      <c r="K26" s="1686">
        <f t="shared" si="0"/>
        <v>0</v>
      </c>
      <c r="L26" s="471"/>
    </row>
    <row r="27" spans="1:12" x14ac:dyDescent="0.2">
      <c r="A27" s="1521" t="s">
        <v>644</v>
      </c>
      <c r="B27" s="603" t="s">
        <v>756</v>
      </c>
      <c r="C27" s="477"/>
      <c r="D27" s="477"/>
      <c r="E27" s="477"/>
      <c r="F27" s="477"/>
      <c r="G27" s="477"/>
      <c r="H27" s="466">
        <f>[1]!'acct[10-19176].adjbal{1}'</f>
        <v>0</v>
      </c>
      <c r="I27" s="617"/>
      <c r="J27" s="477"/>
      <c r="K27" s="1686">
        <f t="shared" si="0"/>
        <v>0</v>
      </c>
      <c r="L27" s="471"/>
    </row>
    <row r="28" spans="1:12" x14ac:dyDescent="0.2">
      <c r="A28" s="1521" t="s">
        <v>152</v>
      </c>
      <c r="B28" s="603" t="s">
        <v>757</v>
      </c>
      <c r="C28" s="477"/>
      <c r="D28" s="477"/>
      <c r="E28" s="477"/>
      <c r="F28" s="477"/>
      <c r="G28" s="477"/>
      <c r="H28" s="466">
        <f>[1]!'acct[10-19186].adjbal{1}'</f>
        <v>0</v>
      </c>
      <c r="I28" s="617"/>
      <c r="J28" s="477"/>
      <c r="K28" s="1686">
        <f t="shared" si="0"/>
        <v>0</v>
      </c>
      <c r="L28" s="471"/>
    </row>
    <row r="29" spans="1:12" x14ac:dyDescent="0.2">
      <c r="A29" s="1521" t="s">
        <v>153</v>
      </c>
      <c r="B29" s="603" t="s">
        <v>758</v>
      </c>
      <c r="C29" s="477"/>
      <c r="D29" s="477"/>
      <c r="E29" s="477"/>
      <c r="F29" s="477"/>
      <c r="G29" s="477"/>
      <c r="H29" s="466" t="str">
        <f>[1]!'acct[10-19196].adjbal{1}'</f>
        <v xml:space="preserve"> </v>
      </c>
      <c r="I29" s="617"/>
      <c r="J29" s="477"/>
      <c r="K29" s="1686">
        <f t="shared" si="0"/>
        <v>0</v>
      </c>
      <c r="L29" s="471"/>
    </row>
    <row r="30" spans="1:12" x14ac:dyDescent="0.2">
      <c r="A30" s="1521" t="s">
        <v>154</v>
      </c>
      <c r="B30" s="603" t="s">
        <v>759</v>
      </c>
      <c r="C30" s="477"/>
      <c r="D30" s="477"/>
      <c r="E30" s="477"/>
      <c r="F30" s="477"/>
      <c r="G30" s="477"/>
      <c r="H30" s="466">
        <f>[1]!'acct[10-19206].adjbal{1}'</f>
        <v>0</v>
      </c>
      <c r="I30" s="617"/>
      <c r="J30" s="477"/>
      <c r="K30" s="1686">
        <f t="shared" si="0"/>
        <v>0</v>
      </c>
      <c r="L30" s="471"/>
    </row>
    <row r="31" spans="1:12" x14ac:dyDescent="0.2">
      <c r="A31" s="1521" t="s">
        <v>155</v>
      </c>
      <c r="B31" s="603" t="s">
        <v>760</v>
      </c>
      <c r="C31" s="477"/>
      <c r="D31" s="477"/>
      <c r="E31" s="477"/>
      <c r="F31" s="477"/>
      <c r="G31" s="477"/>
      <c r="H31" s="466">
        <f>[1]!'acct[10-19216].adjbal{1}'</f>
        <v>0</v>
      </c>
      <c r="I31" s="617"/>
      <c r="J31" s="477"/>
      <c r="K31" s="1686">
        <f t="shared" si="0"/>
        <v>0</v>
      </c>
      <c r="L31" s="471"/>
    </row>
    <row r="32" spans="1:12" x14ac:dyDescent="0.2">
      <c r="A32" s="1522" t="s">
        <v>1191</v>
      </c>
      <c r="B32" s="615" t="s">
        <v>761</v>
      </c>
      <c r="C32" s="477"/>
      <c r="D32" s="477"/>
      <c r="E32" s="477"/>
      <c r="F32" s="477"/>
      <c r="G32" s="477"/>
      <c r="H32" s="466">
        <f>[1]!'acct[10-19226].adjbal{1}'</f>
        <v>0</v>
      </c>
      <c r="I32" s="617"/>
      <c r="J32" s="480"/>
      <c r="K32" s="1686">
        <f t="shared" si="0"/>
        <v>0</v>
      </c>
      <c r="L32" s="471"/>
    </row>
    <row r="33" spans="1:14" ht="12.75" customHeight="1" thickBot="1" x14ac:dyDescent="0.25">
      <c r="A33" s="1683" t="s">
        <v>1767</v>
      </c>
      <c r="B33" s="1684" t="s">
        <v>591</v>
      </c>
      <c r="C33" s="1685">
        <f>SUM(C5:C32)</f>
        <v>5102872</v>
      </c>
      <c r="D33" s="1685">
        <f t="shared" ref="D33:L33" si="1">SUM(D5:D32)</f>
        <v>1227282</v>
      </c>
      <c r="E33" s="1685">
        <f t="shared" si="1"/>
        <v>38739</v>
      </c>
      <c r="F33" s="1685">
        <f t="shared" si="1"/>
        <v>224924</v>
      </c>
      <c r="G33" s="1685">
        <f t="shared" si="1"/>
        <v>31412</v>
      </c>
      <c r="H33" s="1685">
        <f t="shared" si="1"/>
        <v>32700</v>
      </c>
      <c r="I33" s="1685">
        <f t="shared" si="1"/>
        <v>0</v>
      </c>
      <c r="J33" s="1685">
        <f t="shared" si="1"/>
        <v>0</v>
      </c>
      <c r="K33" s="1685">
        <f t="shared" si="1"/>
        <v>6657929</v>
      </c>
      <c r="L33" s="1685">
        <f t="shared" si="1"/>
        <v>6901001</v>
      </c>
    </row>
    <row r="34" spans="1:14" s="621" customFormat="1" ht="15.75" customHeight="1" thickTop="1" x14ac:dyDescent="0.2">
      <c r="A34" s="1624" t="s">
        <v>48</v>
      </c>
      <c r="B34" s="1625"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0" t="s">
        <v>1150</v>
      </c>
      <c r="B36" s="615">
        <v>2110</v>
      </c>
      <c r="C36" s="481">
        <f>[1]!'acct[10-21101].adjbal{1}'</f>
        <v>0</v>
      </c>
      <c r="D36" s="481">
        <f>[1]!'acct[10-21102].adjbal{1}'</f>
        <v>0</v>
      </c>
      <c r="E36" s="481">
        <f>[1]!'acct[10-21103].adjbal{1}'</f>
        <v>0</v>
      </c>
      <c r="F36" s="481">
        <f>[1]!'acct[10-21104].adjbal{1}'</f>
        <v>0</v>
      </c>
      <c r="G36" s="481">
        <f>[1]!'acct[10-21105].adjbal{1}'</f>
        <v>0</v>
      </c>
      <c r="H36" s="481">
        <f>[1]!'acct[10-21106].adjbal{1}'</f>
        <v>0</v>
      </c>
      <c r="I36" s="481">
        <f>[1]!'acct[10-21107].adjbal{1}'</f>
        <v>0</v>
      </c>
      <c r="J36" s="481">
        <f>[1]!'acct[10-21108].adjbal{1}'</f>
        <v>0</v>
      </c>
      <c r="K36" s="1686">
        <f t="shared" ref="K36:K41" si="2">SUM(C36:J36)</f>
        <v>0</v>
      </c>
      <c r="L36" s="466"/>
    </row>
    <row r="37" spans="1:14" x14ac:dyDescent="0.2">
      <c r="A37" s="1520" t="s">
        <v>1151</v>
      </c>
      <c r="B37" s="615">
        <v>2120</v>
      </c>
      <c r="C37" s="481">
        <f>[1]!'acct[10-21201].adjbal{1}'</f>
        <v>115785</v>
      </c>
      <c r="D37" s="481">
        <f>[1]!'acct[10-21202].adjbal{1}'</f>
        <v>22153</v>
      </c>
      <c r="E37" s="481">
        <f>[1]!'acct[10-21203].adjbal{1}'</f>
        <v>0</v>
      </c>
      <c r="F37" s="481">
        <f>[1]!'acct[10-21204].adjbal{1}'</f>
        <v>6449</v>
      </c>
      <c r="G37" s="481">
        <f>[1]!'acct[10-21205].adjbal{1}'</f>
        <v>0</v>
      </c>
      <c r="H37" s="481">
        <f>[1]!'acct[10-21206].adjbal{1}'</f>
        <v>0</v>
      </c>
      <c r="I37" s="481">
        <f>[1]!'acct[10-21207].adjbal{1}'</f>
        <v>0</v>
      </c>
      <c r="J37" s="481">
        <f>[1]!'acct[10-21208].adjbal{1}'</f>
        <v>0</v>
      </c>
      <c r="K37" s="1686">
        <f t="shared" si="2"/>
        <v>144387</v>
      </c>
      <c r="L37" s="466">
        <v>179286</v>
      </c>
    </row>
    <row r="38" spans="1:14" x14ac:dyDescent="0.2">
      <c r="A38" s="1520" t="s">
        <v>207</v>
      </c>
      <c r="B38" s="615">
        <v>2130</v>
      </c>
      <c r="C38" s="481">
        <f>[1]!'acct[10-21301].adjbal{1}'</f>
        <v>58051</v>
      </c>
      <c r="D38" s="481">
        <f>[1]!'acct[10-21302].adjbal{1}'</f>
        <v>12600</v>
      </c>
      <c r="E38" s="481">
        <f>[1]!'acct[10-21303].adjbal{1}'</f>
        <v>0</v>
      </c>
      <c r="F38" s="481">
        <f>[1]!'acct[10-21304].adjbal{1}'</f>
        <v>680</v>
      </c>
      <c r="G38" s="481">
        <f>[1]!'acct[10-21305].adjbal{1}'</f>
        <v>0</v>
      </c>
      <c r="H38" s="481">
        <f>[1]!'acct[10-21306].adjbal{1}'</f>
        <v>0</v>
      </c>
      <c r="I38" s="481">
        <f>[1]!'acct[10-21307].adjbal{1}'</f>
        <v>0</v>
      </c>
      <c r="J38" s="481">
        <f>[1]!'acct[10-21308].adjbal{1}'</f>
        <v>0</v>
      </c>
      <c r="K38" s="1686">
        <f t="shared" si="2"/>
        <v>71331</v>
      </c>
      <c r="L38" s="466">
        <v>74310</v>
      </c>
    </row>
    <row r="39" spans="1:14" x14ac:dyDescent="0.2">
      <c r="A39" s="1520" t="s">
        <v>208</v>
      </c>
      <c r="B39" s="615">
        <v>2140</v>
      </c>
      <c r="C39" s="481">
        <f>[1]!'acct[10-21401].adjbal{1}'</f>
        <v>0</v>
      </c>
      <c r="D39" s="481">
        <f>[1]!'acct[10-21402].adjbal{1}'</f>
        <v>0</v>
      </c>
      <c r="E39" s="481">
        <f>[1]!'acct[10-21403].adjbal{1}'</f>
        <v>0</v>
      </c>
      <c r="F39" s="481">
        <f>[1]!'acct[10-21404].adjbal{1}'</f>
        <v>0</v>
      </c>
      <c r="G39" s="481">
        <f>[1]!'acct[10-21405].adjbal{1}'</f>
        <v>0</v>
      </c>
      <c r="H39" s="481">
        <f>[1]!'acct[10-21406].adjbal{1}'</f>
        <v>0</v>
      </c>
      <c r="I39" s="481">
        <f>[1]!'acct[10-21407].adjbal{1}'</f>
        <v>0</v>
      </c>
      <c r="J39" s="481">
        <f>[1]!'acct[10-21408].adjbal{1}'</f>
        <v>0</v>
      </c>
      <c r="K39" s="1686">
        <f t="shared" si="2"/>
        <v>0</v>
      </c>
      <c r="L39" s="466"/>
    </row>
    <row r="40" spans="1:14" x14ac:dyDescent="0.2">
      <c r="A40" s="1520" t="s">
        <v>209</v>
      </c>
      <c r="B40" s="615">
        <v>2150</v>
      </c>
      <c r="C40" s="481">
        <f>[1]!'acct[10-21501].adjbal{1}'</f>
        <v>69868</v>
      </c>
      <c r="D40" s="481">
        <f>[1]!'acct[10-21502].adjbal{1}'</f>
        <v>18136</v>
      </c>
      <c r="E40" s="481">
        <f>[1]!'acct[10-21503].adjbal{1}'</f>
        <v>0</v>
      </c>
      <c r="F40" s="481">
        <f>[1]!'acct[10-21504].adjbal{1}'</f>
        <v>0</v>
      </c>
      <c r="G40" s="481">
        <f>[1]!'acct[10-21505].adjbal{1}'</f>
        <v>0</v>
      </c>
      <c r="H40" s="481">
        <f>[1]!'acct[10-21506].adjbal{1}'</f>
        <v>0</v>
      </c>
      <c r="I40" s="481">
        <f>[1]!'acct[10-21507].adjbal{1}'</f>
        <v>0</v>
      </c>
      <c r="J40" s="481">
        <f>[1]!'acct[10-21508].adjbal{1}'</f>
        <v>0</v>
      </c>
      <c r="K40" s="1686">
        <f t="shared" si="2"/>
        <v>88004</v>
      </c>
      <c r="L40" s="466">
        <v>102285</v>
      </c>
    </row>
    <row r="41" spans="1:14" x14ac:dyDescent="0.2">
      <c r="A41" s="1520" t="s">
        <v>1768</v>
      </c>
      <c r="B41" s="615">
        <v>2190</v>
      </c>
      <c r="C41" s="481">
        <f>[1]!'acct[10-21901].adjbal{1}'</f>
        <v>0</v>
      </c>
      <c r="D41" s="481">
        <f>[1]!'acct[10-21902].adjbal{1}'</f>
        <v>0</v>
      </c>
      <c r="E41" s="481">
        <f>[1]!'acct[10-21903].adjbal{1}'</f>
        <v>0</v>
      </c>
      <c r="F41" s="481">
        <f>[1]!'acct[10-21904].adjbal{1}'</f>
        <v>0</v>
      </c>
      <c r="G41" s="481">
        <f>[1]!'acct[10-21905].adjbal{1}'</f>
        <v>0</v>
      </c>
      <c r="H41" s="481">
        <f>[1]!'acct[10-21906].adjbal{1}'</f>
        <v>0</v>
      </c>
      <c r="I41" s="481">
        <f>[1]!'acct[10-21907].adjbal{1}'</f>
        <v>0</v>
      </c>
      <c r="J41" s="481">
        <f>[1]!'acct[10-21908].adjbal{1}'</f>
        <v>0</v>
      </c>
      <c r="K41" s="1686">
        <f t="shared" si="2"/>
        <v>0</v>
      </c>
      <c r="L41" s="466"/>
    </row>
    <row r="42" spans="1:14" ht="12.75" customHeight="1" thickBot="1" x14ac:dyDescent="0.25">
      <c r="A42" s="1683" t="s">
        <v>581</v>
      </c>
      <c r="B42" s="1684" t="s">
        <v>740</v>
      </c>
      <c r="C42" s="1685">
        <f>SUM(C36:C41)</f>
        <v>243704</v>
      </c>
      <c r="D42" s="1685">
        <f t="shared" ref="D42:L42" si="3">SUM(D36:D41)</f>
        <v>52889</v>
      </c>
      <c r="E42" s="1685">
        <f t="shared" si="3"/>
        <v>0</v>
      </c>
      <c r="F42" s="1685">
        <f t="shared" si="3"/>
        <v>7129</v>
      </c>
      <c r="G42" s="1685">
        <f t="shared" si="3"/>
        <v>0</v>
      </c>
      <c r="H42" s="1685">
        <f t="shared" si="3"/>
        <v>0</v>
      </c>
      <c r="I42" s="1685">
        <f t="shared" si="3"/>
        <v>0</v>
      </c>
      <c r="J42" s="1685">
        <f t="shared" si="3"/>
        <v>0</v>
      </c>
      <c r="K42" s="1685">
        <f t="shared" si="3"/>
        <v>303722</v>
      </c>
      <c r="L42" s="1685">
        <f t="shared" si="3"/>
        <v>355881</v>
      </c>
    </row>
    <row r="43" spans="1:14" ht="15.75" customHeight="1" thickTop="1" x14ac:dyDescent="0.2">
      <c r="A43" s="625" t="s">
        <v>613</v>
      </c>
      <c r="B43" s="626"/>
      <c r="C43" s="627"/>
      <c r="D43" s="627"/>
      <c r="E43" s="627"/>
      <c r="F43" s="627"/>
      <c r="G43" s="627"/>
      <c r="H43" s="627"/>
      <c r="I43" s="617"/>
      <c r="J43" s="617"/>
      <c r="K43" s="627"/>
      <c r="L43" s="627"/>
    </row>
    <row r="44" spans="1:14" x14ac:dyDescent="0.2">
      <c r="A44" s="1520" t="s">
        <v>868</v>
      </c>
      <c r="B44" s="615">
        <v>2210</v>
      </c>
      <c r="C44" s="481">
        <f>[1]!'acct[10-22101].adjbal{1}'</f>
        <v>2550</v>
      </c>
      <c r="D44" s="481">
        <f>[1]!'acct[10-22102].adjbal{1}'</f>
        <v>77</v>
      </c>
      <c r="E44" s="481">
        <f>[1]!'acct[10-22103].adjbal{1}'</f>
        <v>27644</v>
      </c>
      <c r="F44" s="481">
        <f>[1]!'acct[10-22104].adjbal{1}'</f>
        <v>0</v>
      </c>
      <c r="G44" s="481">
        <f>[1]!'acct[10-22105].adjbal{1}'</f>
        <v>64728</v>
      </c>
      <c r="H44" s="481">
        <f>[1]!'acct[10-22106].adjbal{1}'</f>
        <v>0</v>
      </c>
      <c r="I44" s="481">
        <f>[1]!'acct[10-22107].adjbal{1}'</f>
        <v>0</v>
      </c>
      <c r="J44" s="481">
        <f>[1]!'acct[10-22108].adjbal{1}'</f>
        <v>0</v>
      </c>
      <c r="K44" s="1687">
        <f>SUM(C44:J44)</f>
        <v>94999</v>
      </c>
      <c r="L44" s="481">
        <v>130971</v>
      </c>
    </row>
    <row r="45" spans="1:14" x14ac:dyDescent="0.2">
      <c r="A45" s="1520" t="s">
        <v>869</v>
      </c>
      <c r="B45" s="615">
        <v>2220</v>
      </c>
      <c r="C45" s="481">
        <f>[1]!'acct[10-22201].adjbal{1}'</f>
        <v>149292</v>
      </c>
      <c r="D45" s="481">
        <f>[1]!'acct[10-22202].adjbal{1}'</f>
        <v>25815</v>
      </c>
      <c r="E45" s="481">
        <f>[1]!'acct[10-22203].adjbal{1}'</f>
        <v>36459</v>
      </c>
      <c r="F45" s="481">
        <f>[1]!'acct[10-22204].adjbal{1}'</f>
        <v>10602</v>
      </c>
      <c r="G45" s="481">
        <f>[1]!'acct[10-22205].adjbal{1}'</f>
        <v>0</v>
      </c>
      <c r="H45" s="481">
        <f>[1]!'acct[10-22206].adjbal{1}'</f>
        <v>0</v>
      </c>
      <c r="I45" s="481">
        <f>[1]!'acct[10-22207].adjbal{1}'</f>
        <v>0</v>
      </c>
      <c r="J45" s="481">
        <f>[1]!'acct[10-22208].adjbal{1}'</f>
        <v>0</v>
      </c>
      <c r="K45" s="1687">
        <f>SUM(C45:J45)</f>
        <v>222168</v>
      </c>
      <c r="L45" s="466">
        <v>242222</v>
      </c>
    </row>
    <row r="46" spans="1:14" x14ac:dyDescent="0.2">
      <c r="A46" s="1520" t="s">
        <v>870</v>
      </c>
      <c r="B46" s="615">
        <v>2230</v>
      </c>
      <c r="C46" s="481">
        <f>[1]!'acct[10-22301].adjbal{1}'</f>
        <v>0</v>
      </c>
      <c r="D46" s="481">
        <f>[1]!'acct[10-22302].adjbal{1}'</f>
        <v>0</v>
      </c>
      <c r="E46" s="481">
        <f>[1]!'acct[10-22303].adjbal{1}'</f>
        <v>0</v>
      </c>
      <c r="F46" s="481">
        <f>[1]!'acct[10-22304].adjbal{1}'</f>
        <v>0</v>
      </c>
      <c r="G46" s="481">
        <f>[1]!'acct[10-22305].adjbal{1}'</f>
        <v>0</v>
      </c>
      <c r="H46" s="481">
        <f>[1]!'acct[10-22306].adjbal{1}'</f>
        <v>0</v>
      </c>
      <c r="I46" s="481">
        <f>[1]!'acct[10-22307].adjbal{1}'</f>
        <v>0</v>
      </c>
      <c r="J46" s="481">
        <f>[1]!'acct[10-22308].adjbal{1}'</f>
        <v>0</v>
      </c>
      <c r="K46" s="1687">
        <f>SUM(C46:J46)</f>
        <v>0</v>
      </c>
      <c r="L46" s="466"/>
    </row>
    <row r="47" spans="1:14" ht="12.75" customHeight="1" thickBot="1" x14ac:dyDescent="0.25">
      <c r="A47" s="1683" t="s">
        <v>582</v>
      </c>
      <c r="B47" s="1684" t="s">
        <v>32</v>
      </c>
      <c r="C47" s="1685">
        <f>SUM(C44:C46)</f>
        <v>151842</v>
      </c>
      <c r="D47" s="1685">
        <f t="shared" ref="D47:K47" si="4">SUM(D44:D46)</f>
        <v>25892</v>
      </c>
      <c r="E47" s="1685">
        <f t="shared" si="4"/>
        <v>64103</v>
      </c>
      <c r="F47" s="1685">
        <f t="shared" si="4"/>
        <v>10602</v>
      </c>
      <c r="G47" s="1685">
        <f t="shared" si="4"/>
        <v>64728</v>
      </c>
      <c r="H47" s="1685">
        <f t="shared" si="4"/>
        <v>0</v>
      </c>
      <c r="I47" s="1685">
        <f t="shared" si="4"/>
        <v>0</v>
      </c>
      <c r="J47" s="1685">
        <f t="shared" si="4"/>
        <v>0</v>
      </c>
      <c r="K47" s="1685">
        <f t="shared" si="4"/>
        <v>317167</v>
      </c>
      <c r="L47" s="1685">
        <f>SUM(L44:L46)</f>
        <v>373193</v>
      </c>
    </row>
    <row r="48" spans="1:14" ht="15.75" customHeight="1" thickTop="1" x14ac:dyDescent="0.2">
      <c r="A48" s="625" t="s">
        <v>631</v>
      </c>
      <c r="B48" s="626"/>
      <c r="C48" s="627"/>
      <c r="D48" s="627"/>
      <c r="E48" s="627"/>
      <c r="F48" s="627"/>
      <c r="G48" s="627"/>
      <c r="H48" s="627"/>
      <c r="I48" s="617"/>
      <c r="J48" s="617"/>
      <c r="K48" s="627"/>
      <c r="L48" s="627"/>
    </row>
    <row r="49" spans="1:14" x14ac:dyDescent="0.2">
      <c r="A49" s="1520" t="s">
        <v>871</v>
      </c>
      <c r="B49" s="615">
        <v>2310</v>
      </c>
      <c r="C49" s="481">
        <f>[1]!'acct[10-23101].adjbal{1}'</f>
        <v>2399</v>
      </c>
      <c r="D49" s="481">
        <f>[1]!'acct[10-23102].adjbal{1}'</f>
        <v>14</v>
      </c>
      <c r="E49" s="481">
        <f>[1]!'acct[10-23103].adjbal{1}'</f>
        <v>83081</v>
      </c>
      <c r="F49" s="481">
        <f>[1]!'acct[10-23104].adjbal{1}'</f>
        <v>8980</v>
      </c>
      <c r="G49" s="481">
        <f>[1]!'acct[10-23105].adjbal{1}'</f>
        <v>0</v>
      </c>
      <c r="H49" s="481">
        <f>[1]!'acct[10-23106].adjbal{1}'</f>
        <v>12470</v>
      </c>
      <c r="I49" s="481">
        <f>[1]!'acct[10-23107].adjbal{1}'</f>
        <v>0</v>
      </c>
      <c r="J49" s="481">
        <f>[1]!'acct[10-23108].adjbal{1}'</f>
        <v>0</v>
      </c>
      <c r="K49" s="1687">
        <f>SUM(C49:J49)</f>
        <v>106944</v>
      </c>
      <c r="L49" s="481">
        <v>131080</v>
      </c>
    </row>
    <row r="50" spans="1:14" x14ac:dyDescent="0.2">
      <c r="A50" s="1520" t="s">
        <v>872</v>
      </c>
      <c r="B50" s="615">
        <v>2320</v>
      </c>
      <c r="C50" s="481">
        <f>[1]!'acct[10-23201].adjbal{1}'</f>
        <v>109825</v>
      </c>
      <c r="D50" s="481">
        <f>[1]!'acct[10-23202].adjbal{1}'</f>
        <v>18664</v>
      </c>
      <c r="E50" s="481">
        <f>[1]!'acct[10-23203].adjbal{1}'</f>
        <v>1477</v>
      </c>
      <c r="F50" s="481">
        <f>[1]!'acct[10-23204].adjbal{1}'</f>
        <v>1607</v>
      </c>
      <c r="G50" s="481">
        <f>[1]!'acct[10-23205].adjbal{1}'</f>
        <v>0</v>
      </c>
      <c r="H50" s="481">
        <f>[1]!'acct[10-23206].adjbal{1}'</f>
        <v>2205</v>
      </c>
      <c r="I50" s="481">
        <f>[1]!'acct[10-23207].adjbal{1}'</f>
        <v>0</v>
      </c>
      <c r="J50" s="481">
        <f>[1]!'acct[10-23208].adjbal{1}'</f>
        <v>0</v>
      </c>
      <c r="K50" s="1687">
        <f>SUM(C50:J50)</f>
        <v>133778</v>
      </c>
      <c r="L50" s="466">
        <v>139665</v>
      </c>
    </row>
    <row r="51" spans="1:14" x14ac:dyDescent="0.2">
      <c r="A51" s="1520" t="s">
        <v>44</v>
      </c>
      <c r="B51" s="615">
        <v>2330</v>
      </c>
      <c r="C51" s="481">
        <f>[1]!'acct[10-23301].adjbal{1}'</f>
        <v>0</v>
      </c>
      <c r="D51" s="481">
        <f>[1]!'acct[10-23302].adjbal{1}'</f>
        <v>0</v>
      </c>
      <c r="E51" s="481">
        <f>[1]!'acct[10-23303].adjbal{1}'</f>
        <v>0</v>
      </c>
      <c r="F51" s="481">
        <f>[1]!'acct[10-23304].adjbal{1}'</f>
        <v>0</v>
      </c>
      <c r="G51" s="481">
        <f>[1]!'acct[10-23305].adjbal{1}'</f>
        <v>0</v>
      </c>
      <c r="H51" s="481">
        <f>[1]!'acct[10-23306].adjbal{1}'</f>
        <v>0</v>
      </c>
      <c r="I51" s="481">
        <f>[1]!'acct[10-23307].adjbal{1}'</f>
        <v>0</v>
      </c>
      <c r="J51" s="481">
        <f>[1]!'acct[10-23308].adjbal{1}'</f>
        <v>0</v>
      </c>
      <c r="K51" s="1687">
        <f>SUM(C51:J51)</f>
        <v>0</v>
      </c>
      <c r="L51" s="466"/>
    </row>
    <row r="52" spans="1:14" ht="22.5" x14ac:dyDescent="0.2">
      <c r="A52" s="1521" t="s">
        <v>316</v>
      </c>
      <c r="B52" s="628" t="s">
        <v>384</v>
      </c>
      <c r="C52" s="481">
        <f>[1]!'acct[10-23601].adjbal{1}'+[1]!'acct[10-23701].adjbal{1}'</f>
        <v>0</v>
      </c>
      <c r="D52" s="481">
        <f>[1]!'acct[10-23602].adjbal{1}'+[1]!'acct[10-23702].adjbal{1}'</f>
        <v>0</v>
      </c>
      <c r="E52" s="481">
        <f>[1]!'acct[10-23603].adjbal{1}'+[1]!'acct[10-23703].adjbal{1}'</f>
        <v>0</v>
      </c>
      <c r="F52" s="481">
        <f>[1]!'acct[10-23604].adjbal{1}'+[1]!'acct[10-23704].adjbal{1}'</f>
        <v>0</v>
      </c>
      <c r="G52" s="481">
        <f>[1]!'acct[10-23605].adjbal{1}'+[1]!'acct[10-23705].adjbal{1}'</f>
        <v>0</v>
      </c>
      <c r="H52" s="481">
        <f>[1]!'acct[10-23606].adjbal{1}'+[1]!'acct[10-23706].adjbal{1}'</f>
        <v>0</v>
      </c>
      <c r="I52" s="481">
        <f>[1]!'acct[10-23607].adjbal{1}'+[1]!'acct[10-23707].adjbal{1}'</f>
        <v>0</v>
      </c>
      <c r="J52" s="481">
        <f>[1]!'acct[10-23608].adjbal{1}'+[1]!'acct[10-23708].adjbal{1}'</f>
        <v>0</v>
      </c>
      <c r="K52" s="1687">
        <f>SUM(C52:J52)</f>
        <v>0</v>
      </c>
      <c r="L52" s="474"/>
    </row>
    <row r="53" spans="1:14" ht="12.75" customHeight="1" thickBot="1" x14ac:dyDescent="0.25">
      <c r="A53" s="1683" t="s">
        <v>741</v>
      </c>
      <c r="B53" s="1684" t="s">
        <v>33</v>
      </c>
      <c r="C53" s="1685">
        <f>SUM(C49:C52)</f>
        <v>112224</v>
      </c>
      <c r="D53" s="1685">
        <f t="shared" ref="D53:L53" si="5">SUM(D49:D52)</f>
        <v>18678</v>
      </c>
      <c r="E53" s="1685">
        <f t="shared" si="5"/>
        <v>84558</v>
      </c>
      <c r="F53" s="1685">
        <f t="shared" si="5"/>
        <v>10587</v>
      </c>
      <c r="G53" s="1685">
        <f t="shared" si="5"/>
        <v>0</v>
      </c>
      <c r="H53" s="1685">
        <f t="shared" si="5"/>
        <v>14675</v>
      </c>
      <c r="I53" s="1685">
        <f t="shared" si="5"/>
        <v>0</v>
      </c>
      <c r="J53" s="1685">
        <f t="shared" si="5"/>
        <v>0</v>
      </c>
      <c r="K53" s="1685">
        <f t="shared" si="5"/>
        <v>240722</v>
      </c>
      <c r="L53" s="1685">
        <f t="shared" si="5"/>
        <v>270745</v>
      </c>
    </row>
    <row r="54" spans="1:14" ht="15.75" customHeight="1" thickTop="1" x14ac:dyDescent="0.2">
      <c r="A54" s="625" t="s">
        <v>632</v>
      </c>
      <c r="B54" s="626"/>
      <c r="C54" s="627"/>
      <c r="D54" s="627"/>
      <c r="E54" s="627"/>
      <c r="F54" s="627"/>
      <c r="G54" s="627"/>
      <c r="H54" s="627"/>
      <c r="I54" s="617"/>
      <c r="J54" s="617"/>
      <c r="K54" s="627"/>
      <c r="L54" s="627"/>
    </row>
    <row r="55" spans="1:14" x14ac:dyDescent="0.2">
      <c r="A55" s="1520" t="s">
        <v>1127</v>
      </c>
      <c r="B55" s="615">
        <v>2410</v>
      </c>
      <c r="C55" s="481">
        <f>[1]!'acct[10-24101].adjbal{1}'</f>
        <v>559904</v>
      </c>
      <c r="D55" s="481">
        <f>[1]!'acct[10-24102].adjbal{1}'</f>
        <v>111399</v>
      </c>
      <c r="E55" s="481">
        <f>[1]!'acct[10-24103].adjbal{1}'</f>
        <v>12300</v>
      </c>
      <c r="F55" s="481">
        <f>[1]!'acct[10-24104].adjbal{1}'</f>
        <v>3300</v>
      </c>
      <c r="G55" s="481">
        <f>[1]!'acct[10-24105].adjbal{1}'</f>
        <v>0</v>
      </c>
      <c r="H55" s="481">
        <f>[1]!'acct[10-24106].adjbal{1}'</f>
        <v>0</v>
      </c>
      <c r="I55" s="481">
        <f>[1]!'acct[10-24107].adjbal{1}'</f>
        <v>0</v>
      </c>
      <c r="J55" s="481">
        <f>[1]!'acct[10-24108].adjbal{1}'</f>
        <v>0</v>
      </c>
      <c r="K55" s="1687">
        <f>SUM(C55:J55)</f>
        <v>686903</v>
      </c>
      <c r="L55" s="481">
        <v>787992</v>
      </c>
    </row>
    <row r="56" spans="1:14" ht="12.75" customHeight="1" x14ac:dyDescent="0.2">
      <c r="A56" s="1524" t="s">
        <v>394</v>
      </c>
      <c r="B56" s="629">
        <v>2490</v>
      </c>
      <c r="C56" s="481">
        <f>[1]!'acct[10-24901].adjbal{1}'</f>
        <v>0</v>
      </c>
      <c r="D56" s="481">
        <f>[1]!'acct[10-24902].adjbal{1}'</f>
        <v>0</v>
      </c>
      <c r="E56" s="481">
        <f>[1]!'acct[10-24903].adjbal{1}'</f>
        <v>0</v>
      </c>
      <c r="F56" s="481">
        <f>[1]!'acct[10-24904].adjbal{1}'</f>
        <v>0</v>
      </c>
      <c r="G56" s="481">
        <f>[1]!'acct[10-24905].adjbal{1}'</f>
        <v>0</v>
      </c>
      <c r="H56" s="481">
        <f>[1]!'acct[10-24906].adjbal{1}'</f>
        <v>0</v>
      </c>
      <c r="I56" s="481">
        <f>[1]!'acct[10-24907].adjbal{1}'</f>
        <v>0</v>
      </c>
      <c r="J56" s="481">
        <f>[1]!'acct[10-24908].adjbal{1}'</f>
        <v>0</v>
      </c>
      <c r="K56" s="1687">
        <f>SUM(C56:J56)</f>
        <v>0</v>
      </c>
      <c r="L56" s="466"/>
    </row>
    <row r="57" spans="1:14" s="343" customFormat="1" ht="12.75" customHeight="1" thickBot="1" x14ac:dyDescent="0.25">
      <c r="A57" s="1683" t="s">
        <v>281</v>
      </c>
      <c r="B57" s="1688" t="s">
        <v>34</v>
      </c>
      <c r="C57" s="1689">
        <f>SUM(C55:C56)</f>
        <v>559904</v>
      </c>
      <c r="D57" s="1689">
        <f t="shared" ref="D57:K57" si="6">SUM(D55:D56)</f>
        <v>111399</v>
      </c>
      <c r="E57" s="1689">
        <f t="shared" si="6"/>
        <v>12300</v>
      </c>
      <c r="F57" s="1689">
        <f t="shared" si="6"/>
        <v>3300</v>
      </c>
      <c r="G57" s="1689">
        <f t="shared" si="6"/>
        <v>0</v>
      </c>
      <c r="H57" s="1689">
        <f t="shared" si="6"/>
        <v>0</v>
      </c>
      <c r="I57" s="1689">
        <f t="shared" si="6"/>
        <v>0</v>
      </c>
      <c r="J57" s="1689">
        <f t="shared" si="6"/>
        <v>0</v>
      </c>
      <c r="K57" s="1689">
        <f t="shared" si="6"/>
        <v>686903</v>
      </c>
      <c r="L57" s="1685">
        <f>SUM(L55:L56)</f>
        <v>787992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0" t="s">
        <v>1128</v>
      </c>
      <c r="B59" s="615">
        <v>2510</v>
      </c>
      <c r="C59" s="481">
        <f>[1]!'acct[10-25101].adjbal{1}'</f>
        <v>55244</v>
      </c>
      <c r="D59" s="481">
        <f>[1]!'acct[10-25102].adjbal{1}'</f>
        <v>14573</v>
      </c>
      <c r="E59" s="481">
        <f>[1]!'acct[10-25103].adjbal{1}'</f>
        <v>0</v>
      </c>
      <c r="F59" s="481">
        <f>[1]!'acct[10-25104].adjbal{1}'</f>
        <v>0</v>
      </c>
      <c r="G59" s="481">
        <f>[1]!'acct[10-25105].adjbal{1}'</f>
        <v>0</v>
      </c>
      <c r="H59" s="481">
        <f>[1]!'acct[10-25106].adjbal{1}'</f>
        <v>0</v>
      </c>
      <c r="I59" s="481">
        <f>[1]!'acct[10-25107].adjbal{1}'</f>
        <v>0</v>
      </c>
      <c r="J59" s="481">
        <f>[1]!'acct[10-25108].adjbal{1}'</f>
        <v>0</v>
      </c>
      <c r="K59" s="1687">
        <f t="shared" ref="K59:K64" si="7">SUM(C59:J59)</f>
        <v>69817</v>
      </c>
      <c r="L59" s="481"/>
      <c r="M59" s="610"/>
      <c r="N59" s="610"/>
    </row>
    <row r="60" spans="1:14" s="343" customFormat="1" x14ac:dyDescent="0.2">
      <c r="A60" s="1520" t="s">
        <v>483</v>
      </c>
      <c r="B60" s="615">
        <v>2520</v>
      </c>
      <c r="C60" s="481">
        <f>[1]!'acct[10-25201].adjbal{1}'</f>
        <v>103357</v>
      </c>
      <c r="D60" s="481">
        <f>[1]!'acct[10-25202].adjbal{1}'</f>
        <v>14714</v>
      </c>
      <c r="E60" s="481">
        <f>[1]!'acct[10-25203].adjbal{1}'</f>
        <v>5420</v>
      </c>
      <c r="F60" s="481">
        <f>[1]!'acct[10-25204].adjbal{1}'</f>
        <v>5739</v>
      </c>
      <c r="G60" s="481">
        <f>[1]!'acct[10-25205].adjbal{1}'</f>
        <v>0</v>
      </c>
      <c r="H60" s="481">
        <f>[1]!'acct[10-25206].adjbal{1}'</f>
        <v>0</v>
      </c>
      <c r="I60" s="481">
        <f>[1]!'acct[10-25207].adjbal{1}'</f>
        <v>0</v>
      </c>
      <c r="J60" s="481">
        <f>[1]!'acct[10-25208].adjbal{1}'</f>
        <v>0</v>
      </c>
      <c r="K60" s="1687">
        <f t="shared" si="7"/>
        <v>129230</v>
      </c>
      <c r="L60" s="466">
        <v>128296</v>
      </c>
      <c r="M60" s="610"/>
      <c r="N60" s="610"/>
    </row>
    <row r="61" spans="1:14" s="343" customFormat="1" x14ac:dyDescent="0.2">
      <c r="A61" s="1520" t="s">
        <v>206</v>
      </c>
      <c r="B61" s="615">
        <v>2540</v>
      </c>
      <c r="C61" s="481">
        <f>[1]!'acct[10-25401].adjbal{1}'</f>
        <v>0</v>
      </c>
      <c r="D61" s="481">
        <f>[1]!'acct[10-25402].adjbal{1}'</f>
        <v>0</v>
      </c>
      <c r="E61" s="481">
        <f>[1]!'acct[10-25403].adjbal{1}'</f>
        <v>0</v>
      </c>
      <c r="F61" s="481">
        <f>[1]!'acct[10-25404].adjbal{1}'</f>
        <v>0</v>
      </c>
      <c r="G61" s="481">
        <f>[1]!'acct[10-25405].adjbal{1}'</f>
        <v>0</v>
      </c>
      <c r="H61" s="481">
        <f>[1]!'acct[10-25406].adjbal{1}'</f>
        <v>0</v>
      </c>
      <c r="I61" s="481">
        <f>[1]!'acct[10-25407].adjbal{1}'</f>
        <v>0</v>
      </c>
      <c r="J61" s="481">
        <f>[1]!'acct[10-25408].adjbal{1}'</f>
        <v>0</v>
      </c>
      <c r="K61" s="1687">
        <f t="shared" si="7"/>
        <v>0</v>
      </c>
      <c r="L61" s="466"/>
      <c r="M61" s="610"/>
      <c r="N61" s="610"/>
    </row>
    <row r="62" spans="1:14" s="343" customFormat="1" x14ac:dyDescent="0.2">
      <c r="A62" s="1520" t="s">
        <v>1010</v>
      </c>
      <c r="B62" s="615">
        <v>2550</v>
      </c>
      <c r="C62" s="481">
        <f>[1]!'acct[10-25501].adjbal{1}'</f>
        <v>0</v>
      </c>
      <c r="D62" s="481">
        <f>[1]!'acct[10-25502].adjbal{1}'</f>
        <v>0</v>
      </c>
      <c r="E62" s="481">
        <f>[1]!'acct[10-25503].adjbal{1}'</f>
        <v>0</v>
      </c>
      <c r="F62" s="481">
        <f>[1]!'acct[10-25504].adjbal{1}'</f>
        <v>0</v>
      </c>
      <c r="G62" s="481">
        <f>[1]!'acct[10-25505].adjbal{1}'</f>
        <v>0</v>
      </c>
      <c r="H62" s="481">
        <f>[1]!'acct[10-25506].adjbal{1}'</f>
        <v>0</v>
      </c>
      <c r="I62" s="481">
        <f>[1]!'acct[10-25507].adjbal{1}'</f>
        <v>0</v>
      </c>
      <c r="J62" s="481">
        <f>[1]!'acct[10-25508].adjbal{1}'</f>
        <v>0</v>
      </c>
      <c r="K62" s="1687">
        <f t="shared" si="7"/>
        <v>0</v>
      </c>
      <c r="L62" s="466"/>
      <c r="M62" s="610"/>
      <c r="N62" s="610"/>
    </row>
    <row r="63" spans="1:14" s="610" customFormat="1" x14ac:dyDescent="0.2">
      <c r="A63" s="1520" t="s">
        <v>102</v>
      </c>
      <c r="B63" s="615">
        <v>2560</v>
      </c>
      <c r="C63" s="481">
        <f>[1]!'acct[10-25601].adjbal{1}'</f>
        <v>163673</v>
      </c>
      <c r="D63" s="481">
        <f>[1]!'acct[10-25602].adjbal{1}'</f>
        <v>29161</v>
      </c>
      <c r="E63" s="481">
        <f>[1]!'acct[10-25603].adjbal{1}'</f>
        <v>12417</v>
      </c>
      <c r="F63" s="481">
        <f>[1]!'acct[10-25604].adjbal{1}'</f>
        <v>319462</v>
      </c>
      <c r="G63" s="481">
        <f>[1]!'acct[10-25605].adjbal{1}'</f>
        <v>1960</v>
      </c>
      <c r="H63" s="481">
        <f>[1]!'acct[10-25606].adjbal{1}'</f>
        <v>3260</v>
      </c>
      <c r="I63" s="481">
        <f>[1]!'acct[10-25607].adjbal{1}'</f>
        <v>0</v>
      </c>
      <c r="J63" s="481">
        <f>[1]!'acct[10-25608].adjbal{1}'</f>
        <v>0</v>
      </c>
      <c r="K63" s="1687">
        <f t="shared" si="7"/>
        <v>529933</v>
      </c>
      <c r="L63" s="466">
        <v>534891</v>
      </c>
    </row>
    <row r="64" spans="1:14" s="610" customFormat="1" x14ac:dyDescent="0.2">
      <c r="A64" s="1525" t="s">
        <v>103</v>
      </c>
      <c r="B64" s="631">
        <v>2570</v>
      </c>
      <c r="C64" s="481">
        <f>[1]!'acct[10-25701].adjbal{1}'</f>
        <v>0</v>
      </c>
      <c r="D64" s="481">
        <f>[1]!'acct[10-25702].adjbal{1}'</f>
        <v>0</v>
      </c>
      <c r="E64" s="481">
        <f>[1]!'acct[10-25703].adjbal{1}'</f>
        <v>0</v>
      </c>
      <c r="F64" s="481">
        <f>[1]!'acct[10-25704].adjbal{1}'</f>
        <v>0</v>
      </c>
      <c r="G64" s="481">
        <f>[1]!'acct[10-25705].adjbal{1}'</f>
        <v>0</v>
      </c>
      <c r="H64" s="481">
        <f>[1]!'acct[10-25706].adjbal{1}'</f>
        <v>0</v>
      </c>
      <c r="I64" s="481">
        <f>[1]!'acct[10-25707].adjbal{1}'</f>
        <v>0</v>
      </c>
      <c r="J64" s="481">
        <f>[1]!'acct[10-25708].adjbal{1}'</f>
        <v>0</v>
      </c>
      <c r="K64" s="1687">
        <f t="shared" si="7"/>
        <v>0</v>
      </c>
      <c r="L64" s="481"/>
    </row>
    <row r="65" spans="1:14" s="343" customFormat="1" ht="12.75" customHeight="1" thickBot="1" x14ac:dyDescent="0.25">
      <c r="A65" s="1683" t="s">
        <v>743</v>
      </c>
      <c r="B65" s="1684" t="s">
        <v>35</v>
      </c>
      <c r="C65" s="1685">
        <f>SUM(C59:C64)</f>
        <v>322274</v>
      </c>
      <c r="D65" s="1685">
        <f t="shared" ref="D65:L65" si="8">SUM(D59:D64)</f>
        <v>58448</v>
      </c>
      <c r="E65" s="1685">
        <f t="shared" si="8"/>
        <v>17837</v>
      </c>
      <c r="F65" s="1685">
        <f t="shared" si="8"/>
        <v>325201</v>
      </c>
      <c r="G65" s="1685">
        <f t="shared" si="8"/>
        <v>1960</v>
      </c>
      <c r="H65" s="1685">
        <f t="shared" si="8"/>
        <v>3260</v>
      </c>
      <c r="I65" s="1685">
        <f t="shared" si="8"/>
        <v>0</v>
      </c>
      <c r="J65" s="1685">
        <f t="shared" si="8"/>
        <v>0</v>
      </c>
      <c r="K65" s="1685">
        <f t="shared" si="8"/>
        <v>728980</v>
      </c>
      <c r="L65" s="1685">
        <f t="shared" si="8"/>
        <v>663187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0" t="s">
        <v>1120</v>
      </c>
      <c r="B67" s="615">
        <v>2610</v>
      </c>
      <c r="C67" s="481">
        <f>[1]!'acct[10-26101].adjbal{1}'</f>
        <v>0</v>
      </c>
      <c r="D67" s="481">
        <f>[1]!'acct[10-26102].adjbal{1}'</f>
        <v>0</v>
      </c>
      <c r="E67" s="481">
        <f>[1]!'acct[10-26103].adjbal{1}'</f>
        <v>0</v>
      </c>
      <c r="F67" s="481">
        <f>[1]!'acct[10-26104].adjbal{1}'</f>
        <v>0</v>
      </c>
      <c r="G67" s="481">
        <f>[1]!'acct[10-26105].adjbal{1}'</f>
        <v>0</v>
      </c>
      <c r="H67" s="481">
        <f>[1]!'acct[10-26106].adjbal{1}'</f>
        <v>0</v>
      </c>
      <c r="I67" s="481">
        <f>[1]!'acct[10-26107].adjbal{1}'</f>
        <v>0</v>
      </c>
      <c r="J67" s="481">
        <f>[1]!'acct[10-26108].adjbal{1}'</f>
        <v>0</v>
      </c>
      <c r="K67" s="1687">
        <f>SUM(C67:J67)</f>
        <v>0</v>
      </c>
      <c r="L67" s="481"/>
      <c r="M67" s="610"/>
      <c r="N67" s="610"/>
    </row>
    <row r="68" spans="1:14" s="343" customFormat="1" x14ac:dyDescent="0.2">
      <c r="A68" s="1520" t="s">
        <v>628</v>
      </c>
      <c r="B68" s="615">
        <v>2620</v>
      </c>
      <c r="C68" s="481">
        <f>[1]!'acct[10-26201].adjbal{1}'</f>
        <v>0</v>
      </c>
      <c r="D68" s="481">
        <f>[1]!'acct[10-26202].adjbal{1}'</f>
        <v>0</v>
      </c>
      <c r="E68" s="481">
        <f>[1]!'acct[10-26203].adjbal{1}'</f>
        <v>0</v>
      </c>
      <c r="F68" s="481">
        <f>[1]!'acct[10-26204].adjbal{1}'</f>
        <v>0</v>
      </c>
      <c r="G68" s="481">
        <f>[1]!'acct[10-26205].adjbal{1}'</f>
        <v>0</v>
      </c>
      <c r="H68" s="481">
        <f>[1]!'acct[10-26206].adjbal{1}'</f>
        <v>0</v>
      </c>
      <c r="I68" s="481">
        <f>[1]!'acct[10-26207].adjbal{1}'</f>
        <v>0</v>
      </c>
      <c r="J68" s="481">
        <f>[1]!'acct[10-26208].adjbal{1}'</f>
        <v>0</v>
      </c>
      <c r="K68" s="1687">
        <f>SUM(C68:J68)</f>
        <v>0</v>
      </c>
      <c r="L68" s="466"/>
      <c r="M68" s="610"/>
      <c r="N68" s="610"/>
    </row>
    <row r="69" spans="1:14" s="343" customFormat="1" x14ac:dyDescent="0.2">
      <c r="A69" s="1520" t="s">
        <v>1121</v>
      </c>
      <c r="B69" s="615">
        <v>2630</v>
      </c>
      <c r="C69" s="481">
        <f>[1]!'acct[10-26301].adjbal{1}'</f>
        <v>0</v>
      </c>
      <c r="D69" s="481">
        <f>[1]!'acct[10-26302].adjbal{1}'</f>
        <v>0</v>
      </c>
      <c r="E69" s="481">
        <f>[1]!'acct[10-26303].adjbal{1}'</f>
        <v>0</v>
      </c>
      <c r="F69" s="481">
        <f>[1]!'acct[10-26304].adjbal{1}'</f>
        <v>0</v>
      </c>
      <c r="G69" s="481">
        <f>[1]!'acct[10-26305].adjbal{1}'</f>
        <v>0</v>
      </c>
      <c r="H69" s="481">
        <f>[1]!'acct[10-26306].adjbal{1}'</f>
        <v>0</v>
      </c>
      <c r="I69" s="481">
        <f>[1]!'acct[10-26307].adjbal{1}'</f>
        <v>0</v>
      </c>
      <c r="J69" s="481">
        <f>[1]!'acct[10-26308].adjbal{1}'</f>
        <v>0</v>
      </c>
      <c r="K69" s="1687">
        <f>SUM(C69:J69)</f>
        <v>0</v>
      </c>
      <c r="L69" s="466"/>
      <c r="M69" s="610"/>
      <c r="N69" s="610"/>
    </row>
    <row r="70" spans="1:14" s="343" customFormat="1" x14ac:dyDescent="0.2">
      <c r="A70" s="1520" t="s">
        <v>423</v>
      </c>
      <c r="B70" s="615">
        <v>2640</v>
      </c>
      <c r="C70" s="481">
        <f>[1]!'acct[10-26401].adjbal{1}'</f>
        <v>0</v>
      </c>
      <c r="D70" s="481">
        <f>[1]!'acct[10-26402].adjbal{1}'</f>
        <v>0</v>
      </c>
      <c r="E70" s="481">
        <f>[1]!'acct[10-26403].adjbal{1}'</f>
        <v>0</v>
      </c>
      <c r="F70" s="481">
        <f>[1]!'acct[10-26404].adjbal{1}'</f>
        <v>0</v>
      </c>
      <c r="G70" s="481">
        <f>[1]!'acct[10-26405].adjbal{1}'</f>
        <v>0</v>
      </c>
      <c r="H70" s="481">
        <f>[1]!'acct[10-26406].adjbal{1}'</f>
        <v>0</v>
      </c>
      <c r="I70" s="481">
        <f>[1]!'acct[10-26407].adjbal{1}'</f>
        <v>0</v>
      </c>
      <c r="J70" s="481">
        <f>[1]!'acct[10-26408].adjbal{1}'</f>
        <v>0</v>
      </c>
      <c r="K70" s="1687">
        <f>SUM(C70:J70)</f>
        <v>0</v>
      </c>
      <c r="L70" s="466"/>
      <c r="M70" s="610"/>
      <c r="N70" s="610"/>
    </row>
    <row r="71" spans="1:14" s="343" customFormat="1" x14ac:dyDescent="0.2">
      <c r="A71" s="1520" t="s">
        <v>424</v>
      </c>
      <c r="B71" s="615">
        <v>2660</v>
      </c>
      <c r="C71" s="481">
        <f>[1]!'acct[10-26601].adjbal{1}'</f>
        <v>0</v>
      </c>
      <c r="D71" s="481">
        <f>[1]!'acct[10-26602].adjbal{1}'</f>
        <v>0</v>
      </c>
      <c r="E71" s="481">
        <f>[1]!'acct[10-26603].adjbal{1}'</f>
        <v>0</v>
      </c>
      <c r="F71" s="481">
        <f>[1]!'acct[10-26604].adjbal{1}'</f>
        <v>0</v>
      </c>
      <c r="G71" s="481">
        <f>[1]!'acct[10-26605].adjbal{1}'</f>
        <v>0</v>
      </c>
      <c r="H71" s="481">
        <f>[1]!'acct[10-26606].adjbal{1}'</f>
        <v>0</v>
      </c>
      <c r="I71" s="481">
        <f>[1]!'acct[10-26607].adjbal{1}'</f>
        <v>0</v>
      </c>
      <c r="J71" s="481">
        <f>[1]!'acct[10-26608].adjbal{1}'</f>
        <v>0</v>
      </c>
      <c r="K71" s="1687">
        <f>SUM(C71:J71)</f>
        <v>0</v>
      </c>
      <c r="L71" s="466"/>
      <c r="M71" s="610"/>
      <c r="N71" s="610"/>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10"/>
      <c r="N72" s="610"/>
    </row>
    <row r="73" spans="1:14" s="343" customFormat="1" ht="14.25" thickTop="1" thickBot="1" x14ac:dyDescent="0.25">
      <c r="A73" s="1526" t="s">
        <v>1037</v>
      </c>
      <c r="B73" s="633" t="s">
        <v>595</v>
      </c>
      <c r="C73" s="573">
        <f>[1]!'acct[10-29001].adjbal{1}'</f>
        <v>0</v>
      </c>
      <c r="D73" s="573">
        <f>[1]!'acct[10-29002].adjbal{1}'</f>
        <v>0</v>
      </c>
      <c r="E73" s="573">
        <f>[1]!'acct[10-29003].adjbal{1}'</f>
        <v>0</v>
      </c>
      <c r="F73" s="573">
        <f>[1]!'acct[10-29004].adjbal{1}'</f>
        <v>0</v>
      </c>
      <c r="G73" s="573">
        <f>[1]!'acct[10-29005].adjbal{1}'</f>
        <v>0</v>
      </c>
      <c r="H73" s="573">
        <f>[1]!'acct[10-29006].adjbal{1}'</f>
        <v>0</v>
      </c>
      <c r="I73" s="573">
        <f>[1]!'acct[10-29007].adjbal{1}'</f>
        <v>0</v>
      </c>
      <c r="J73" s="573">
        <f>[1]!'acct[10-29008].adjbal{1}'</f>
        <v>0</v>
      </c>
      <c r="K73" s="1685">
        <f>SUM(C73:J73)</f>
        <v>0</v>
      </c>
      <c r="L73" s="576"/>
      <c r="M73" s="610"/>
      <c r="N73" s="610"/>
    </row>
    <row r="74" spans="1:14" ht="12.75" customHeight="1" thickTop="1" thickBot="1" x14ac:dyDescent="0.25">
      <c r="A74" s="1683" t="s">
        <v>865</v>
      </c>
      <c r="B74" s="1691">
        <v>2000</v>
      </c>
      <c r="C74" s="1692">
        <f>SUM(C42,C47,C53,C57,C65,C72,C73)</f>
        <v>1389948</v>
      </c>
      <c r="D74" s="1692">
        <f t="shared" ref="D74:K74" si="10">SUM(D42,D47,D53,D57,D65,D72,D73)</f>
        <v>267306</v>
      </c>
      <c r="E74" s="1692">
        <f t="shared" si="10"/>
        <v>178798</v>
      </c>
      <c r="F74" s="1692">
        <f t="shared" si="10"/>
        <v>356819</v>
      </c>
      <c r="G74" s="1692">
        <f t="shared" si="10"/>
        <v>66688</v>
      </c>
      <c r="H74" s="1692">
        <f t="shared" si="10"/>
        <v>17935</v>
      </c>
      <c r="I74" s="1692">
        <f t="shared" si="10"/>
        <v>0</v>
      </c>
      <c r="J74" s="1692">
        <f t="shared" si="10"/>
        <v>0</v>
      </c>
      <c r="K74" s="1692">
        <f t="shared" si="10"/>
        <v>2277494</v>
      </c>
      <c r="L74" s="1692">
        <f>SUM(L42,L47,L53,L57,L65,L72,L73)</f>
        <v>2450998</v>
      </c>
    </row>
    <row r="75" spans="1:14" s="259" customFormat="1" ht="15.75" customHeight="1" thickTop="1" thickBot="1" x14ac:dyDescent="0.25">
      <c r="A75" s="1626" t="s">
        <v>49</v>
      </c>
      <c r="B75" s="1627" t="s">
        <v>596</v>
      </c>
      <c r="C75" s="573">
        <f>[1]!'acct[10-30001].adjbal{1}'</f>
        <v>7329</v>
      </c>
      <c r="D75" s="573">
        <f>[1]!'acct[10-30002].adjbal{1}'</f>
        <v>0</v>
      </c>
      <c r="E75" s="573">
        <f>[1]!'acct[10-30003].adjbal{1}'</f>
        <v>0</v>
      </c>
      <c r="F75" s="573">
        <f>[1]!'acct[10-30004].adjbal{1}'</f>
        <v>0</v>
      </c>
      <c r="G75" s="573">
        <f>[1]!'acct[10-30005].adjbal{1}'</f>
        <v>0</v>
      </c>
      <c r="H75" s="573">
        <f>[1]!'acct[10-30006].adjbal{1}'</f>
        <v>0</v>
      </c>
      <c r="I75" s="573">
        <f>[1]!'acct[10-30007].adjbal{1}'</f>
        <v>0</v>
      </c>
      <c r="J75" s="573">
        <f>[1]!'acct[10-30008].adjbal{1}'</f>
        <v>0</v>
      </c>
      <c r="K75" s="1685">
        <f>SUM(C75:J75)</f>
        <v>7329</v>
      </c>
      <c r="L75" s="576">
        <v>7329</v>
      </c>
      <c r="M75" s="614"/>
      <c r="N75" s="614"/>
    </row>
    <row r="76" spans="1:14" s="634" customFormat="1" ht="15.75" customHeight="1" thickTop="1" x14ac:dyDescent="0.2">
      <c r="A76" s="1628" t="s">
        <v>383</v>
      </c>
      <c r="B76" s="1625"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0" t="s">
        <v>517</v>
      </c>
      <c r="B78" s="615">
        <v>4110</v>
      </c>
      <c r="C78" s="617"/>
      <c r="D78" s="617"/>
      <c r="E78" s="481">
        <f>[1]!'acct[10-41103].adjbal{1}'</f>
        <v>0</v>
      </c>
      <c r="F78" s="617"/>
      <c r="G78" s="617"/>
      <c r="H78" s="481">
        <f>[1]!'acct[10-41106].adjbal{1}'</f>
        <v>0</v>
      </c>
      <c r="I78" s="477"/>
      <c r="J78" s="477"/>
      <c r="K78" s="1686">
        <f t="shared" ref="K78:K83" si="11">SUM(C78:J78)</f>
        <v>0</v>
      </c>
      <c r="L78" s="481"/>
    </row>
    <row r="79" spans="1:14" x14ac:dyDescent="0.2">
      <c r="A79" s="1520" t="s">
        <v>322</v>
      </c>
      <c r="B79" s="615">
        <v>4120</v>
      </c>
      <c r="C79" s="617"/>
      <c r="D79" s="617"/>
      <c r="E79" s="481">
        <f>[1]!'acct[10-41203].adjbal{1}'</f>
        <v>0</v>
      </c>
      <c r="F79" s="617"/>
      <c r="G79" s="617"/>
      <c r="H79" s="481">
        <f>[1]!'acct[10-41206].adjbal{1}'</f>
        <v>0</v>
      </c>
      <c r="I79" s="477"/>
      <c r="J79" s="477"/>
      <c r="K79" s="1686">
        <f t="shared" si="11"/>
        <v>0</v>
      </c>
      <c r="L79" s="466">
        <v>253260</v>
      </c>
    </row>
    <row r="80" spans="1:14" x14ac:dyDescent="0.2">
      <c r="A80" s="1520" t="s">
        <v>323</v>
      </c>
      <c r="B80" s="615">
        <v>4130</v>
      </c>
      <c r="C80" s="617"/>
      <c r="D80" s="617"/>
      <c r="E80" s="481">
        <f>[1]!'acct[10-41303].adjbal{1}'</f>
        <v>0</v>
      </c>
      <c r="F80" s="617"/>
      <c r="G80" s="617"/>
      <c r="H80" s="481">
        <f>[1]!'acct[10-41306].adjbal{1}'</f>
        <v>0</v>
      </c>
      <c r="I80" s="477"/>
      <c r="J80" s="477"/>
      <c r="K80" s="1686">
        <f t="shared" si="11"/>
        <v>0</v>
      </c>
      <c r="L80" s="466"/>
    </row>
    <row r="81" spans="1:12" x14ac:dyDescent="0.2">
      <c r="A81" s="1520" t="s">
        <v>721</v>
      </c>
      <c r="B81" s="615">
        <v>4140</v>
      </c>
      <c r="C81" s="617"/>
      <c r="D81" s="617"/>
      <c r="E81" s="481">
        <f>[1]!'acct[10-41403].adjbal{1}'</f>
        <v>0</v>
      </c>
      <c r="F81" s="617"/>
      <c r="G81" s="617"/>
      <c r="H81" s="481">
        <f>[1]!'acct[10-41406].adjbal{1}'</f>
        <v>0</v>
      </c>
      <c r="I81" s="477"/>
      <c r="J81" s="477"/>
      <c r="K81" s="1686">
        <f t="shared" si="11"/>
        <v>0</v>
      </c>
      <c r="L81" s="466"/>
    </row>
    <row r="82" spans="1:12" x14ac:dyDescent="0.2">
      <c r="A82" s="1520" t="s">
        <v>88</v>
      </c>
      <c r="B82" s="615">
        <v>4170</v>
      </c>
      <c r="C82" s="617"/>
      <c r="D82" s="617"/>
      <c r="E82" s="481">
        <f>[1]!'acct[10-41703].adjbal{1}'</f>
        <v>0</v>
      </c>
      <c r="F82" s="617"/>
      <c r="G82" s="617"/>
      <c r="H82" s="481">
        <f>[1]!'acct[10-41706].adjbal{1}'</f>
        <v>0</v>
      </c>
      <c r="I82" s="477"/>
      <c r="J82" s="477"/>
      <c r="K82" s="1686">
        <f t="shared" si="11"/>
        <v>0</v>
      </c>
      <c r="L82" s="466"/>
    </row>
    <row r="83" spans="1:12" x14ac:dyDescent="0.2">
      <c r="A83" s="1524" t="s">
        <v>722</v>
      </c>
      <c r="B83" s="629">
        <v>4190</v>
      </c>
      <c r="C83" s="617"/>
      <c r="D83" s="617"/>
      <c r="E83" s="481">
        <f>[1]!'acct[10-41903].adjbal{1}'</f>
        <v>0</v>
      </c>
      <c r="F83" s="617"/>
      <c r="G83" s="617"/>
      <c r="H83" s="481">
        <f>[1]!'acct[10-41906].adjbal{1}'</f>
        <v>0</v>
      </c>
      <c r="I83" s="477"/>
      <c r="J83" s="477"/>
      <c r="K83" s="1686">
        <f t="shared" si="11"/>
        <v>0</v>
      </c>
      <c r="L83" s="466"/>
    </row>
    <row r="84" spans="1:12" ht="13.5" thickBot="1" x14ac:dyDescent="0.25">
      <c r="A84" s="1683" t="s">
        <v>1565</v>
      </c>
      <c r="B84" s="1693">
        <v>4100</v>
      </c>
      <c r="C84" s="617"/>
      <c r="D84" s="617"/>
      <c r="E84" s="1685">
        <f>SUM(E78:E83)</f>
        <v>0</v>
      </c>
      <c r="F84" s="617"/>
      <c r="G84" s="617"/>
      <c r="H84" s="1685">
        <f>SUM(H78:H83)</f>
        <v>0</v>
      </c>
      <c r="I84" s="477"/>
      <c r="J84" s="477"/>
      <c r="K84" s="1685">
        <f>SUM(K78:K83)</f>
        <v>0</v>
      </c>
      <c r="L84" s="1685">
        <f>SUM(L78:L83)</f>
        <v>253260</v>
      </c>
    </row>
    <row r="85" spans="1:12" ht="12.75" customHeight="1" thickTop="1" thickBot="1" x14ac:dyDescent="0.25">
      <c r="A85" s="1527" t="s">
        <v>273</v>
      </c>
      <c r="B85" s="635">
        <v>4210</v>
      </c>
      <c r="C85" s="617"/>
      <c r="D85" s="617"/>
      <c r="E85" s="636"/>
      <c r="F85" s="617"/>
      <c r="G85" s="617"/>
      <c r="H85" s="535">
        <f>[1]!'acct[10-42106].adjbal{1}'</f>
        <v>0</v>
      </c>
      <c r="I85" s="477"/>
      <c r="J85" s="477"/>
      <c r="K85" s="1692">
        <f>H85</f>
        <v>0</v>
      </c>
      <c r="L85" s="530"/>
    </row>
    <row r="86" spans="1:12" ht="12.75" customHeight="1" thickTop="1" thickBot="1" x14ac:dyDescent="0.25">
      <c r="A86" s="1528" t="s">
        <v>723</v>
      </c>
      <c r="B86" s="637">
        <v>4220</v>
      </c>
      <c r="C86" s="617"/>
      <c r="D86" s="617"/>
      <c r="E86" s="638"/>
      <c r="F86" s="617"/>
      <c r="G86" s="617"/>
      <c r="H86" s="467">
        <f>[1]!'acct[10-42206].adjbal{1}'</f>
        <v>253259</v>
      </c>
      <c r="I86" s="477"/>
      <c r="J86" s="477"/>
      <c r="K86" s="1692">
        <f t="shared" ref="K86:K98" si="12">H86</f>
        <v>253259</v>
      </c>
      <c r="L86" s="530"/>
    </row>
    <row r="87" spans="1:12" ht="14.25" thickTop="1" thickBot="1" x14ac:dyDescent="0.25">
      <c r="A87" s="1529" t="s">
        <v>724</v>
      </c>
      <c r="B87" s="639">
        <v>4230</v>
      </c>
      <c r="C87" s="617"/>
      <c r="D87" s="617"/>
      <c r="E87" s="638"/>
      <c r="F87" s="617"/>
      <c r="G87" s="617"/>
      <c r="H87" s="467">
        <f>[1]!'acct[10-42306].adjbal{1}'</f>
        <v>0</v>
      </c>
      <c r="I87" s="477"/>
      <c r="J87" s="477"/>
      <c r="K87" s="1692">
        <f t="shared" si="12"/>
        <v>0</v>
      </c>
      <c r="L87" s="530"/>
    </row>
    <row r="88" spans="1:12" ht="12.75" customHeight="1" thickTop="1" thickBot="1" x14ac:dyDescent="0.25">
      <c r="A88" s="1529" t="s">
        <v>789</v>
      </c>
      <c r="B88" s="639">
        <v>4240</v>
      </c>
      <c r="C88" s="617"/>
      <c r="D88" s="617"/>
      <c r="E88" s="638"/>
      <c r="F88" s="617"/>
      <c r="G88" s="617"/>
      <c r="H88" s="467">
        <f>[1]!'acct[10-42406].adjbal{1}'</f>
        <v>0</v>
      </c>
      <c r="I88" s="477"/>
      <c r="J88" s="477"/>
      <c r="K88" s="1692">
        <f t="shared" si="12"/>
        <v>0</v>
      </c>
      <c r="L88" s="530"/>
    </row>
    <row r="89" spans="1:12" ht="12.75" customHeight="1" thickTop="1" thickBot="1" x14ac:dyDescent="0.25">
      <c r="A89" s="1529" t="s">
        <v>725</v>
      </c>
      <c r="B89" s="639">
        <v>4270</v>
      </c>
      <c r="C89" s="617"/>
      <c r="D89" s="617"/>
      <c r="E89" s="638"/>
      <c r="F89" s="617"/>
      <c r="G89" s="617"/>
      <c r="H89" s="467">
        <f>[1]!'acct[10-42706].adjbal{1}'</f>
        <v>0</v>
      </c>
      <c r="I89" s="477"/>
      <c r="J89" s="477"/>
      <c r="K89" s="1692">
        <f t="shared" si="12"/>
        <v>0</v>
      </c>
      <c r="L89" s="530"/>
    </row>
    <row r="90" spans="1:12" ht="12.75" customHeight="1" thickTop="1" thickBot="1" x14ac:dyDescent="0.25">
      <c r="A90" s="1529" t="s">
        <v>710</v>
      </c>
      <c r="B90" s="639">
        <v>4280</v>
      </c>
      <c r="C90" s="617"/>
      <c r="D90" s="617"/>
      <c r="E90" s="638"/>
      <c r="F90" s="617"/>
      <c r="G90" s="617"/>
      <c r="H90" s="467">
        <f>[1]!'acct[10-42806].adjbal{1}'</f>
        <v>0</v>
      </c>
      <c r="I90" s="477"/>
      <c r="J90" s="477"/>
      <c r="K90" s="1692">
        <f t="shared" si="12"/>
        <v>0</v>
      </c>
      <c r="L90" s="530"/>
    </row>
    <row r="91" spans="1:12" ht="12.75" customHeight="1" thickTop="1" thickBot="1" x14ac:dyDescent="0.25">
      <c r="A91" s="1529" t="s">
        <v>711</v>
      </c>
      <c r="B91" s="639">
        <v>4290</v>
      </c>
      <c r="C91" s="617"/>
      <c r="D91" s="617"/>
      <c r="E91" s="638"/>
      <c r="F91" s="617"/>
      <c r="G91" s="617"/>
      <c r="H91" s="467">
        <f>[1]!'acct[10-42906].adjbal{1}'</f>
        <v>0</v>
      </c>
      <c r="I91" s="477"/>
      <c r="J91" s="477"/>
      <c r="K91" s="1692">
        <f t="shared" si="12"/>
        <v>0</v>
      </c>
      <c r="L91" s="530"/>
    </row>
    <row r="92" spans="1:12" ht="14.25" thickTop="1" thickBot="1" x14ac:dyDescent="0.25">
      <c r="A92" s="1695" t="s">
        <v>1641</v>
      </c>
      <c r="B92" s="1693">
        <v>4200</v>
      </c>
      <c r="C92" s="617"/>
      <c r="D92" s="617"/>
      <c r="E92" s="638"/>
      <c r="F92" s="617"/>
      <c r="G92" s="617"/>
      <c r="H92" s="1685">
        <f>SUM(H85:H91)</f>
        <v>253259</v>
      </c>
      <c r="I92" s="477"/>
      <c r="J92" s="477"/>
      <c r="K92" s="1692">
        <f t="shared" si="12"/>
        <v>253259</v>
      </c>
      <c r="L92" s="1685">
        <f>SUM(L85:L91)</f>
        <v>0</v>
      </c>
    </row>
    <row r="93" spans="1:12" ht="14.25" thickTop="1" thickBot="1" x14ac:dyDescent="0.25">
      <c r="A93" s="1528" t="s">
        <v>712</v>
      </c>
      <c r="B93" s="640">
        <v>4310</v>
      </c>
      <c r="C93" s="617"/>
      <c r="D93" s="617"/>
      <c r="E93" s="638"/>
      <c r="F93" s="617"/>
      <c r="G93" s="617"/>
      <c r="H93" s="641">
        <f>[1]!'acct[10-43106].adjbal{1}'</f>
        <v>0</v>
      </c>
      <c r="I93" s="477"/>
      <c r="J93" s="477"/>
      <c r="K93" s="1692">
        <f t="shared" si="12"/>
        <v>0</v>
      </c>
      <c r="L93" s="532"/>
    </row>
    <row r="94" spans="1:12" ht="12.75" customHeight="1" thickTop="1" thickBot="1" x14ac:dyDescent="0.25">
      <c r="A94" s="1529" t="s">
        <v>713</v>
      </c>
      <c r="B94" s="639">
        <v>4320</v>
      </c>
      <c r="C94" s="617"/>
      <c r="D94" s="617"/>
      <c r="E94" s="638"/>
      <c r="F94" s="617"/>
      <c r="G94" s="617"/>
      <c r="H94" s="467">
        <f>[1]!'acct[10-43206].adjbal{1}'</f>
        <v>0</v>
      </c>
      <c r="I94" s="477"/>
      <c r="J94" s="477"/>
      <c r="K94" s="1692">
        <f t="shared" si="12"/>
        <v>0</v>
      </c>
      <c r="L94" s="530"/>
    </row>
    <row r="95" spans="1:12" ht="15" customHeight="1" thickTop="1" thickBot="1" x14ac:dyDescent="0.25">
      <c r="A95" s="1529" t="s">
        <v>1568</v>
      </c>
      <c r="B95" s="639">
        <v>4330</v>
      </c>
      <c r="C95" s="617"/>
      <c r="D95" s="617"/>
      <c r="E95" s="638"/>
      <c r="F95" s="617"/>
      <c r="G95" s="617"/>
      <c r="H95" s="467">
        <f>[1]!'acct[10-43306].adjbal{1}'</f>
        <v>0</v>
      </c>
      <c r="I95" s="477"/>
      <c r="J95" s="477"/>
      <c r="K95" s="1692">
        <f t="shared" si="12"/>
        <v>0</v>
      </c>
      <c r="L95" s="530"/>
    </row>
    <row r="96" spans="1:12" ht="14.25" thickTop="1" thickBot="1" x14ac:dyDescent="0.25">
      <c r="A96" s="1529" t="s">
        <v>714</v>
      </c>
      <c r="B96" s="639">
        <v>4340</v>
      </c>
      <c r="C96" s="617"/>
      <c r="D96" s="617"/>
      <c r="E96" s="638"/>
      <c r="F96" s="617"/>
      <c r="G96" s="617"/>
      <c r="H96" s="467">
        <f>[1]!'acct[10-43406].adjbal{1}'</f>
        <v>0</v>
      </c>
      <c r="I96" s="477"/>
      <c r="J96" s="477"/>
      <c r="K96" s="1692">
        <f t="shared" si="12"/>
        <v>0</v>
      </c>
      <c r="L96" s="530"/>
    </row>
    <row r="97" spans="1:14" ht="12.75" customHeight="1" thickTop="1" thickBot="1" x14ac:dyDescent="0.25">
      <c r="A97" s="1529" t="s">
        <v>787</v>
      </c>
      <c r="B97" s="639">
        <v>4370</v>
      </c>
      <c r="C97" s="617"/>
      <c r="D97" s="617"/>
      <c r="E97" s="638"/>
      <c r="F97" s="617"/>
      <c r="G97" s="617"/>
      <c r="H97" s="467">
        <f>[1]!'acct[10-43706].adjbal{1}'</f>
        <v>0</v>
      </c>
      <c r="I97" s="477"/>
      <c r="J97" s="477"/>
      <c r="K97" s="1692">
        <f t="shared" si="12"/>
        <v>0</v>
      </c>
      <c r="L97" s="530"/>
    </row>
    <row r="98" spans="1:14" ht="14.25" thickTop="1" thickBot="1" x14ac:dyDescent="0.25">
      <c r="A98" s="1529" t="s">
        <v>788</v>
      </c>
      <c r="B98" s="639">
        <v>4380</v>
      </c>
      <c r="C98" s="617"/>
      <c r="D98" s="617"/>
      <c r="E98" s="642"/>
      <c r="F98" s="617"/>
      <c r="G98" s="617"/>
      <c r="H98" s="467">
        <f>[1]!'acct[10-43806].adjbal{1}'</f>
        <v>0</v>
      </c>
      <c r="I98" s="477"/>
      <c r="J98" s="477"/>
      <c r="K98" s="1692">
        <f t="shared" si="12"/>
        <v>0</v>
      </c>
      <c r="L98" s="530"/>
    </row>
    <row r="99" spans="1:14" ht="14.25" thickTop="1" thickBot="1" x14ac:dyDescent="0.25">
      <c r="A99" s="1529" t="s">
        <v>385</v>
      </c>
      <c r="B99" s="639">
        <v>4390</v>
      </c>
      <c r="C99" s="617"/>
      <c r="D99" s="617"/>
      <c r="E99" s="532">
        <f>[1]!'acct[10-43903].adjbal{1}'</f>
        <v>0</v>
      </c>
      <c r="F99" s="617"/>
      <c r="G99" s="617"/>
      <c r="H99" s="467">
        <f>[1]!'acct[10-43906].adjbal{1}'</f>
        <v>0</v>
      </c>
      <c r="I99" s="477"/>
      <c r="J99" s="477"/>
      <c r="K99" s="1692">
        <f>SUM(E99,H99)</f>
        <v>0</v>
      </c>
      <c r="L99" s="530"/>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26" t="s">
        <v>1569</v>
      </c>
      <c r="B101" s="643" t="s">
        <v>988</v>
      </c>
      <c r="C101" s="617"/>
      <c r="D101" s="617"/>
      <c r="E101" s="531">
        <f>[1]!'acct[10-44003].adjbal{1}'</f>
        <v>0</v>
      </c>
      <c r="F101" s="617"/>
      <c r="G101" s="617"/>
      <c r="H101" s="531">
        <f>[1]!'acct[10-44006].adjbal{1}'</f>
        <v>0</v>
      </c>
      <c r="I101" s="477"/>
      <c r="J101" s="477"/>
      <c r="K101" s="1694">
        <f>SUM(C101:J101)</f>
        <v>0</v>
      </c>
      <c r="L101" s="530"/>
    </row>
    <row r="102" spans="1:14" ht="12.75" customHeight="1" thickTop="1" thickBot="1" x14ac:dyDescent="0.25">
      <c r="A102" s="1683" t="s">
        <v>1567</v>
      </c>
      <c r="B102" s="1693">
        <v>4000</v>
      </c>
      <c r="C102" s="617"/>
      <c r="D102" s="617"/>
      <c r="E102" s="1692">
        <f>SUM(E84,E92,E100,E101)</f>
        <v>0</v>
      </c>
      <c r="F102" s="617"/>
      <c r="G102" s="617"/>
      <c r="H102" s="1692">
        <f>SUM(H84,H92,H100,H101)</f>
        <v>253259</v>
      </c>
      <c r="I102" s="477"/>
      <c r="J102" s="477"/>
      <c r="K102" s="1692">
        <f>SUM(K84,K92,K100,K101)</f>
        <v>253259</v>
      </c>
      <c r="L102" s="1692">
        <f>SUM(L84,L92,L100,L101)</f>
        <v>253260</v>
      </c>
    </row>
    <row r="103" spans="1:14" s="634" customFormat="1" ht="15.75" customHeight="1" thickTop="1" x14ac:dyDescent="0.2">
      <c r="A103" s="1628" t="s">
        <v>534</v>
      </c>
      <c r="B103" s="1625"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0" t="s">
        <v>89</v>
      </c>
      <c r="B105" s="615">
        <v>5110</v>
      </c>
      <c r="C105" s="617"/>
      <c r="D105" s="617"/>
      <c r="E105" s="617"/>
      <c r="F105" s="617"/>
      <c r="G105" s="617"/>
      <c r="H105" s="481">
        <f>[1]!'acct[10-51106].adjbal{1}'</f>
        <v>0</v>
      </c>
      <c r="I105" s="468"/>
      <c r="J105" s="468"/>
      <c r="K105" s="1686">
        <f>H105</f>
        <v>0</v>
      </c>
      <c r="L105" s="481"/>
      <c r="M105" s="210"/>
      <c r="N105" s="210"/>
    </row>
    <row r="106" spans="1:14" s="598" customFormat="1" x14ac:dyDescent="0.2">
      <c r="A106" s="1520" t="s">
        <v>90</v>
      </c>
      <c r="B106" s="615">
        <v>5120</v>
      </c>
      <c r="C106" s="617"/>
      <c r="D106" s="617"/>
      <c r="E106" s="617"/>
      <c r="F106" s="617"/>
      <c r="G106" s="617"/>
      <c r="H106" s="466">
        <f>[1]!'acct[10-51206].adjbal{1}'</f>
        <v>0</v>
      </c>
      <c r="I106" s="468"/>
      <c r="J106" s="468"/>
      <c r="K106" s="1686">
        <f>H106</f>
        <v>0</v>
      </c>
      <c r="L106" s="466"/>
      <c r="M106" s="210"/>
      <c r="N106" s="210"/>
    </row>
    <row r="107" spans="1:14" s="598" customFormat="1" ht="12.75" customHeight="1" x14ac:dyDescent="0.2">
      <c r="A107" s="1520" t="s">
        <v>1232</v>
      </c>
      <c r="B107" s="615">
        <v>5130</v>
      </c>
      <c r="C107" s="617"/>
      <c r="D107" s="617"/>
      <c r="E107" s="617"/>
      <c r="F107" s="617"/>
      <c r="G107" s="617"/>
      <c r="H107" s="466">
        <f>[1]!'acct[10-51306].adjbal{1}'</f>
        <v>0</v>
      </c>
      <c r="I107" s="468"/>
      <c r="J107" s="468"/>
      <c r="K107" s="1686">
        <f>H107</f>
        <v>0</v>
      </c>
      <c r="L107" s="466"/>
      <c r="M107" s="210"/>
      <c r="N107" s="210"/>
    </row>
    <row r="108" spans="1:14" s="598" customFormat="1" x14ac:dyDescent="0.2">
      <c r="A108" s="1520" t="s">
        <v>91</v>
      </c>
      <c r="B108" s="615" t="s">
        <v>610</v>
      </c>
      <c r="C108" s="617"/>
      <c r="D108" s="617"/>
      <c r="E108" s="617"/>
      <c r="F108" s="617"/>
      <c r="G108" s="617"/>
      <c r="H108" s="466">
        <f>[1]!'acct[10-51406].adjbal{1}'</f>
        <v>0</v>
      </c>
      <c r="I108" s="468"/>
      <c r="J108" s="468"/>
      <c r="K108" s="1686">
        <f>H108</f>
        <v>0</v>
      </c>
      <c r="L108" s="466"/>
      <c r="M108" s="210"/>
      <c r="N108" s="210"/>
    </row>
    <row r="109" spans="1:14" s="598" customFormat="1" x14ac:dyDescent="0.2">
      <c r="A109" s="1520" t="s">
        <v>272</v>
      </c>
      <c r="B109" s="629">
        <v>5150</v>
      </c>
      <c r="C109" s="617"/>
      <c r="D109" s="617"/>
      <c r="E109" s="617"/>
      <c r="F109" s="617"/>
      <c r="G109" s="617"/>
      <c r="H109" s="466">
        <f>[1]!'acct[10-51506].adjbal{1}'</f>
        <v>0</v>
      </c>
      <c r="I109" s="468"/>
      <c r="J109" s="468"/>
      <c r="K109" s="1686">
        <f>H109</f>
        <v>0</v>
      </c>
      <c r="L109" s="466"/>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0" t="s">
        <v>386</v>
      </c>
      <c r="B111" s="647" t="s">
        <v>38</v>
      </c>
      <c r="C111" s="617"/>
      <c r="D111" s="617"/>
      <c r="E111" s="617"/>
      <c r="F111" s="617"/>
      <c r="G111" s="617"/>
      <c r="H111" s="535">
        <f>[1]!'acct[10-52006].adjbal{1}'</f>
        <v>0</v>
      </c>
      <c r="I111" s="468"/>
      <c r="J111" s="468"/>
      <c r="K111" s="1698">
        <f>H111</f>
        <v>0</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2" t="s">
        <v>535</v>
      </c>
      <c r="B113" s="1629" t="s">
        <v>916</v>
      </c>
      <c r="C113" s="624"/>
      <c r="D113" s="624"/>
      <c r="E113" s="617"/>
      <c r="F113" s="617"/>
      <c r="G113" s="617"/>
      <c r="H113" s="624"/>
      <c r="I113" s="468"/>
      <c r="J113" s="468"/>
      <c r="K113" s="624"/>
      <c r="L113" s="531"/>
      <c r="M113" s="614"/>
      <c r="N113" s="614"/>
    </row>
    <row r="114" spans="1:14" ht="12.75" customHeight="1" thickTop="1" thickBot="1" x14ac:dyDescent="0.25">
      <c r="A114" s="1683" t="s">
        <v>50</v>
      </c>
      <c r="B114" s="1697"/>
      <c r="C114" s="1685">
        <f>SUM(C33,C74,C75,C102,C112,C113)</f>
        <v>6500149</v>
      </c>
      <c r="D114" s="1685">
        <f t="shared" ref="D114:K114" si="13">SUM(D33,D74,D75,D102,D112,D113)</f>
        <v>1494588</v>
      </c>
      <c r="E114" s="1685">
        <f t="shared" si="13"/>
        <v>217537</v>
      </c>
      <c r="F114" s="1685">
        <f t="shared" si="13"/>
        <v>581743</v>
      </c>
      <c r="G114" s="1685">
        <f t="shared" si="13"/>
        <v>98100</v>
      </c>
      <c r="H114" s="1685">
        <f>SUM(H33,H74,H75,H102,H112,H113)</f>
        <v>303894</v>
      </c>
      <c r="I114" s="1685">
        <f t="shared" si="13"/>
        <v>0</v>
      </c>
      <c r="J114" s="1685">
        <f t="shared" si="13"/>
        <v>0</v>
      </c>
      <c r="K114" s="1685">
        <f t="shared" si="13"/>
        <v>9196011</v>
      </c>
      <c r="L114" s="1685">
        <f>SUM(L33,L74,L75,L102,L112,L113)</f>
        <v>9612588</v>
      </c>
    </row>
    <row r="115" spans="1:14" ht="13.5" thickTop="1" x14ac:dyDescent="0.2">
      <c r="A115" s="2185" t="s">
        <v>1053</v>
      </c>
      <c r="B115" s="2186"/>
      <c r="C115" s="619"/>
      <c r="D115" s="619"/>
      <c r="E115" s="619"/>
      <c r="F115" s="619"/>
      <c r="G115" s="619"/>
      <c r="H115" s="619"/>
      <c r="I115" s="619"/>
      <c r="J115" s="619"/>
      <c r="K115" s="1699">
        <f>'Revenues 9-14'!C275-'Expenditures 15-22'!K114</f>
        <v>186369</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0" t="s">
        <v>314</v>
      </c>
      <c r="B117" s="2191"/>
      <c r="C117" s="1642"/>
      <c r="D117" s="1643"/>
      <c r="E117" s="1643"/>
      <c r="F117" s="1643"/>
      <c r="G117" s="1643"/>
      <c r="H117" s="1643"/>
      <c r="I117" s="1643"/>
      <c r="J117" s="1643"/>
      <c r="K117" s="1643"/>
      <c r="L117" s="1644"/>
      <c r="M117" s="175"/>
      <c r="N117" s="175"/>
    </row>
    <row r="118" spans="1:14" ht="15.75" customHeight="1" x14ac:dyDescent="0.2">
      <c r="A118" s="1630" t="s">
        <v>1095</v>
      </c>
      <c r="B118" s="1631"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4" t="s">
        <v>167</v>
      </c>
      <c r="B120" s="629">
        <v>2190</v>
      </c>
      <c r="C120" s="466">
        <f>[1]!'acct[20-21901].adjbal{1}'</f>
        <v>0</v>
      </c>
      <c r="D120" s="466">
        <f>[1]!'acct[20-21902].adjbal{1}'</f>
        <v>0</v>
      </c>
      <c r="E120" s="466">
        <f>[1]!'acct[20-21903].adjbal{1}'</f>
        <v>0</v>
      </c>
      <c r="F120" s="466">
        <f>[1]!'acct[20-21904].adjbal{1}'</f>
        <v>0</v>
      </c>
      <c r="G120" s="466">
        <f>[1]!'acct[20-21905].adjbal{1}'</f>
        <v>0</v>
      </c>
      <c r="H120" s="466">
        <f>[1]!'acct[20-21906].adjbal{1}'</f>
        <v>0</v>
      </c>
      <c r="I120" s="466">
        <f>[1]!'acct[20-21907].adjbal{1}'</f>
        <v>0</v>
      </c>
      <c r="J120" s="466">
        <f>[1]!'acct[20-21908].adjbal{1}'</f>
        <v>0</v>
      </c>
      <c r="K120" s="1686">
        <f>SUM(C120:J120)</f>
        <v>0</v>
      </c>
      <c r="L120" s="466"/>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0" t="s">
        <v>1128</v>
      </c>
      <c r="B122" s="615">
        <v>2510</v>
      </c>
      <c r="C122" s="466">
        <f>[1]!'acct[20-25101].adjbal{1}'</f>
        <v>0</v>
      </c>
      <c r="D122" s="466">
        <f>[1]!'acct[20-25102].adjbal{1}'</f>
        <v>0</v>
      </c>
      <c r="E122" s="466">
        <f>[1]!'acct[20-25103].adjbal{1}'</f>
        <v>0</v>
      </c>
      <c r="F122" s="466">
        <f>[1]!'acct[20-25104].adjbal{1}'</f>
        <v>0</v>
      </c>
      <c r="G122" s="466">
        <f>[1]!'acct[20-25105].adjbal{1}'</f>
        <v>0</v>
      </c>
      <c r="H122" s="466">
        <f>[1]!'acct[20-25106].adjbal{1}'</f>
        <v>0</v>
      </c>
      <c r="I122" s="466">
        <f>[1]!'acct[20-25107].adjbal{1}'</f>
        <v>0</v>
      </c>
      <c r="J122" s="466">
        <f>[1]!'acct[20-25108].adjbal{1}'</f>
        <v>0</v>
      </c>
      <c r="K122" s="1685">
        <f>SUM(C122:J122)</f>
        <v>0</v>
      </c>
      <c r="L122" s="466"/>
    </row>
    <row r="123" spans="1:14" ht="14.25" thickTop="1" thickBot="1" x14ac:dyDescent="0.25">
      <c r="A123" s="1520" t="s">
        <v>4</v>
      </c>
      <c r="B123" s="615">
        <v>2530</v>
      </c>
      <c r="C123" s="466">
        <f>[1]!'acct[20-25301].adjbal{1}'</f>
        <v>0</v>
      </c>
      <c r="D123" s="466">
        <f>[1]!'acct[20-25302].adjbal{1}'</f>
        <v>0</v>
      </c>
      <c r="E123" s="466">
        <f>[1]!'acct[20-25303].adjbal{1}'</f>
        <v>0</v>
      </c>
      <c r="F123" s="466">
        <f>[1]!'acct[20-25304].adjbal{1}'</f>
        <v>0</v>
      </c>
      <c r="G123" s="466">
        <f>[1]!'acct[20-25305].adjbal{1}'</f>
        <v>0</v>
      </c>
      <c r="H123" s="466">
        <f>[1]!'acct[20-25306].adjbal{1}'</f>
        <v>0</v>
      </c>
      <c r="I123" s="466">
        <f>[1]!'acct[20-25307].adjbal{1}'</f>
        <v>0</v>
      </c>
      <c r="J123" s="466">
        <f>[1]!'acct[20-25308].adjbal{1}'</f>
        <v>0</v>
      </c>
      <c r="K123" s="1685">
        <f>SUM(C123:J123)</f>
        <v>0</v>
      </c>
      <c r="L123" s="466"/>
    </row>
    <row r="124" spans="1:14" ht="14.25" thickTop="1" thickBot="1" x14ac:dyDescent="0.25">
      <c r="A124" s="1520" t="s">
        <v>206</v>
      </c>
      <c r="B124" s="615">
        <v>2540</v>
      </c>
      <c r="C124" s="466">
        <f>[1]!'acct[20-25401].adjbal{1}'</f>
        <v>439631</v>
      </c>
      <c r="D124" s="466">
        <f>[1]!'acct[20-25402].adjbal{1}'</f>
        <v>66983</v>
      </c>
      <c r="E124" s="466">
        <f>[1]!'acct[20-25403].adjbal{1}'</f>
        <v>199041</v>
      </c>
      <c r="F124" s="466">
        <f>[1]!'acct[20-25404].adjbal{1}'</f>
        <v>246779</v>
      </c>
      <c r="G124" s="466">
        <f>[1]!'acct[20-25405].adjbal{1}'</f>
        <v>14218</v>
      </c>
      <c r="H124" s="466">
        <f>[1]!'acct[20-25406].adjbal{1}'</f>
        <v>652</v>
      </c>
      <c r="I124" s="466">
        <f>[1]!'acct[20-25407].adjbal{1}'</f>
        <v>0</v>
      </c>
      <c r="J124" s="466">
        <f>[1]!'acct[20-25408].adjbal{1}'</f>
        <v>0</v>
      </c>
      <c r="K124" s="1685">
        <f>SUM(C124:J124)</f>
        <v>967304</v>
      </c>
      <c r="L124" s="466">
        <v>1066742</v>
      </c>
    </row>
    <row r="125" spans="1:14" ht="14.25" thickTop="1" thickBot="1" x14ac:dyDescent="0.25">
      <c r="A125" s="1520" t="s">
        <v>1010</v>
      </c>
      <c r="B125" s="615">
        <v>2550</v>
      </c>
      <c r="C125" s="466">
        <f>[1]!'acct[20-25501].adjbal{1}'</f>
        <v>0</v>
      </c>
      <c r="D125" s="466">
        <f>[1]!'acct[20-25502].adjbal{1}'</f>
        <v>0</v>
      </c>
      <c r="E125" s="466">
        <f>[1]!'acct[20-25503].adjbal{1}'</f>
        <v>0</v>
      </c>
      <c r="F125" s="466">
        <f>[1]!'acct[20-25504].adjbal{1}'</f>
        <v>0</v>
      </c>
      <c r="G125" s="466">
        <f>[1]!'acct[20-25505].adjbal{1}'</f>
        <v>0</v>
      </c>
      <c r="H125" s="466">
        <f>[1]!'acct[20-25506].adjbal{1}'</f>
        <v>0</v>
      </c>
      <c r="I125" s="466">
        <f>[1]!'acct[20-25507].adjbal{1}'</f>
        <v>0</v>
      </c>
      <c r="J125" s="466">
        <f>[1]!'acct[20-25508].adjbal{1}'</f>
        <v>0</v>
      </c>
      <c r="K125" s="1685">
        <f>SUM(C125:J125)</f>
        <v>0</v>
      </c>
      <c r="L125" s="466"/>
    </row>
    <row r="126" spans="1:14" ht="14.25" thickTop="1" thickBot="1" x14ac:dyDescent="0.25">
      <c r="A126" s="1520" t="s">
        <v>102</v>
      </c>
      <c r="B126" s="615">
        <v>2560</v>
      </c>
      <c r="C126" s="654"/>
      <c r="D126" s="654"/>
      <c r="E126" s="654"/>
      <c r="F126" s="654"/>
      <c r="G126" s="466">
        <f>[1]!'acct[20-25605].adjbal{1}'</f>
        <v>5775</v>
      </c>
      <c r="H126" s="654"/>
      <c r="I126" s="474">
        <f>[1]!'acct[20-25607].adjbal{1}'</f>
        <v>0</v>
      </c>
      <c r="J126" s="617"/>
      <c r="K126" s="1685">
        <f>SUM(C126:J126)</f>
        <v>5775</v>
      </c>
      <c r="L126" s="466"/>
    </row>
    <row r="127" spans="1:14" ht="12.75" customHeight="1" thickTop="1" thickBot="1" x14ac:dyDescent="0.25">
      <c r="A127" s="1683" t="s">
        <v>743</v>
      </c>
      <c r="B127" s="1684" t="s">
        <v>35</v>
      </c>
      <c r="C127" s="1685">
        <f>SUM(C122:C126)</f>
        <v>439631</v>
      </c>
      <c r="D127" s="1685">
        <f t="shared" ref="D127:L127" si="14">SUM(D122:D126)</f>
        <v>66983</v>
      </c>
      <c r="E127" s="1685">
        <f t="shared" si="14"/>
        <v>199041</v>
      </c>
      <c r="F127" s="1685">
        <f t="shared" si="14"/>
        <v>246779</v>
      </c>
      <c r="G127" s="1685">
        <f t="shared" si="14"/>
        <v>19993</v>
      </c>
      <c r="H127" s="1685">
        <f t="shared" si="14"/>
        <v>652</v>
      </c>
      <c r="I127" s="1685">
        <f t="shared" si="14"/>
        <v>0</v>
      </c>
      <c r="J127" s="1685">
        <f t="shared" si="14"/>
        <v>0</v>
      </c>
      <c r="K127" s="1685">
        <f t="shared" si="14"/>
        <v>973079</v>
      </c>
      <c r="L127" s="1685">
        <f t="shared" si="14"/>
        <v>1066742</v>
      </c>
    </row>
    <row r="128" spans="1:14" ht="12.75" customHeight="1" thickTop="1" thickBot="1" x14ac:dyDescent="0.25">
      <c r="A128" s="1527" t="s">
        <v>1037</v>
      </c>
      <c r="B128" s="655" t="s">
        <v>595</v>
      </c>
      <c r="C128" s="573">
        <f>[1]!'acct[20-29001].adjbal{1}'</f>
        <v>0</v>
      </c>
      <c r="D128" s="573">
        <f>[1]!'acct[20-29002].adjbal{1}'</f>
        <v>0</v>
      </c>
      <c r="E128" s="573">
        <f>[1]!'acct[20-29003].adjbal{1}'</f>
        <v>0</v>
      </c>
      <c r="F128" s="573">
        <f>[1]!'acct[20-29004].adjbal{1}'</f>
        <v>0</v>
      </c>
      <c r="G128" s="573">
        <f>[1]!'acct[20-29005].adjbal{1}'</f>
        <v>0</v>
      </c>
      <c r="H128" s="573">
        <f>[1]!'acct[20-29006].adjbal{1}'</f>
        <v>0</v>
      </c>
      <c r="I128" s="573">
        <f>[1]!'acct[20-29007].adjbal{1}'</f>
        <v>0</v>
      </c>
      <c r="J128" s="573">
        <f>[1]!'acct[20-29008].adjbal{1}'</f>
        <v>0</v>
      </c>
      <c r="K128" s="1700">
        <f>SUM(C128:J128)</f>
        <v>0</v>
      </c>
      <c r="L128" s="656"/>
    </row>
    <row r="129" spans="1:14" ht="12.75" customHeight="1" thickTop="1" thickBot="1" x14ac:dyDescent="0.25">
      <c r="A129" s="1701" t="s">
        <v>865</v>
      </c>
      <c r="B129" s="1702" t="s">
        <v>590</v>
      </c>
      <c r="C129" s="1692">
        <f>SUM(C120,C127,C128)</f>
        <v>439631</v>
      </c>
      <c r="D129" s="1692">
        <f t="shared" ref="D129:L129" si="15">SUM(D120,D127,D128)</f>
        <v>66983</v>
      </c>
      <c r="E129" s="1692">
        <f t="shared" si="15"/>
        <v>199041</v>
      </c>
      <c r="F129" s="1692">
        <f t="shared" si="15"/>
        <v>246779</v>
      </c>
      <c r="G129" s="1692">
        <f t="shared" si="15"/>
        <v>19993</v>
      </c>
      <c r="H129" s="1692">
        <f t="shared" si="15"/>
        <v>652</v>
      </c>
      <c r="I129" s="1692">
        <f t="shared" si="15"/>
        <v>0</v>
      </c>
      <c r="J129" s="1692">
        <f t="shared" si="15"/>
        <v>0</v>
      </c>
      <c r="K129" s="1692">
        <f t="shared" si="15"/>
        <v>973079</v>
      </c>
      <c r="L129" s="1692">
        <f t="shared" si="15"/>
        <v>1066742</v>
      </c>
    </row>
    <row r="130" spans="1:14" ht="15.75" customHeight="1" thickTop="1" thickBot="1" x14ac:dyDescent="0.25">
      <c r="A130" s="1626" t="s">
        <v>1096</v>
      </c>
      <c r="B130" s="1627" t="s">
        <v>596</v>
      </c>
      <c r="C130" s="573">
        <f>[1]!'acct[20-30001].adjbal{1}'</f>
        <v>0</v>
      </c>
      <c r="D130" s="573">
        <f>[1]!'acct[20-30002].adjbal{1}'</f>
        <v>0</v>
      </c>
      <c r="E130" s="573">
        <f>[1]!'acct[20-30003].adjbal{1}'</f>
        <v>0</v>
      </c>
      <c r="F130" s="573">
        <f>[1]!'acct[20-30004].adjbal{1}'</f>
        <v>0</v>
      </c>
      <c r="G130" s="573">
        <f>[1]!'acct[20-30005].adjbal{1}'</f>
        <v>0</v>
      </c>
      <c r="H130" s="573">
        <f>[1]!'acct[20-30006].adjbal{1}'</f>
        <v>0</v>
      </c>
      <c r="I130" s="573">
        <f>[1]!'acct[20-30007].adjbal{1}'</f>
        <v>0</v>
      </c>
      <c r="J130" s="573">
        <f>[1]!'acct[20-30008].adjbal{1}'</f>
        <v>0</v>
      </c>
      <c r="K130" s="1685">
        <f>SUM(C130:J130)</f>
        <v>0</v>
      </c>
      <c r="L130" s="576"/>
    </row>
    <row r="131" spans="1:14" ht="15.75" customHeight="1" thickTop="1" x14ac:dyDescent="0.2">
      <c r="A131" s="1632" t="s">
        <v>637</v>
      </c>
      <c r="B131" s="1625"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06" t="s">
        <v>517</v>
      </c>
      <c r="B133" s="1857" t="s">
        <v>1955</v>
      </c>
      <c r="C133" s="468"/>
      <c r="D133" s="468"/>
      <c r="E133" s="641" t="str">
        <f>[1]!'acct[20-41103].adjbal{1}'</f>
        <v xml:space="preserve"> </v>
      </c>
      <c r="F133" s="468"/>
      <c r="G133" s="468"/>
      <c r="H133" s="641" t="str">
        <f>[1]!'acct[20-41106].adjbal{1}'</f>
        <v xml:space="preserve"> </v>
      </c>
      <c r="I133" s="468"/>
      <c r="J133" s="468"/>
      <c r="K133" s="1837">
        <f>SUM(E133,H133)</f>
        <v>0</v>
      </c>
      <c r="L133" s="641"/>
      <c r="M133" s="206"/>
      <c r="N133" s="206"/>
    </row>
    <row r="134" spans="1:14" x14ac:dyDescent="0.2">
      <c r="A134" s="1520" t="s">
        <v>322</v>
      </c>
      <c r="B134" s="615">
        <v>4120</v>
      </c>
      <c r="C134" s="617"/>
      <c r="D134" s="617"/>
      <c r="E134" s="641">
        <f>[1]!'acct[20-41203].adjbal{1}'</f>
        <v>0</v>
      </c>
      <c r="F134" s="617"/>
      <c r="G134" s="617"/>
      <c r="H134" s="641">
        <f>[1]!'acct[20-41206].adjbal{1}'</f>
        <v>0</v>
      </c>
      <c r="I134" s="477"/>
      <c r="J134" s="617"/>
      <c r="K134" s="1687">
        <f>SUM(E134,H134)</f>
        <v>0</v>
      </c>
      <c r="L134" s="481"/>
    </row>
    <row r="135" spans="1:14" x14ac:dyDescent="0.2">
      <c r="A135" s="1520" t="s">
        <v>721</v>
      </c>
      <c r="B135" s="615">
        <v>4140</v>
      </c>
      <c r="C135" s="617"/>
      <c r="D135" s="617"/>
      <c r="E135" s="641">
        <f>[1]!'acct[20-41403].adjbal{1}'</f>
        <v>0</v>
      </c>
      <c r="F135" s="617"/>
      <c r="G135" s="617"/>
      <c r="H135" s="641">
        <f>[1]!'acct[20-41406].adjbal{1}'</f>
        <v>0</v>
      </c>
      <c r="I135" s="477"/>
      <c r="J135" s="617"/>
      <c r="K135" s="1687">
        <f>SUM(E135,H135)</f>
        <v>0</v>
      </c>
      <c r="L135" s="466"/>
    </row>
    <row r="136" spans="1:14" x14ac:dyDescent="0.2">
      <c r="A136" s="1524" t="s">
        <v>722</v>
      </c>
      <c r="B136" s="629">
        <v>4190</v>
      </c>
      <c r="C136" s="617"/>
      <c r="D136" s="617"/>
      <c r="E136" s="641">
        <f>[1]!'acct[20-41903].adjbal{1}'</f>
        <v>0</v>
      </c>
      <c r="F136" s="617"/>
      <c r="G136" s="617"/>
      <c r="H136" s="641">
        <f>[1]!'acct[20-41906].adjbal{1}'</f>
        <v>0</v>
      </c>
      <c r="I136" s="477"/>
      <c r="J136" s="617"/>
      <c r="K136" s="1687">
        <f>SUM(E136,H136)</f>
        <v>0</v>
      </c>
      <c r="L136" s="466"/>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26" t="s">
        <v>98</v>
      </c>
      <c r="B138" s="643" t="s">
        <v>988</v>
      </c>
      <c r="C138" s="617"/>
      <c r="D138" s="617"/>
      <c r="E138" s="576" t="str">
        <f>[1]!'acct[20-44003].adjbal{1}'</f>
        <v xml:space="preserve"> </v>
      </c>
      <c r="F138" s="617"/>
      <c r="G138" s="617"/>
      <c r="H138" s="576">
        <f>[1]!'acct[20-44006].adjbal{1}'</f>
        <v>0</v>
      </c>
      <c r="I138" s="477"/>
      <c r="J138" s="617"/>
      <c r="K138" s="1687">
        <f>SUM(E138,H138)</f>
        <v>0</v>
      </c>
      <c r="L138" s="576"/>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28" t="s">
        <v>1097</v>
      </c>
      <c r="B140" s="1629"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0" t="s">
        <v>89</v>
      </c>
      <c r="B142" s="615">
        <v>5110</v>
      </c>
      <c r="C142" s="617"/>
      <c r="D142" s="617"/>
      <c r="E142" s="617"/>
      <c r="F142" s="617"/>
      <c r="G142" s="617"/>
      <c r="H142" s="481">
        <f>[1]!'acct[20-51106].adjbal{1}'</f>
        <v>0</v>
      </c>
      <c r="I142" s="468"/>
      <c r="J142" s="617"/>
      <c r="K142" s="1687">
        <f>SUM(H142)</f>
        <v>0</v>
      </c>
      <c r="L142" s="481"/>
    </row>
    <row r="143" spans="1:14" x14ac:dyDescent="0.2">
      <c r="A143" s="1520" t="s">
        <v>90</v>
      </c>
      <c r="B143" s="615">
        <v>5120</v>
      </c>
      <c r="C143" s="617"/>
      <c r="D143" s="617"/>
      <c r="E143" s="617"/>
      <c r="F143" s="617"/>
      <c r="G143" s="617"/>
      <c r="H143" s="466">
        <f>[1]!'acct[20-51206].adjbal{1}'</f>
        <v>0</v>
      </c>
      <c r="I143" s="468"/>
      <c r="J143" s="617"/>
      <c r="K143" s="1687">
        <f>SUM(H143)</f>
        <v>0</v>
      </c>
      <c r="L143" s="466"/>
    </row>
    <row r="144" spans="1:14" ht="12.75" customHeight="1" x14ac:dyDescent="0.2">
      <c r="A144" s="1520" t="s">
        <v>1232</v>
      </c>
      <c r="B144" s="629" t="s">
        <v>638</v>
      </c>
      <c r="C144" s="617"/>
      <c r="D144" s="617"/>
      <c r="E144" s="617"/>
      <c r="F144" s="617"/>
      <c r="G144" s="617"/>
      <c r="H144" s="466">
        <f>[1]!'acct[20-51306].adjbal{1}'</f>
        <v>0</v>
      </c>
      <c r="I144" s="468"/>
      <c r="J144" s="617"/>
      <c r="K144" s="1687">
        <f>SUM(H144)</f>
        <v>0</v>
      </c>
      <c r="L144" s="466"/>
    </row>
    <row r="145" spans="1:14" x14ac:dyDescent="0.2">
      <c r="A145" s="1520" t="s">
        <v>91</v>
      </c>
      <c r="B145" s="615" t="s">
        <v>610</v>
      </c>
      <c r="C145" s="617"/>
      <c r="D145" s="617"/>
      <c r="E145" s="617"/>
      <c r="F145" s="617"/>
      <c r="G145" s="617"/>
      <c r="H145" s="466">
        <f>[1]!'acct[20-51406].adjbal{1}'</f>
        <v>0</v>
      </c>
      <c r="I145" s="468"/>
      <c r="J145" s="617"/>
      <c r="K145" s="1687">
        <f>SUM(H145)</f>
        <v>0</v>
      </c>
      <c r="L145" s="466"/>
    </row>
    <row r="146" spans="1:14" ht="12.75" customHeight="1" x14ac:dyDescent="0.2">
      <c r="A146" s="1520" t="s">
        <v>640</v>
      </c>
      <c r="B146" s="615" t="s">
        <v>639</v>
      </c>
      <c r="C146" s="617"/>
      <c r="D146" s="617"/>
      <c r="E146" s="617"/>
      <c r="F146" s="617"/>
      <c r="G146" s="617"/>
      <c r="H146" s="466">
        <f>[1]!'acct[20-51506].adjbal{1}'</f>
        <v>0</v>
      </c>
      <c r="I146" s="468"/>
      <c r="J146" s="617"/>
      <c r="K146" s="1687">
        <f>SUM(H146)</f>
        <v>0</v>
      </c>
      <c r="L146" s="466"/>
    </row>
    <row r="147" spans="1:14" ht="12.75" customHeight="1" thickBot="1" x14ac:dyDescent="0.25">
      <c r="A147" s="1531" t="s">
        <v>647</v>
      </c>
      <c r="B147" s="659"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0" t="s">
        <v>1165</v>
      </c>
      <c r="B148" s="661" t="s">
        <v>38</v>
      </c>
      <c r="C148" s="617"/>
      <c r="D148" s="617"/>
      <c r="E148" s="617"/>
      <c r="F148" s="617"/>
      <c r="G148" s="617"/>
      <c r="H148" s="479">
        <f>[1]!'acct[20-52006].adjbal{1}'</f>
        <v>0</v>
      </c>
      <c r="I148" s="468"/>
      <c r="J148" s="617"/>
      <c r="K148" s="1687">
        <f>SUM(H148)</f>
        <v>0</v>
      </c>
      <c r="L148" s="492"/>
    </row>
    <row r="149" spans="1:14" ht="12.75" customHeight="1" thickBot="1" x14ac:dyDescent="0.25">
      <c r="A149" s="1523"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2" t="s">
        <v>1098</v>
      </c>
      <c r="B150" s="1629" t="s">
        <v>916</v>
      </c>
      <c r="C150" s="617"/>
      <c r="D150" s="617"/>
      <c r="E150" s="617"/>
      <c r="F150" s="617"/>
      <c r="G150" s="617"/>
      <c r="H150" s="662"/>
      <c r="I150" s="521"/>
      <c r="J150" s="617"/>
      <c r="K150" s="624"/>
      <c r="L150" s="573"/>
    </row>
    <row r="151" spans="1:14" ht="12.75" customHeight="1" thickTop="1" thickBot="1" x14ac:dyDescent="0.25">
      <c r="A151" s="2202" t="s">
        <v>641</v>
      </c>
      <c r="B151" s="2182"/>
      <c r="C151" s="1685">
        <f>SUM(C129,C130,C139,C149,C150)</f>
        <v>439631</v>
      </c>
      <c r="D151" s="1685">
        <f t="shared" ref="D151:K151" si="16">SUM(D129,D130,D139,D149,D150)</f>
        <v>66983</v>
      </c>
      <c r="E151" s="1685">
        <f t="shared" si="16"/>
        <v>199041</v>
      </c>
      <c r="F151" s="1685">
        <f t="shared" si="16"/>
        <v>246779</v>
      </c>
      <c r="G151" s="1685">
        <f t="shared" si="16"/>
        <v>19993</v>
      </c>
      <c r="H151" s="1685">
        <f t="shared" si="16"/>
        <v>652</v>
      </c>
      <c r="I151" s="1685">
        <f t="shared" si="16"/>
        <v>0</v>
      </c>
      <c r="J151" s="1685">
        <f t="shared" si="16"/>
        <v>0</v>
      </c>
      <c r="K151" s="1685">
        <f t="shared" si="16"/>
        <v>973079</v>
      </c>
      <c r="L151" s="1685">
        <f>SUM(L129,L130,L139,L149,L150)</f>
        <v>1066742</v>
      </c>
    </row>
    <row r="152" spans="1:14" ht="12.75" customHeight="1" thickTop="1" x14ac:dyDescent="0.2">
      <c r="A152" s="2205" t="s">
        <v>1240</v>
      </c>
      <c r="B152" s="2206"/>
      <c r="C152" s="619"/>
      <c r="D152" s="619"/>
      <c r="E152" s="619"/>
      <c r="F152" s="619"/>
      <c r="G152" s="619"/>
      <c r="H152" s="619"/>
      <c r="I152" s="619"/>
      <c r="J152" s="617"/>
      <c r="K152" s="1699">
        <f>'Revenues 9-14'!D275-'Expenditures 15-22'!K151</f>
        <v>66870</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0" t="s">
        <v>642</v>
      </c>
      <c r="B154" s="2192"/>
      <c r="C154" s="1642"/>
      <c r="D154" s="1643"/>
      <c r="E154" s="1643"/>
      <c r="F154" s="1643"/>
      <c r="G154" s="1643"/>
      <c r="H154" s="1643"/>
      <c r="I154" s="1643"/>
      <c r="J154" s="1643"/>
      <c r="K154" s="1643"/>
      <c r="L154" s="1644"/>
      <c r="M154" s="667"/>
      <c r="N154" s="667"/>
    </row>
    <row r="155" spans="1:14" s="621" customFormat="1" ht="15.75" customHeight="1" thickBot="1" x14ac:dyDescent="0.25">
      <c r="A155" s="1633" t="s">
        <v>83</v>
      </c>
      <c r="B155" s="1634" t="s">
        <v>915</v>
      </c>
      <c r="C155" s="617"/>
      <c r="D155" s="617"/>
      <c r="E155" s="617"/>
      <c r="F155" s="617"/>
      <c r="G155" s="617"/>
      <c r="H155" s="1858"/>
      <c r="I155" s="617"/>
      <c r="J155" s="617"/>
      <c r="K155" s="1841"/>
      <c r="L155" s="1858"/>
      <c r="M155" s="620"/>
      <c r="N155" s="620"/>
    </row>
    <row r="156" spans="1:14" s="621" customFormat="1" ht="15.75" customHeight="1" thickTop="1" x14ac:dyDescent="0.2">
      <c r="A156" s="1838" t="s">
        <v>1956</v>
      </c>
      <c r="B156" s="1839"/>
      <c r="C156" s="617"/>
      <c r="D156" s="617"/>
      <c r="E156" s="617"/>
      <c r="F156" s="617"/>
      <c r="G156" s="617"/>
      <c r="H156" s="1859"/>
      <c r="I156" s="617"/>
      <c r="J156" s="617"/>
      <c r="K156" s="1840"/>
      <c r="L156" s="1859"/>
      <c r="M156" s="620"/>
      <c r="N156" s="620"/>
    </row>
    <row r="157" spans="1:14" s="621" customFormat="1" ht="12" x14ac:dyDescent="0.2">
      <c r="A157" s="1842" t="s">
        <v>517</v>
      </c>
      <c r="B157" s="1843" t="s">
        <v>1955</v>
      </c>
      <c r="C157" s="617"/>
      <c r="D157" s="617"/>
      <c r="E157" s="617"/>
      <c r="F157" s="617"/>
      <c r="G157" s="617"/>
      <c r="H157" s="641">
        <f>[1]!'acct[30-40006].adjbal{1}'</f>
        <v>0</v>
      </c>
      <c r="I157" s="617"/>
      <c r="J157" s="617"/>
      <c r="K157" s="1686">
        <f>H157</f>
        <v>0</v>
      </c>
      <c r="L157" s="467"/>
      <c r="M157" s="620"/>
      <c r="N157" s="620"/>
    </row>
    <row r="158" spans="1:14" s="621" customFormat="1" ht="12" x14ac:dyDescent="0.2">
      <c r="A158" s="1842" t="s">
        <v>322</v>
      </c>
      <c r="B158" s="1843" t="s">
        <v>1957</v>
      </c>
      <c r="C158" s="617"/>
      <c r="D158" s="617"/>
      <c r="E158" s="617"/>
      <c r="F158" s="617"/>
      <c r="G158" s="617"/>
      <c r="H158" s="467" t="str">
        <f>[1]!'acct[30-41106].adjbal{1}'</f>
        <v xml:space="preserve"> </v>
      </c>
      <c r="I158" s="617"/>
      <c r="J158" s="617"/>
      <c r="K158" s="1686" t="str">
        <f>H158</f>
        <v xml:space="preserve"> </v>
      </c>
      <c r="L158" s="467"/>
      <c r="M158" s="620"/>
      <c r="N158" s="620"/>
    </row>
    <row r="159" spans="1:14" s="621" customFormat="1" ht="12" x14ac:dyDescent="0.2">
      <c r="A159" s="1842" t="s">
        <v>1958</v>
      </c>
      <c r="B159" s="1843" t="s">
        <v>579</v>
      </c>
      <c r="C159" s="617"/>
      <c r="D159" s="617"/>
      <c r="E159" s="617"/>
      <c r="F159" s="617"/>
      <c r="G159" s="617"/>
      <c r="H159" s="467" t="str">
        <f>[1]!'acct[30-41206].adjbal{1}'</f>
        <v xml:space="preserve"> </v>
      </c>
      <c r="I159" s="617"/>
      <c r="J159" s="617"/>
      <c r="K159" s="1686" t="str">
        <f>H159</f>
        <v xml:space="preserve"> </v>
      </c>
      <c r="L159" s="467"/>
      <c r="M159" s="620"/>
      <c r="N159" s="620"/>
    </row>
    <row r="160" spans="1:14" s="621" customFormat="1" ht="15.75" customHeight="1" thickBot="1" x14ac:dyDescent="0.25">
      <c r="A160" s="1844" t="s">
        <v>1959</v>
      </c>
      <c r="B160" s="1845"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28" t="s">
        <v>84</v>
      </c>
      <c r="B161" s="1629"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0" t="s">
        <v>89</v>
      </c>
      <c r="B163" s="615">
        <v>5110</v>
      </c>
      <c r="C163" s="617"/>
      <c r="D163" s="617"/>
      <c r="E163" s="617"/>
      <c r="F163" s="617"/>
      <c r="G163" s="617"/>
      <c r="H163" s="466">
        <f>[1]!'acct[30-51106].adjbal{1}'</f>
        <v>0</v>
      </c>
      <c r="I163" s="617"/>
      <c r="J163" s="617"/>
      <c r="K163" s="1686">
        <f>SUM(C163:J163)</f>
        <v>0</v>
      </c>
      <c r="L163" s="466"/>
    </row>
    <row r="164" spans="1:14" x14ac:dyDescent="0.2">
      <c r="A164" s="1520" t="s">
        <v>90</v>
      </c>
      <c r="B164" s="615">
        <v>5120</v>
      </c>
      <c r="C164" s="617"/>
      <c r="D164" s="617"/>
      <c r="E164" s="617"/>
      <c r="F164" s="617"/>
      <c r="G164" s="617"/>
      <c r="H164" s="466">
        <f>[1]!'acct[30-51206].adjbal{1}'</f>
        <v>0</v>
      </c>
      <c r="I164" s="617"/>
      <c r="J164" s="617"/>
      <c r="K164" s="1686">
        <f>SUM(C164:J164)</f>
        <v>0</v>
      </c>
      <c r="L164" s="466"/>
    </row>
    <row r="165" spans="1:14" ht="12.75" customHeight="1" x14ac:dyDescent="0.2">
      <c r="A165" s="1520" t="s">
        <v>1232</v>
      </c>
      <c r="B165" s="615" t="s">
        <v>638</v>
      </c>
      <c r="C165" s="617"/>
      <c r="D165" s="617"/>
      <c r="E165" s="617"/>
      <c r="F165" s="617"/>
      <c r="G165" s="617"/>
      <c r="H165" s="466">
        <f>[1]!'acct[30-51306].adjbal{1}'</f>
        <v>0</v>
      </c>
      <c r="I165" s="617"/>
      <c r="J165" s="617"/>
      <c r="K165" s="1686">
        <f>SUM(C165:J165)</f>
        <v>0</v>
      </c>
      <c r="L165" s="466"/>
    </row>
    <row r="166" spans="1:14" x14ac:dyDescent="0.2">
      <c r="A166" s="1520" t="s">
        <v>91</v>
      </c>
      <c r="B166" s="629" t="s">
        <v>610</v>
      </c>
      <c r="C166" s="617"/>
      <c r="D166" s="617"/>
      <c r="E166" s="617"/>
      <c r="F166" s="617"/>
      <c r="G166" s="617"/>
      <c r="H166" s="466">
        <f>[1]!'acct[30-51406].adjbal{1}'</f>
        <v>0</v>
      </c>
      <c r="I166" s="617"/>
      <c r="J166" s="617"/>
      <c r="K166" s="1686">
        <f>SUM(C166:J166)</f>
        <v>0</v>
      </c>
      <c r="L166" s="466"/>
    </row>
    <row r="167" spans="1:14" ht="12.75" customHeight="1" x14ac:dyDescent="0.2">
      <c r="A167" s="1520" t="s">
        <v>640</v>
      </c>
      <c r="B167" s="615" t="s">
        <v>639</v>
      </c>
      <c r="C167" s="617"/>
      <c r="D167" s="617"/>
      <c r="E167" s="617"/>
      <c r="F167" s="617"/>
      <c r="G167" s="617"/>
      <c r="H167" s="466">
        <f>[1]!'acct[30-51506].adjbal{1}'</f>
        <v>0</v>
      </c>
      <c r="I167" s="617"/>
      <c r="J167" s="617"/>
      <c r="K167" s="1686">
        <f>SUM(C167:J167)</f>
        <v>0</v>
      </c>
      <c r="L167" s="466"/>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0</v>
      </c>
    </row>
    <row r="169" spans="1:14" ht="15.75" customHeight="1" thickTop="1" x14ac:dyDescent="0.2">
      <c r="A169" s="669" t="s">
        <v>85</v>
      </c>
      <c r="B169" s="670" t="s">
        <v>38</v>
      </c>
      <c r="C169" s="617"/>
      <c r="D169" s="617"/>
      <c r="E169" s="617"/>
      <c r="F169" s="617"/>
      <c r="G169" s="617"/>
      <c r="H169" s="656">
        <f>[1]!'acct[30-52006].adjbal{1}'</f>
        <v>184303</v>
      </c>
      <c r="I169" s="617"/>
      <c r="J169" s="617"/>
      <c r="K169" s="1686">
        <f>SUM(C169:H169)</f>
        <v>184303</v>
      </c>
      <c r="L169" s="656">
        <v>193390</v>
      </c>
    </row>
    <row r="170" spans="1:14" ht="33.75" customHeight="1" x14ac:dyDescent="0.2">
      <c r="A170" s="669" t="s">
        <v>1769</v>
      </c>
      <c r="B170" s="671" t="s">
        <v>31</v>
      </c>
      <c r="C170" s="617"/>
      <c r="D170" s="617"/>
      <c r="E170" s="617"/>
      <c r="F170" s="617"/>
      <c r="G170" s="617"/>
      <c r="H170" s="569">
        <f>[1]!'acct[30-53006].adjbal{1}'</f>
        <v>479868</v>
      </c>
      <c r="I170" s="617"/>
      <c r="J170" s="617"/>
      <c r="K170" s="1686">
        <f>SUM(C170:J170)</f>
        <v>479868</v>
      </c>
      <c r="L170" s="569">
        <v>460000</v>
      </c>
    </row>
    <row r="171" spans="1:14" ht="15.75" customHeight="1" x14ac:dyDescent="0.2">
      <c r="A171" s="622" t="s">
        <v>790</v>
      </c>
      <c r="B171" s="672" t="s">
        <v>86</v>
      </c>
      <c r="C171" s="617"/>
      <c r="D171" s="617"/>
      <c r="E171" s="466">
        <f>[1]!'acct[30-54003].adjbal{1}'</f>
        <v>0</v>
      </c>
      <c r="F171" s="617"/>
      <c r="G171" s="617"/>
      <c r="H171" s="569">
        <f>[1]!'acct[30-54006].adjbal{1}'</f>
        <v>1818</v>
      </c>
      <c r="I171" s="477"/>
      <c r="J171" s="617"/>
      <c r="K171" s="1686">
        <f>SUM(C171:J171)</f>
        <v>1818</v>
      </c>
      <c r="L171" s="569">
        <v>1500</v>
      </c>
    </row>
    <row r="172" spans="1:14" ht="12.75" customHeight="1" thickBot="1" x14ac:dyDescent="0.25">
      <c r="A172" s="1683" t="s">
        <v>659</v>
      </c>
      <c r="B172" s="1684" t="s">
        <v>513</v>
      </c>
      <c r="C172" s="617"/>
      <c r="D172" s="617"/>
      <c r="E172" s="1692">
        <f>SUM(E168,E169,E170,E171)</f>
        <v>0</v>
      </c>
      <c r="F172" s="617"/>
      <c r="G172" s="617"/>
      <c r="H172" s="1692">
        <f>SUM(H168,H169,H170,H171)</f>
        <v>665989</v>
      </c>
      <c r="I172" s="638"/>
      <c r="J172" s="617"/>
      <c r="K172" s="1692">
        <f>SUM(K168,K169,K170,K171)</f>
        <v>665989</v>
      </c>
      <c r="L172" s="1692">
        <f>SUM(L168,L169,L170,L171)</f>
        <v>654890</v>
      </c>
    </row>
    <row r="173" spans="1:14" ht="15.75" customHeight="1" thickTop="1" thickBot="1" x14ac:dyDescent="0.25">
      <c r="A173" s="1635" t="s">
        <v>87</v>
      </c>
      <c r="B173" s="1627" t="s">
        <v>916</v>
      </c>
      <c r="C173" s="617"/>
      <c r="D173" s="617"/>
      <c r="E173" s="624"/>
      <c r="F173" s="617"/>
      <c r="G173" s="617"/>
      <c r="H173" s="627"/>
      <c r="I173" s="638"/>
      <c r="J173" s="617"/>
      <c r="K173" s="624"/>
      <c r="L173" s="576"/>
    </row>
    <row r="174" spans="1:14" ht="12.75" customHeight="1" thickTop="1" thickBot="1" x14ac:dyDescent="0.25">
      <c r="A174" s="1704" t="s">
        <v>92</v>
      </c>
      <c r="B174" s="1705"/>
      <c r="C174" s="617"/>
      <c r="D174" s="617"/>
      <c r="E174" s="1692">
        <f>SUM(E155,E172,E173)</f>
        <v>0</v>
      </c>
      <c r="F174" s="617"/>
      <c r="G174" s="617"/>
      <c r="H174" s="1692">
        <f>SUM(H160,H172,H173)</f>
        <v>665989</v>
      </c>
      <c r="I174" s="638"/>
      <c r="J174" s="617"/>
      <c r="K174" s="1692">
        <f>SUM(K160,K172,K173)</f>
        <v>665989</v>
      </c>
      <c r="L174" s="1692">
        <f>SUM(L160,L172,L173)</f>
        <v>654890</v>
      </c>
    </row>
    <row r="175" spans="1:14" ht="13.5" thickTop="1" x14ac:dyDescent="0.2">
      <c r="A175" s="2185" t="s">
        <v>1053</v>
      </c>
      <c r="B175" s="2186"/>
      <c r="C175" s="617"/>
      <c r="D175" s="617"/>
      <c r="E175" s="617"/>
      <c r="F175" s="617"/>
      <c r="G175" s="617"/>
      <c r="H175" s="619"/>
      <c r="I175" s="617"/>
      <c r="J175" s="617"/>
      <c r="K175" s="1699">
        <f>'Revenues 9-14'!E275-'Expenditures 15-22'!K174</f>
        <v>-22658</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0" t="s">
        <v>994</v>
      </c>
      <c r="B177" s="1571"/>
      <c r="C177" s="1567"/>
      <c r="D177" s="1568"/>
      <c r="E177" s="1568"/>
      <c r="F177" s="1568"/>
      <c r="G177" s="1568"/>
      <c r="H177" s="1568"/>
      <c r="I177" s="1568"/>
      <c r="J177" s="1568"/>
      <c r="K177" s="1568"/>
      <c r="L177" s="1569"/>
      <c r="M177" s="610"/>
      <c r="N177" s="610"/>
    </row>
    <row r="178" spans="1:14" s="674" customFormat="1" ht="15.75" customHeight="1" x14ac:dyDescent="0.2">
      <c r="A178" s="1636" t="s">
        <v>995</v>
      </c>
      <c r="B178" s="1637"/>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0" t="s">
        <v>167</v>
      </c>
      <c r="B180" s="615">
        <v>2190</v>
      </c>
      <c r="C180" s="466">
        <f>[1]!'acct[40-21901].adjbal{1}'</f>
        <v>0</v>
      </c>
      <c r="D180" s="466">
        <f>[1]!'acct[40-21902].adjbal{1}'</f>
        <v>0</v>
      </c>
      <c r="E180" s="466">
        <f>[1]!'acct[40-21903].adjbal{1}'</f>
        <v>0</v>
      </c>
      <c r="F180" s="466">
        <f>[1]!'acct[40-21904].adjbal{1}'</f>
        <v>0</v>
      </c>
      <c r="G180" s="466">
        <f>[1]!'acct[40-21905].adjbal{1}'</f>
        <v>0</v>
      </c>
      <c r="H180" s="466">
        <f>[1]!'acct[40-21906].adjbal{1}'</f>
        <v>0</v>
      </c>
      <c r="I180" s="466">
        <f>[1]!'acct[40-21907].adjbal{1}'</f>
        <v>0</v>
      </c>
      <c r="J180" s="466">
        <f>[1]!'acct[40-21908].adjbal{1}'</f>
        <v>0</v>
      </c>
      <c r="K180" s="1686">
        <f>SUM(C180:J180)</f>
        <v>0</v>
      </c>
      <c r="L180" s="466"/>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0" t="s">
        <v>1010</v>
      </c>
      <c r="B182" s="615">
        <v>2550</v>
      </c>
      <c r="C182" s="466">
        <f>[1]!'acct[40-25501].adjbal{1}'</f>
        <v>32142</v>
      </c>
      <c r="D182" s="466">
        <f>[1]!'acct[40-25502].adjbal{1}'</f>
        <v>0</v>
      </c>
      <c r="E182" s="466">
        <f>[1]!'acct[40-25503].adjbal{1}'</f>
        <v>886443</v>
      </c>
      <c r="F182" s="466">
        <f>[1]!'acct[40-25504].adjbal{1}'</f>
        <v>84253</v>
      </c>
      <c r="G182" s="466">
        <f>[1]!'acct[40-25505].adjbal{1}'</f>
        <v>52950</v>
      </c>
      <c r="H182" s="466">
        <f>[1]!'acct[40-25506].adjbal{1}'</f>
        <v>0</v>
      </c>
      <c r="I182" s="466">
        <f>[1]!'acct[40-25507].adjbal{1}'</f>
        <v>0</v>
      </c>
      <c r="J182" s="466">
        <f>[1]!'acct[40-25508].adjbal{1}'</f>
        <v>0</v>
      </c>
      <c r="K182" s="1686">
        <f>SUM(C182:J182)</f>
        <v>1055788</v>
      </c>
      <c r="L182" s="466">
        <v>1055495</v>
      </c>
    </row>
    <row r="183" spans="1:14" ht="12.75" customHeight="1" thickBot="1" x14ac:dyDescent="0.25">
      <c r="A183" s="1525" t="s">
        <v>1037</v>
      </c>
      <c r="B183" s="677">
        <v>2900</v>
      </c>
      <c r="C183" s="573">
        <f>[1]!'acct[40-29001].adjbal{1}'</f>
        <v>0</v>
      </c>
      <c r="D183" s="573">
        <f>[1]!'acct[40-29002].adjbal{1}'</f>
        <v>0</v>
      </c>
      <c r="E183" s="573">
        <f>[1]!'acct[40-29003].adjbal{1}'</f>
        <v>0</v>
      </c>
      <c r="F183" s="573">
        <f>[1]!'acct[40-29004].adjbal{1}'</f>
        <v>0</v>
      </c>
      <c r="G183" s="573">
        <f>[1]!'acct[40-29005].adjbal{1}'</f>
        <v>0</v>
      </c>
      <c r="H183" s="573">
        <f>[1]!'acct[40-29006].adjbal{1}'</f>
        <v>0</v>
      </c>
      <c r="I183" s="573">
        <f>[1]!'acct[40-29007].adjbal{1}'</f>
        <v>0</v>
      </c>
      <c r="J183" s="573">
        <f>[1]!'acct[40-29008].adjbal{1}'</f>
        <v>0</v>
      </c>
      <c r="K183" s="1692">
        <f>SUM(C183:J183)</f>
        <v>0</v>
      </c>
      <c r="L183" s="573"/>
    </row>
    <row r="184" spans="1:14" ht="12.75" customHeight="1" thickTop="1" thickBot="1" x14ac:dyDescent="0.25">
      <c r="A184" s="1706" t="s">
        <v>865</v>
      </c>
      <c r="B184" s="1684" t="s">
        <v>590</v>
      </c>
      <c r="C184" s="1692">
        <f>SUM(C180,C182,C183)</f>
        <v>32142</v>
      </c>
      <c r="D184" s="1692">
        <f t="shared" ref="D184:J184" si="17">SUM(D180,D182,D183)</f>
        <v>0</v>
      </c>
      <c r="E184" s="1692">
        <f t="shared" si="17"/>
        <v>886443</v>
      </c>
      <c r="F184" s="1692">
        <f t="shared" si="17"/>
        <v>84253</v>
      </c>
      <c r="G184" s="1692">
        <f t="shared" si="17"/>
        <v>52950</v>
      </c>
      <c r="H184" s="1692">
        <f t="shared" si="17"/>
        <v>0</v>
      </c>
      <c r="I184" s="1692">
        <f t="shared" si="17"/>
        <v>0</v>
      </c>
      <c r="J184" s="1692">
        <f t="shared" si="17"/>
        <v>0</v>
      </c>
      <c r="K184" s="1692">
        <f>SUM(K180,K182,K183)</f>
        <v>1055788</v>
      </c>
      <c r="L184" s="1692">
        <f>SUM(L180, L182:L183)</f>
        <v>1055495</v>
      </c>
    </row>
    <row r="185" spans="1:14" ht="15.75" customHeight="1" thickTop="1" thickBot="1" x14ac:dyDescent="0.25">
      <c r="A185" s="1638" t="s">
        <v>996</v>
      </c>
      <c r="B185" s="1627">
        <v>3000</v>
      </c>
      <c r="C185" s="573">
        <f>[1]!'acct[40-30001].adjbal{1}'</f>
        <v>0</v>
      </c>
      <c r="D185" s="573">
        <f>[1]!'acct[40-30002].adjbal{1}'</f>
        <v>0</v>
      </c>
      <c r="E185" s="573">
        <f>[1]!'acct[40-30003].adjbal{1}'</f>
        <v>0</v>
      </c>
      <c r="F185" s="573">
        <f>[1]!'acct[40-30004].adjbal{1}'</f>
        <v>0</v>
      </c>
      <c r="G185" s="573">
        <f>[1]!'acct[40-30005].adjbal{1}'</f>
        <v>0</v>
      </c>
      <c r="H185" s="573">
        <f>[1]!'acct[40-30006].adjbal{1}'</f>
        <v>0</v>
      </c>
      <c r="I185" s="573">
        <f>[1]!'acct[40-30007].adjbal{1}'</f>
        <v>0</v>
      </c>
      <c r="J185" s="573">
        <f>[1]!'acct[40-30008].adjbal{1}'</f>
        <v>0</v>
      </c>
      <c r="K185" s="1685">
        <f>SUM(C185:J185)</f>
        <v>0</v>
      </c>
      <c r="L185" s="576"/>
    </row>
    <row r="186" spans="1:14" s="674" customFormat="1" ht="15.75" customHeight="1" thickTop="1" x14ac:dyDescent="0.2">
      <c r="A186" s="1622" t="s">
        <v>93</v>
      </c>
      <c r="B186" s="1625"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0" t="s">
        <v>517</v>
      </c>
      <c r="B188" s="615">
        <v>4110</v>
      </c>
      <c r="C188" s="617"/>
      <c r="D188" s="617"/>
      <c r="E188" s="466">
        <f>[1]!'acct[40-41103].adjbal{1}'</f>
        <v>0</v>
      </c>
      <c r="F188" s="617"/>
      <c r="G188" s="617"/>
      <c r="H188" s="466">
        <f>[1]!'acct[40-41106].adjbal{1}'</f>
        <v>0</v>
      </c>
      <c r="I188" s="477"/>
      <c r="J188" s="617"/>
      <c r="K188" s="1686">
        <f t="shared" ref="K188:K193" si="18">SUM(E188,H188)</f>
        <v>0</v>
      </c>
      <c r="L188" s="466"/>
    </row>
    <row r="189" spans="1:14" x14ac:dyDescent="0.2">
      <c r="A189" s="1520" t="s">
        <v>322</v>
      </c>
      <c r="B189" s="615">
        <v>4120</v>
      </c>
      <c r="C189" s="617"/>
      <c r="D189" s="617"/>
      <c r="E189" s="466">
        <f>[1]!'acct[40-41203].adjbal{1}'</f>
        <v>0</v>
      </c>
      <c r="F189" s="617"/>
      <c r="G189" s="617"/>
      <c r="H189" s="466">
        <f>[1]!'acct[40-41206].adjbal{1}'</f>
        <v>0</v>
      </c>
      <c r="I189" s="477"/>
      <c r="J189" s="617"/>
      <c r="K189" s="1686">
        <f t="shared" si="18"/>
        <v>0</v>
      </c>
      <c r="L189" s="466"/>
    </row>
    <row r="190" spans="1:14" x14ac:dyDescent="0.2">
      <c r="A190" s="1520" t="s">
        <v>323</v>
      </c>
      <c r="B190" s="629">
        <v>4130</v>
      </c>
      <c r="C190" s="617"/>
      <c r="D190" s="617"/>
      <c r="E190" s="466">
        <f>[1]!'acct[40-41303].adjbal{1}'</f>
        <v>0</v>
      </c>
      <c r="F190" s="617"/>
      <c r="G190" s="617"/>
      <c r="H190" s="466">
        <f>[1]!'acct[40-41306].adjbal{1}'</f>
        <v>0</v>
      </c>
      <c r="I190" s="477"/>
      <c r="J190" s="617"/>
      <c r="K190" s="1686">
        <f t="shared" si="18"/>
        <v>0</v>
      </c>
      <c r="L190" s="466"/>
    </row>
    <row r="191" spans="1:14" x14ac:dyDescent="0.2">
      <c r="A191" s="1520" t="s">
        <v>721</v>
      </c>
      <c r="B191" s="615">
        <v>4140</v>
      </c>
      <c r="C191" s="617"/>
      <c r="D191" s="617"/>
      <c r="E191" s="466">
        <f>[1]!'acct[40-41403].adjbal{1}'</f>
        <v>0</v>
      </c>
      <c r="F191" s="617"/>
      <c r="G191" s="617"/>
      <c r="H191" s="466">
        <f>[1]!'acct[40-41406].adjbal{1}'</f>
        <v>0</v>
      </c>
      <c r="I191" s="477"/>
      <c r="J191" s="617"/>
      <c r="K191" s="1686">
        <f t="shared" si="18"/>
        <v>0</v>
      </c>
      <c r="L191" s="466"/>
    </row>
    <row r="192" spans="1:14" x14ac:dyDescent="0.2">
      <c r="A192" s="1520" t="s">
        <v>88</v>
      </c>
      <c r="B192" s="615">
        <v>4170</v>
      </c>
      <c r="C192" s="617"/>
      <c r="D192" s="617"/>
      <c r="E192" s="466">
        <f>[1]!'acct[40-41703].adjbal{1}'</f>
        <v>0</v>
      </c>
      <c r="F192" s="617"/>
      <c r="G192" s="617"/>
      <c r="H192" s="466">
        <f>[1]!'acct[40-41706].adjbal{1}'</f>
        <v>0</v>
      </c>
      <c r="I192" s="477"/>
      <c r="J192" s="617"/>
      <c r="K192" s="1686">
        <f t="shared" si="18"/>
        <v>0</v>
      </c>
      <c r="L192" s="466"/>
    </row>
    <row r="193" spans="1:14" x14ac:dyDescent="0.2">
      <c r="A193" s="1524" t="s">
        <v>722</v>
      </c>
      <c r="B193" s="629">
        <v>4190</v>
      </c>
      <c r="C193" s="617"/>
      <c r="D193" s="617"/>
      <c r="E193" s="466">
        <f>[1]!'acct[40-41903].adjbal{1}'</f>
        <v>0</v>
      </c>
      <c r="F193" s="617"/>
      <c r="G193" s="617"/>
      <c r="H193" s="466">
        <f>[1]!'acct[40-41906].adjbal{1}'</f>
        <v>0</v>
      </c>
      <c r="I193" s="477"/>
      <c r="J193" s="617"/>
      <c r="K193" s="1686">
        <f t="shared" si="18"/>
        <v>0</v>
      </c>
      <c r="L193" s="466"/>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69" t="s">
        <v>94</v>
      </c>
      <c r="B195" s="678" t="s">
        <v>988</v>
      </c>
      <c r="C195" s="617"/>
      <c r="D195" s="617"/>
      <c r="E195" s="656">
        <f>[1]!'acct[40-44003].adjbal{1}'</f>
        <v>0</v>
      </c>
      <c r="F195" s="617"/>
      <c r="G195" s="617"/>
      <c r="H195" s="656">
        <f>[1]!'acct[40-44006].adjbal{1}'</f>
        <v>0</v>
      </c>
      <c r="I195" s="477"/>
      <c r="J195" s="617"/>
      <c r="K195" s="1700">
        <f>SUM(E195,H195)</f>
        <v>0</v>
      </c>
      <c r="L195" s="656"/>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4" customFormat="1" ht="15.75" customHeight="1" thickTop="1" x14ac:dyDescent="0.2">
      <c r="A197" s="1628" t="s">
        <v>997</v>
      </c>
      <c r="B197" s="1625"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0" t="s">
        <v>89</v>
      </c>
      <c r="B199" s="615">
        <v>5110</v>
      </c>
      <c r="C199" s="617"/>
      <c r="D199" s="617"/>
      <c r="E199" s="617"/>
      <c r="F199" s="617"/>
      <c r="G199" s="617"/>
      <c r="H199" s="466">
        <f>[1]!'acct[40-51106].adjbal{1}'</f>
        <v>0</v>
      </c>
      <c r="I199" s="617"/>
      <c r="J199" s="617"/>
      <c r="K199" s="1686">
        <f>SUM(H199)</f>
        <v>0</v>
      </c>
      <c r="L199" s="466"/>
    </row>
    <row r="200" spans="1:14" x14ac:dyDescent="0.2">
      <c r="A200" s="1520" t="s">
        <v>90</v>
      </c>
      <c r="B200" s="615">
        <v>5120</v>
      </c>
      <c r="C200" s="617"/>
      <c r="D200" s="617"/>
      <c r="E200" s="617"/>
      <c r="F200" s="617"/>
      <c r="G200" s="617"/>
      <c r="H200" s="466">
        <f>[1]!'acct[40-51206].adjbal{1}'</f>
        <v>0</v>
      </c>
      <c r="I200" s="617"/>
      <c r="J200" s="617"/>
      <c r="K200" s="1686">
        <f>SUM(H200)</f>
        <v>0</v>
      </c>
      <c r="L200" s="466"/>
    </row>
    <row r="201" spans="1:14" ht="12.75" customHeight="1" x14ac:dyDescent="0.2">
      <c r="A201" s="1520" t="s">
        <v>1232</v>
      </c>
      <c r="B201" s="629" t="s">
        <v>638</v>
      </c>
      <c r="C201" s="617"/>
      <c r="D201" s="617"/>
      <c r="E201" s="617"/>
      <c r="F201" s="617"/>
      <c r="G201" s="617"/>
      <c r="H201" s="466">
        <f>[1]!'acct[40-51306].adjbal{1}'</f>
        <v>0</v>
      </c>
      <c r="I201" s="617"/>
      <c r="J201" s="617"/>
      <c r="K201" s="1686">
        <f>SUM(H201)</f>
        <v>0</v>
      </c>
      <c r="L201" s="466"/>
    </row>
    <row r="202" spans="1:14" x14ac:dyDescent="0.2">
      <c r="A202" s="1520" t="s">
        <v>91</v>
      </c>
      <c r="B202" s="615" t="s">
        <v>610</v>
      </c>
      <c r="C202" s="617"/>
      <c r="D202" s="617"/>
      <c r="E202" s="617"/>
      <c r="F202" s="617"/>
      <c r="G202" s="617"/>
      <c r="H202" s="466">
        <f>[1]!'acct[40-51406].adjbal{1}'</f>
        <v>0</v>
      </c>
      <c r="I202" s="617"/>
      <c r="J202" s="617"/>
      <c r="K202" s="1686">
        <f>SUM(H202)</f>
        <v>0</v>
      </c>
      <c r="L202" s="466"/>
    </row>
    <row r="203" spans="1:14" x14ac:dyDescent="0.2">
      <c r="A203" s="1532" t="s">
        <v>640</v>
      </c>
      <c r="B203" s="615" t="s">
        <v>639</v>
      </c>
      <c r="C203" s="617"/>
      <c r="D203" s="617"/>
      <c r="E203" s="617"/>
      <c r="F203" s="617"/>
      <c r="G203" s="617"/>
      <c r="H203" s="471">
        <f>[1]!'acct[40-51506].adjbal{1}'</f>
        <v>0</v>
      </c>
      <c r="I203" s="617"/>
      <c r="J203" s="617"/>
      <c r="K203" s="1686">
        <f>SUM(H203)</f>
        <v>0</v>
      </c>
      <c r="L203" s="471"/>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79" t="s">
        <v>85</v>
      </c>
      <c r="B205" s="680" t="s">
        <v>38</v>
      </c>
      <c r="C205" s="617"/>
      <c r="D205" s="617"/>
      <c r="E205" s="617"/>
      <c r="F205" s="617"/>
      <c r="G205" s="617"/>
      <c r="H205" s="535">
        <f>[1]!'acct[40-52006].adjbal{1}'</f>
        <v>0</v>
      </c>
      <c r="I205" s="617"/>
      <c r="J205" s="617"/>
      <c r="K205" s="1700">
        <f>SUM(H205)</f>
        <v>0</v>
      </c>
      <c r="L205" s="535"/>
    </row>
    <row r="206" spans="1:14" ht="30" customHeight="1" x14ac:dyDescent="0.2">
      <c r="A206" s="681" t="s">
        <v>1770</v>
      </c>
      <c r="B206" s="672" t="s">
        <v>31</v>
      </c>
      <c r="C206" s="617"/>
      <c r="D206" s="617"/>
      <c r="E206" s="617"/>
      <c r="F206" s="617"/>
      <c r="G206" s="617"/>
      <c r="H206" s="466">
        <f>[1]!'acct[40-53006].adjbal{1}'</f>
        <v>0</v>
      </c>
      <c r="I206" s="617"/>
      <c r="J206" s="617"/>
      <c r="K206" s="1686">
        <f>SUM(H206)</f>
        <v>0</v>
      </c>
      <c r="L206" s="466"/>
    </row>
    <row r="207" spans="1:14" ht="15.75" customHeight="1" x14ac:dyDescent="0.2">
      <c r="A207" s="622" t="s">
        <v>790</v>
      </c>
      <c r="B207" s="672" t="s">
        <v>86</v>
      </c>
      <c r="C207" s="617"/>
      <c r="D207" s="617"/>
      <c r="E207" s="617"/>
      <c r="F207" s="617"/>
      <c r="G207" s="617"/>
      <c r="H207" s="467">
        <f>[1]!'acct[40-54006].adjbal{1}'</f>
        <v>0</v>
      </c>
      <c r="I207" s="617"/>
      <c r="J207" s="617"/>
      <c r="K207" s="1686">
        <f>H207</f>
        <v>0</v>
      </c>
      <c r="L207" s="466"/>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2" t="s">
        <v>927</v>
      </c>
      <c r="B209" s="1629" t="s">
        <v>916</v>
      </c>
      <c r="C209" s="624"/>
      <c r="D209" s="624"/>
      <c r="E209" s="624"/>
      <c r="F209" s="624"/>
      <c r="G209" s="624"/>
      <c r="H209" s="624"/>
      <c r="I209" s="617"/>
      <c r="J209" s="617"/>
      <c r="K209" s="624"/>
      <c r="L209" s="576"/>
    </row>
    <row r="210" spans="1:14" ht="12.75" customHeight="1" thickTop="1" thickBot="1" x14ac:dyDescent="0.25">
      <c r="A210" s="1707" t="s">
        <v>295</v>
      </c>
      <c r="B210" s="1708"/>
      <c r="C210" s="1685">
        <f>SUM(C184,C185)</f>
        <v>32142</v>
      </c>
      <c r="D210" s="1685">
        <f>SUM(D184,D185)</f>
        <v>0</v>
      </c>
      <c r="E210" s="1685">
        <f>SUM(E184,E185,E196)</f>
        <v>886443</v>
      </c>
      <c r="F210" s="1685">
        <f>SUM(F184,F185)</f>
        <v>84253</v>
      </c>
      <c r="G210" s="1685">
        <f>SUM(G184,G185)</f>
        <v>52950</v>
      </c>
      <c r="H210" s="1685">
        <f>SUM(H184,H185,H196,H208,H209)</f>
        <v>0</v>
      </c>
      <c r="I210" s="1685">
        <f>SUM(I184,I185)</f>
        <v>0</v>
      </c>
      <c r="J210" s="1685">
        <f>SUM(J184,J185)</f>
        <v>0</v>
      </c>
      <c r="K210" s="1686">
        <f>SUM(K184,K185,K196,K208,K209)</f>
        <v>1055788</v>
      </c>
      <c r="L210" s="1685">
        <f>SUM(L184,L185,L196,L208,L209)</f>
        <v>1055495</v>
      </c>
    </row>
    <row r="211" spans="1:14" ht="13.5" thickTop="1" x14ac:dyDescent="0.2">
      <c r="A211" s="2185" t="s">
        <v>1053</v>
      </c>
      <c r="B211" s="2186"/>
      <c r="C211" s="619"/>
      <c r="D211" s="619"/>
      <c r="E211" s="619"/>
      <c r="F211" s="619"/>
      <c r="G211" s="619"/>
      <c r="H211" s="619"/>
      <c r="I211" s="617"/>
      <c r="J211" s="617"/>
      <c r="K211" s="1699">
        <f>'Revenues 9-14'!F275-'Expenditures 15-22'!K210</f>
        <v>24135</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7" t="s">
        <v>1022</v>
      </c>
      <c r="B213" s="2208"/>
      <c r="C213" s="1567"/>
      <c r="D213" s="1568"/>
      <c r="E213" s="1568"/>
      <c r="F213" s="1568"/>
      <c r="G213" s="1568"/>
      <c r="H213" s="1568"/>
      <c r="I213" s="1568"/>
      <c r="J213" s="1568"/>
      <c r="K213" s="1568"/>
      <c r="L213" s="1569"/>
      <c r="M213" s="610"/>
      <c r="N213" s="610"/>
    </row>
    <row r="214" spans="1:14" s="674" customFormat="1" ht="15.75" customHeight="1" x14ac:dyDescent="0.2">
      <c r="A214" s="1639" t="s">
        <v>928</v>
      </c>
      <c r="B214" s="1631" t="s">
        <v>591</v>
      </c>
      <c r="C214" s="617"/>
      <c r="D214" s="624"/>
      <c r="E214" s="617"/>
      <c r="F214" s="617"/>
      <c r="G214" s="617"/>
      <c r="H214" s="617"/>
      <c r="I214" s="617"/>
      <c r="J214" s="617"/>
      <c r="K214" s="624"/>
      <c r="L214" s="624"/>
      <c r="M214" s="665"/>
      <c r="N214" s="665"/>
    </row>
    <row r="215" spans="1:14" x14ac:dyDescent="0.2">
      <c r="A215" s="1520" t="s">
        <v>1018</v>
      </c>
      <c r="B215" s="615">
        <v>1100</v>
      </c>
      <c r="C215" s="617"/>
      <c r="D215" s="466">
        <f>[1]!'acct[50-11002].adjbal{1}'</f>
        <v>71408</v>
      </c>
      <c r="E215" s="617"/>
      <c r="F215" s="617"/>
      <c r="G215" s="617"/>
      <c r="H215" s="617"/>
      <c r="I215" s="617"/>
      <c r="J215" s="617"/>
      <c r="K215" s="1686">
        <f>D215</f>
        <v>71408</v>
      </c>
      <c r="L215" s="466">
        <v>70600</v>
      </c>
    </row>
    <row r="216" spans="1:14" x14ac:dyDescent="0.2">
      <c r="A216" s="1520" t="s">
        <v>165</v>
      </c>
      <c r="B216" s="615" t="s">
        <v>1024</v>
      </c>
      <c r="C216" s="617"/>
      <c r="D216" s="467">
        <f>[1]!'acct[50-11252].adjbal{1}'</f>
        <v>11720</v>
      </c>
      <c r="E216" s="617"/>
      <c r="F216" s="617"/>
      <c r="G216" s="617"/>
      <c r="H216" s="617"/>
      <c r="I216" s="617"/>
      <c r="J216" s="617"/>
      <c r="K216" s="1686">
        <f t="shared" ref="K216:K228" si="19">D216</f>
        <v>11720</v>
      </c>
      <c r="L216" s="466"/>
    </row>
    <row r="217" spans="1:14" x14ac:dyDescent="0.2">
      <c r="A217" s="1520" t="s">
        <v>166</v>
      </c>
      <c r="B217" s="615">
        <v>1200</v>
      </c>
      <c r="C217" s="617"/>
      <c r="D217" s="466">
        <f>[1]!'acct[50-12002].adjbal{1}'</f>
        <v>30642</v>
      </c>
      <c r="E217" s="617"/>
      <c r="F217" s="617"/>
      <c r="G217" s="617"/>
      <c r="H217" s="617"/>
      <c r="I217" s="617"/>
      <c r="J217" s="617"/>
      <c r="K217" s="1686">
        <f t="shared" si="19"/>
        <v>30642</v>
      </c>
      <c r="L217" s="466">
        <v>43400</v>
      </c>
    </row>
    <row r="218" spans="1:14" x14ac:dyDescent="0.2">
      <c r="A218" s="1520" t="s">
        <v>296</v>
      </c>
      <c r="B218" s="615" t="s">
        <v>1025</v>
      </c>
      <c r="C218" s="617"/>
      <c r="D218" s="467">
        <f>[1]!'acct[50-12252].adjbal{1}'</f>
        <v>0</v>
      </c>
      <c r="E218" s="617"/>
      <c r="F218" s="617"/>
      <c r="G218" s="617"/>
      <c r="H218" s="617"/>
      <c r="I218" s="617"/>
      <c r="J218" s="617"/>
      <c r="K218" s="1686">
        <f t="shared" si="19"/>
        <v>0</v>
      </c>
      <c r="L218" s="466"/>
    </row>
    <row r="219" spans="1:14" x14ac:dyDescent="0.2">
      <c r="A219" s="1520" t="s">
        <v>297</v>
      </c>
      <c r="B219" s="615">
        <v>1250</v>
      </c>
      <c r="C219" s="617"/>
      <c r="D219" s="466">
        <f>[1]!'acct[50-12502].adjbal{1}'</f>
        <v>3259</v>
      </c>
      <c r="E219" s="617"/>
      <c r="F219" s="617"/>
      <c r="G219" s="617"/>
      <c r="H219" s="617"/>
      <c r="I219" s="617"/>
      <c r="J219" s="617"/>
      <c r="K219" s="1686">
        <f t="shared" si="19"/>
        <v>3259</v>
      </c>
      <c r="L219" s="466">
        <v>3500</v>
      </c>
    </row>
    <row r="220" spans="1:14" x14ac:dyDescent="0.2">
      <c r="A220" s="1520" t="s">
        <v>298</v>
      </c>
      <c r="B220" s="615" t="s">
        <v>163</v>
      </c>
      <c r="C220" s="617"/>
      <c r="D220" s="467">
        <f>[1]!'acct[50-12752].adjbal{1}'</f>
        <v>0</v>
      </c>
      <c r="E220" s="617"/>
      <c r="F220" s="617"/>
      <c r="G220" s="617"/>
      <c r="H220" s="617"/>
      <c r="I220" s="617"/>
      <c r="J220" s="617"/>
      <c r="K220" s="1686">
        <f t="shared" si="19"/>
        <v>0</v>
      </c>
      <c r="L220" s="466"/>
    </row>
    <row r="221" spans="1:14" x14ac:dyDescent="0.2">
      <c r="A221" s="1520" t="s">
        <v>1019</v>
      </c>
      <c r="B221" s="615">
        <v>1300</v>
      </c>
      <c r="C221" s="617"/>
      <c r="D221" s="466">
        <f>[1]!'acct[50-13002].adjbal{1}'</f>
        <v>0</v>
      </c>
      <c r="E221" s="617"/>
      <c r="F221" s="617"/>
      <c r="G221" s="617"/>
      <c r="H221" s="617"/>
      <c r="I221" s="617"/>
      <c r="J221" s="617"/>
      <c r="K221" s="1686">
        <f t="shared" si="19"/>
        <v>0</v>
      </c>
      <c r="L221" s="466"/>
    </row>
    <row r="222" spans="1:14" x14ac:dyDescent="0.2">
      <c r="A222" s="1520" t="s">
        <v>747</v>
      </c>
      <c r="B222" s="615">
        <v>1400</v>
      </c>
      <c r="C222" s="617"/>
      <c r="D222" s="466">
        <f>[1]!'acct[50-14002].adjbal{1}'</f>
        <v>2790</v>
      </c>
      <c r="E222" s="617"/>
      <c r="F222" s="617"/>
      <c r="G222" s="617"/>
      <c r="H222" s="617"/>
      <c r="I222" s="617"/>
      <c r="J222" s="617"/>
      <c r="K222" s="1686">
        <f t="shared" si="19"/>
        <v>2790</v>
      </c>
      <c r="L222" s="466">
        <v>2800</v>
      </c>
    </row>
    <row r="223" spans="1:14" x14ac:dyDescent="0.2">
      <c r="A223" s="1520" t="s">
        <v>1020</v>
      </c>
      <c r="B223" s="615">
        <v>1500</v>
      </c>
      <c r="C223" s="617"/>
      <c r="D223" s="466">
        <f>[1]!'acct[50-15002].adjbal{1}'</f>
        <v>4186</v>
      </c>
      <c r="E223" s="617"/>
      <c r="F223" s="617"/>
      <c r="G223" s="617"/>
      <c r="H223" s="617"/>
      <c r="I223" s="617"/>
      <c r="J223" s="617"/>
      <c r="K223" s="1686">
        <f t="shared" si="19"/>
        <v>4186</v>
      </c>
      <c r="L223" s="466">
        <v>3425</v>
      </c>
    </row>
    <row r="224" spans="1:14" x14ac:dyDescent="0.2">
      <c r="A224" s="1520" t="s">
        <v>1021</v>
      </c>
      <c r="B224" s="615">
        <v>1600</v>
      </c>
      <c r="C224" s="617"/>
      <c r="D224" s="466">
        <f>[1]!'acct[50-16002].adjbal{1}'</f>
        <v>0</v>
      </c>
      <c r="E224" s="617"/>
      <c r="F224" s="617"/>
      <c r="G224" s="617"/>
      <c r="H224" s="617"/>
      <c r="I224" s="617"/>
      <c r="J224" s="617"/>
      <c r="K224" s="1686">
        <f t="shared" si="19"/>
        <v>0</v>
      </c>
      <c r="L224" s="466"/>
    </row>
    <row r="225" spans="1:12" x14ac:dyDescent="0.2">
      <c r="A225" s="1520" t="s">
        <v>1044</v>
      </c>
      <c r="B225" s="615">
        <v>1650</v>
      </c>
      <c r="C225" s="617"/>
      <c r="D225" s="466">
        <f>[1]!'acct[50-16502].adjbal{1}'</f>
        <v>0</v>
      </c>
      <c r="E225" s="617"/>
      <c r="F225" s="617"/>
      <c r="G225" s="617"/>
      <c r="H225" s="617"/>
      <c r="I225" s="617"/>
      <c r="J225" s="617"/>
      <c r="K225" s="1686">
        <f t="shared" si="19"/>
        <v>0</v>
      </c>
      <c r="L225" s="466"/>
    </row>
    <row r="226" spans="1:12" x14ac:dyDescent="0.2">
      <c r="A226" s="1520" t="s">
        <v>748</v>
      </c>
      <c r="B226" s="615" t="s">
        <v>164</v>
      </c>
      <c r="C226" s="617"/>
      <c r="D226" s="467">
        <f>[1]!'acct[50-17002].adjbal{1}'</f>
        <v>121</v>
      </c>
      <c r="E226" s="617"/>
      <c r="F226" s="617"/>
      <c r="G226" s="617"/>
      <c r="H226" s="617"/>
      <c r="I226" s="617"/>
      <c r="J226" s="617"/>
      <c r="K226" s="1686">
        <f t="shared" si="19"/>
        <v>121</v>
      </c>
      <c r="L226" s="466">
        <v>125</v>
      </c>
    </row>
    <row r="227" spans="1:12" x14ac:dyDescent="0.2">
      <c r="A227" s="1520" t="s">
        <v>1148</v>
      </c>
      <c r="B227" s="615">
        <v>1800</v>
      </c>
      <c r="C227" s="617"/>
      <c r="D227" s="466">
        <f>[1]!'acct[50-18002].adjbal{1}'</f>
        <v>0</v>
      </c>
      <c r="E227" s="617"/>
      <c r="F227" s="617"/>
      <c r="G227" s="617"/>
      <c r="H227" s="617"/>
      <c r="I227" s="617"/>
      <c r="J227" s="617"/>
      <c r="K227" s="1686">
        <f t="shared" si="19"/>
        <v>0</v>
      </c>
      <c r="L227" s="466"/>
    </row>
    <row r="228" spans="1:12" x14ac:dyDescent="0.2">
      <c r="A228" s="1520" t="s">
        <v>1149</v>
      </c>
      <c r="B228" s="615">
        <v>1900</v>
      </c>
      <c r="C228" s="617"/>
      <c r="D228" s="466">
        <f>[1]!'acct[50-19002].adjbal{1}'</f>
        <v>0</v>
      </c>
      <c r="E228" s="617"/>
      <c r="F228" s="617"/>
      <c r="G228" s="617"/>
      <c r="H228" s="617"/>
      <c r="I228" s="617"/>
      <c r="J228" s="617"/>
      <c r="K228" s="1686">
        <f t="shared" si="19"/>
        <v>0</v>
      </c>
      <c r="L228" s="466"/>
    </row>
    <row r="229" spans="1:12" ht="12.75" customHeight="1" thickBot="1" x14ac:dyDescent="0.25">
      <c r="A229" s="1683" t="s">
        <v>739</v>
      </c>
      <c r="B229" s="1690" t="s">
        <v>591</v>
      </c>
      <c r="C229" s="617"/>
      <c r="D229" s="1685">
        <f>SUM(D215:D228)</f>
        <v>124126</v>
      </c>
      <c r="E229" s="617"/>
      <c r="F229" s="617"/>
      <c r="G229" s="617"/>
      <c r="H229" s="617"/>
      <c r="I229" s="617"/>
      <c r="J229" s="617"/>
      <c r="K229" s="1685">
        <f>SUM(K215:K228)</f>
        <v>124126</v>
      </c>
      <c r="L229" s="1685">
        <f>SUM(L215:L228)</f>
        <v>123850</v>
      </c>
    </row>
    <row r="230" spans="1:12" ht="15.75" customHeight="1" thickTop="1" x14ac:dyDescent="0.2">
      <c r="A230" s="1628" t="s">
        <v>929</v>
      </c>
      <c r="B230" s="1629"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0" t="s">
        <v>1150</v>
      </c>
      <c r="B232" s="615">
        <v>2110</v>
      </c>
      <c r="C232" s="617"/>
      <c r="D232" s="466">
        <f>[1]!'acct[50-21102].adjbal{1}'</f>
        <v>0</v>
      </c>
      <c r="E232" s="617"/>
      <c r="F232" s="617"/>
      <c r="G232" s="617"/>
      <c r="H232" s="617"/>
      <c r="I232" s="617"/>
      <c r="J232" s="617"/>
      <c r="K232" s="1686">
        <f t="shared" ref="K232:K237" si="20">D232</f>
        <v>0</v>
      </c>
      <c r="L232" s="466"/>
    </row>
    <row r="233" spans="1:12" x14ac:dyDescent="0.2">
      <c r="A233" s="1520" t="s">
        <v>1151</v>
      </c>
      <c r="B233" s="615">
        <v>2120</v>
      </c>
      <c r="C233" s="617"/>
      <c r="D233" s="466">
        <f>[1]!'acct[50-21202].adjbal{1}'</f>
        <v>1668</v>
      </c>
      <c r="E233" s="617"/>
      <c r="F233" s="617"/>
      <c r="G233" s="617"/>
      <c r="H233" s="617"/>
      <c r="I233" s="617"/>
      <c r="J233" s="617"/>
      <c r="K233" s="1686">
        <f t="shared" si="20"/>
        <v>1668</v>
      </c>
      <c r="L233" s="466">
        <v>1800</v>
      </c>
    </row>
    <row r="234" spans="1:12" x14ac:dyDescent="0.2">
      <c r="A234" s="1520" t="s">
        <v>207</v>
      </c>
      <c r="B234" s="615">
        <v>2130</v>
      </c>
      <c r="C234" s="617"/>
      <c r="D234" s="466">
        <f>[1]!'acct[50-21302].adjbal{1}'</f>
        <v>10497</v>
      </c>
      <c r="E234" s="617"/>
      <c r="F234" s="617"/>
      <c r="G234" s="617"/>
      <c r="H234" s="617"/>
      <c r="I234" s="617"/>
      <c r="J234" s="617"/>
      <c r="K234" s="1686">
        <f t="shared" si="20"/>
        <v>10497</v>
      </c>
      <c r="L234" s="466">
        <v>10400</v>
      </c>
    </row>
    <row r="235" spans="1:12" x14ac:dyDescent="0.2">
      <c r="A235" s="1520" t="s">
        <v>208</v>
      </c>
      <c r="B235" s="615">
        <v>2140</v>
      </c>
      <c r="C235" s="617"/>
      <c r="D235" s="466">
        <f>[1]!'acct[50-21402].adjbal{1}'</f>
        <v>0</v>
      </c>
      <c r="E235" s="617"/>
      <c r="F235" s="617"/>
      <c r="G235" s="617"/>
      <c r="H235" s="617"/>
      <c r="I235" s="617"/>
      <c r="J235" s="617"/>
      <c r="K235" s="1686">
        <f t="shared" si="20"/>
        <v>0</v>
      </c>
      <c r="L235" s="466"/>
    </row>
    <row r="236" spans="1:12" x14ac:dyDescent="0.2">
      <c r="A236" s="1520" t="s">
        <v>209</v>
      </c>
      <c r="B236" s="615">
        <v>2150</v>
      </c>
      <c r="C236" s="617"/>
      <c r="D236" s="466">
        <f>[1]!'acct[50-21502].adjbal{1}'</f>
        <v>1118</v>
      </c>
      <c r="E236" s="617"/>
      <c r="F236" s="617"/>
      <c r="G236" s="617"/>
      <c r="H236" s="617"/>
      <c r="I236" s="617"/>
      <c r="J236" s="617"/>
      <c r="K236" s="1686">
        <f t="shared" si="20"/>
        <v>1118</v>
      </c>
      <c r="L236" s="466">
        <v>1250</v>
      </c>
    </row>
    <row r="237" spans="1:12" x14ac:dyDescent="0.2">
      <c r="A237" s="1520" t="s">
        <v>167</v>
      </c>
      <c r="B237" s="615">
        <v>2190</v>
      </c>
      <c r="C237" s="617"/>
      <c r="D237" s="466">
        <f>[1]!'acct[50-21902].adjbal{1}'</f>
        <v>0</v>
      </c>
      <c r="E237" s="617"/>
      <c r="F237" s="617"/>
      <c r="G237" s="617"/>
      <c r="H237" s="617"/>
      <c r="I237" s="617"/>
      <c r="J237" s="617"/>
      <c r="K237" s="1686">
        <f t="shared" si="20"/>
        <v>0</v>
      </c>
      <c r="L237" s="466"/>
    </row>
    <row r="238" spans="1:12" ht="12.75" customHeight="1" thickBot="1" x14ac:dyDescent="0.25">
      <c r="A238" s="1683" t="s">
        <v>581</v>
      </c>
      <c r="B238" s="1690" t="s">
        <v>740</v>
      </c>
      <c r="C238" s="617"/>
      <c r="D238" s="1685">
        <f>SUM(D232:D237)</f>
        <v>13283</v>
      </c>
      <c r="E238" s="617"/>
      <c r="F238" s="617"/>
      <c r="G238" s="617"/>
      <c r="H238" s="617"/>
      <c r="I238" s="617"/>
      <c r="J238" s="617"/>
      <c r="K238" s="1685">
        <f>SUM(K232:K237)</f>
        <v>13283</v>
      </c>
      <c r="L238" s="1685">
        <f>SUM(L232:L237)</f>
        <v>13450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0" t="s">
        <v>868</v>
      </c>
      <c r="B240" s="615">
        <v>2210</v>
      </c>
      <c r="C240" s="617"/>
      <c r="D240" s="481">
        <f>[1]!'acct[50-22102].adjbal{1}'</f>
        <v>27</v>
      </c>
      <c r="E240" s="617"/>
      <c r="F240" s="617"/>
      <c r="G240" s="617"/>
      <c r="H240" s="617"/>
      <c r="I240" s="617"/>
      <c r="J240" s="617"/>
      <c r="K240" s="1687">
        <f>D240</f>
        <v>27</v>
      </c>
      <c r="L240" s="481">
        <v>20</v>
      </c>
    </row>
    <row r="241" spans="1:12" x14ac:dyDescent="0.2">
      <c r="A241" s="1520" t="s">
        <v>869</v>
      </c>
      <c r="B241" s="615">
        <v>2220</v>
      </c>
      <c r="C241" s="617"/>
      <c r="D241" s="466">
        <f>[1]!'acct[50-22202].adjbal{1}'</f>
        <v>8648</v>
      </c>
      <c r="E241" s="617"/>
      <c r="F241" s="617"/>
      <c r="G241" s="617"/>
      <c r="H241" s="617"/>
      <c r="I241" s="617"/>
      <c r="J241" s="617"/>
      <c r="K241" s="1687">
        <f>D241</f>
        <v>8648</v>
      </c>
      <c r="L241" s="466">
        <v>9300</v>
      </c>
    </row>
    <row r="242" spans="1:12" x14ac:dyDescent="0.2">
      <c r="A242" s="1520" t="s">
        <v>870</v>
      </c>
      <c r="B242" s="615">
        <v>2230</v>
      </c>
      <c r="C242" s="617"/>
      <c r="D242" s="466">
        <f>[1]!'acct[50-22302].adjbal{1}'</f>
        <v>0</v>
      </c>
      <c r="E242" s="617"/>
      <c r="F242" s="617"/>
      <c r="G242" s="617"/>
      <c r="H242" s="617"/>
      <c r="I242" s="617"/>
      <c r="J242" s="617"/>
      <c r="K242" s="1687">
        <f>D242</f>
        <v>0</v>
      </c>
      <c r="L242" s="466"/>
    </row>
    <row r="243" spans="1:12" ht="12.75" customHeight="1" thickBot="1" x14ac:dyDescent="0.25">
      <c r="A243" s="1709" t="s">
        <v>582</v>
      </c>
      <c r="B243" s="1710">
        <v>2200</v>
      </c>
      <c r="C243" s="617"/>
      <c r="D243" s="1685">
        <f>SUM(D240:D242)</f>
        <v>8675</v>
      </c>
      <c r="E243" s="617"/>
      <c r="F243" s="617"/>
      <c r="G243" s="617"/>
      <c r="H243" s="617"/>
      <c r="I243" s="617"/>
      <c r="J243" s="617"/>
      <c r="K243" s="1685">
        <f>SUM(K240:K242)</f>
        <v>8675</v>
      </c>
      <c r="L243" s="1685">
        <f>SUM(L240:L242)</f>
        <v>9320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0" t="s">
        <v>871</v>
      </c>
      <c r="B245" s="615">
        <v>2310</v>
      </c>
      <c r="C245" s="617"/>
      <c r="D245" s="481">
        <f>[1]!'acct[50-23102].adjbal{1}'</f>
        <v>251</v>
      </c>
      <c r="E245" s="617"/>
      <c r="F245" s="617"/>
      <c r="G245" s="617"/>
      <c r="H245" s="617"/>
      <c r="I245" s="617"/>
      <c r="J245" s="617"/>
      <c r="K245" s="1687">
        <f>D245</f>
        <v>251</v>
      </c>
      <c r="L245" s="481">
        <v>275</v>
      </c>
    </row>
    <row r="246" spans="1:12" x14ac:dyDescent="0.2">
      <c r="A246" s="1520" t="s">
        <v>872</v>
      </c>
      <c r="B246" s="615">
        <v>2320</v>
      </c>
      <c r="C246" s="617"/>
      <c r="D246" s="466">
        <f>[1]!'acct[50-23202].adjbal{1}'</f>
        <v>2115</v>
      </c>
      <c r="E246" s="617"/>
      <c r="F246" s="617"/>
      <c r="G246" s="617"/>
      <c r="H246" s="617"/>
      <c r="I246" s="617"/>
      <c r="J246" s="617"/>
      <c r="K246" s="1687">
        <f t="shared" ref="K246:K256" si="21">D246</f>
        <v>2115</v>
      </c>
      <c r="L246" s="466">
        <v>2400</v>
      </c>
    </row>
    <row r="247" spans="1:12" x14ac:dyDescent="0.2">
      <c r="A247" s="1520" t="s">
        <v>873</v>
      </c>
      <c r="B247" s="615">
        <v>2330</v>
      </c>
      <c r="C247" s="617"/>
      <c r="D247" s="466">
        <f>[1]!'acct[50-23302].adjbal{1}'</f>
        <v>0</v>
      </c>
      <c r="E247" s="617"/>
      <c r="F247" s="617"/>
      <c r="G247" s="617"/>
      <c r="H247" s="617"/>
      <c r="I247" s="617"/>
      <c r="J247" s="617"/>
      <c r="K247" s="1687">
        <f t="shared" si="21"/>
        <v>0</v>
      </c>
      <c r="L247" s="466"/>
    </row>
    <row r="248" spans="1:12" x14ac:dyDescent="0.2">
      <c r="A248" s="1521" t="s">
        <v>317</v>
      </c>
      <c r="B248" s="603" t="s">
        <v>299</v>
      </c>
      <c r="C248" s="617"/>
      <c r="D248" s="474">
        <f>[1]!'acct[50-23612].adjbal{1}'</f>
        <v>0</v>
      </c>
      <c r="E248" s="617"/>
      <c r="F248" s="617"/>
      <c r="G248" s="617"/>
      <c r="H248" s="617"/>
      <c r="I248" s="617"/>
      <c r="J248" s="617"/>
      <c r="K248" s="1687">
        <f t="shared" si="21"/>
        <v>0</v>
      </c>
      <c r="L248" s="466"/>
    </row>
    <row r="249" spans="1:12" x14ac:dyDescent="0.2">
      <c r="A249" s="1522" t="s">
        <v>1906</v>
      </c>
      <c r="B249" s="683" t="s">
        <v>300</v>
      </c>
      <c r="C249" s="617"/>
      <c r="D249" s="474">
        <f>[1]!'acct[50-23622].adjbal{1}'</f>
        <v>0</v>
      </c>
      <c r="E249" s="617"/>
      <c r="F249" s="617"/>
      <c r="G249" s="617"/>
      <c r="H249" s="617"/>
      <c r="I249" s="617"/>
      <c r="J249" s="617"/>
      <c r="K249" s="1687">
        <f t="shared" si="21"/>
        <v>0</v>
      </c>
      <c r="L249" s="466"/>
    </row>
    <row r="250" spans="1:12" x14ac:dyDescent="0.2">
      <c r="A250" s="1521" t="s">
        <v>1907</v>
      </c>
      <c r="B250" s="603" t="s">
        <v>301</v>
      </c>
      <c r="C250" s="617"/>
      <c r="D250" s="474">
        <f>[1]!'acct[50-23632].adjbal{1}'</f>
        <v>0</v>
      </c>
      <c r="E250" s="617"/>
      <c r="F250" s="617"/>
      <c r="G250" s="617"/>
      <c r="H250" s="617"/>
      <c r="I250" s="617"/>
      <c r="J250" s="617"/>
      <c r="K250" s="1687">
        <f t="shared" si="21"/>
        <v>0</v>
      </c>
      <c r="L250" s="466"/>
    </row>
    <row r="251" spans="1:12" x14ac:dyDescent="0.2">
      <c r="A251" s="1521" t="s">
        <v>256</v>
      </c>
      <c r="B251" s="603" t="s">
        <v>302</v>
      </c>
      <c r="C251" s="617"/>
      <c r="D251" s="474">
        <f>[1]!'acct[50-23642].adjbal{1}'</f>
        <v>0</v>
      </c>
      <c r="E251" s="617"/>
      <c r="F251" s="617"/>
      <c r="G251" s="617"/>
      <c r="H251" s="617"/>
      <c r="I251" s="617"/>
      <c r="J251" s="617"/>
      <c r="K251" s="1687">
        <f t="shared" si="21"/>
        <v>0</v>
      </c>
      <c r="L251" s="466"/>
    </row>
    <row r="252" spans="1:12" x14ac:dyDescent="0.2">
      <c r="A252" s="1521" t="s">
        <v>726</v>
      </c>
      <c r="B252" s="603" t="s">
        <v>303</v>
      </c>
      <c r="C252" s="617"/>
      <c r="D252" s="474">
        <f>[1]!'acct[50-23652].adjbal{1}'</f>
        <v>0</v>
      </c>
      <c r="E252" s="617"/>
      <c r="F252" s="617"/>
      <c r="G252" s="617"/>
      <c r="H252" s="617"/>
      <c r="I252" s="617"/>
      <c r="J252" s="617"/>
      <c r="K252" s="1687">
        <f t="shared" si="21"/>
        <v>0</v>
      </c>
      <c r="L252" s="466"/>
    </row>
    <row r="253" spans="1:12" x14ac:dyDescent="0.2">
      <c r="A253" s="1521" t="s">
        <v>257</v>
      </c>
      <c r="B253" s="603" t="s">
        <v>304</v>
      </c>
      <c r="C253" s="617"/>
      <c r="D253" s="474">
        <f>[1]!'acct[50-23662].adjbal{1}'</f>
        <v>0</v>
      </c>
      <c r="E253" s="617"/>
      <c r="F253" s="617"/>
      <c r="G253" s="617"/>
      <c r="H253" s="617"/>
      <c r="I253" s="617"/>
      <c r="J253" s="617"/>
      <c r="K253" s="1687">
        <f t="shared" si="21"/>
        <v>0</v>
      </c>
      <c r="L253" s="466"/>
    </row>
    <row r="254" spans="1:12" ht="22.5" x14ac:dyDescent="0.2">
      <c r="A254" s="1521" t="s">
        <v>1087</v>
      </c>
      <c r="B254" s="683" t="s">
        <v>305</v>
      </c>
      <c r="C254" s="617"/>
      <c r="D254" s="474">
        <f>[1]!'acct[50-23672].adjbal{1}'</f>
        <v>0</v>
      </c>
      <c r="E254" s="617"/>
      <c r="F254" s="617"/>
      <c r="G254" s="617"/>
      <c r="H254" s="617"/>
      <c r="I254" s="617"/>
      <c r="J254" s="617"/>
      <c r="K254" s="1687">
        <f t="shared" si="21"/>
        <v>0</v>
      </c>
      <c r="L254" s="466"/>
    </row>
    <row r="255" spans="1:12" x14ac:dyDescent="0.2">
      <c r="A255" s="1521" t="s">
        <v>1088</v>
      </c>
      <c r="B255" s="603" t="s">
        <v>306</v>
      </c>
      <c r="C255" s="617"/>
      <c r="D255" s="474">
        <f>[1]!'acct[50-23682].adjbal{1}'</f>
        <v>0</v>
      </c>
      <c r="E255" s="617"/>
      <c r="F255" s="617"/>
      <c r="G255" s="617"/>
      <c r="H255" s="617"/>
      <c r="I255" s="617"/>
      <c r="J255" s="617"/>
      <c r="K255" s="1687">
        <f t="shared" si="21"/>
        <v>0</v>
      </c>
      <c r="L255" s="466"/>
    </row>
    <row r="256" spans="1:12" x14ac:dyDescent="0.2">
      <c r="A256" s="1521" t="s">
        <v>1028</v>
      </c>
      <c r="B256" s="615" t="s">
        <v>307</v>
      </c>
      <c r="C256" s="617"/>
      <c r="D256" s="474">
        <f>[1]!'acct[50-23692].adjbal{1}'</f>
        <v>0</v>
      </c>
      <c r="E256" s="617"/>
      <c r="F256" s="617"/>
      <c r="G256" s="617"/>
      <c r="H256" s="617"/>
      <c r="I256" s="617"/>
      <c r="J256" s="617"/>
      <c r="K256" s="1687">
        <f t="shared" si="21"/>
        <v>0</v>
      </c>
      <c r="L256" s="466"/>
    </row>
    <row r="257" spans="1:14" ht="12.75" customHeight="1" thickBot="1" x14ac:dyDescent="0.25">
      <c r="A257" s="1683" t="s">
        <v>741</v>
      </c>
      <c r="B257" s="1711">
        <v>2300</v>
      </c>
      <c r="C257" s="617"/>
      <c r="D257" s="1685">
        <f>SUM(D245:D256)</f>
        <v>2366</v>
      </c>
      <c r="E257" s="617"/>
      <c r="F257" s="617"/>
      <c r="G257" s="617"/>
      <c r="H257" s="617"/>
      <c r="I257" s="617"/>
      <c r="J257" s="617"/>
      <c r="K257" s="1685">
        <f>SUM(K245:K256)</f>
        <v>2366</v>
      </c>
      <c r="L257" s="1685">
        <f>SUM(L245:L256)</f>
        <v>2675</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0" t="s">
        <v>1127</v>
      </c>
      <c r="B259" s="685">
        <v>2410</v>
      </c>
      <c r="C259" s="617"/>
      <c r="D259" s="481">
        <f>[1]!'acct[50-24102].adjbal{1}'</f>
        <v>47362</v>
      </c>
      <c r="E259" s="617"/>
      <c r="F259" s="617"/>
      <c r="G259" s="617"/>
      <c r="H259" s="617"/>
      <c r="I259" s="617"/>
      <c r="J259" s="617"/>
      <c r="K259" s="1687">
        <f>D259</f>
        <v>47362</v>
      </c>
      <c r="L259" s="481">
        <v>46050</v>
      </c>
    </row>
    <row r="260" spans="1:14" s="598" customFormat="1" x14ac:dyDescent="0.2">
      <c r="A260" s="1538" t="s">
        <v>1905</v>
      </c>
      <c r="B260" s="629">
        <v>2490</v>
      </c>
      <c r="C260" s="617"/>
      <c r="D260" s="466">
        <f>[1]!'acct[50-24902].adjbal{1}'</f>
        <v>0</v>
      </c>
      <c r="E260" s="617"/>
      <c r="F260" s="617"/>
      <c r="G260" s="617"/>
      <c r="H260" s="617"/>
      <c r="I260" s="617"/>
      <c r="J260" s="617"/>
      <c r="K260" s="1687">
        <f>D260</f>
        <v>0</v>
      </c>
      <c r="L260" s="466"/>
      <c r="M260" s="210"/>
      <c r="N260" s="210"/>
    </row>
    <row r="261" spans="1:14" ht="12.75" customHeight="1" thickBot="1" x14ac:dyDescent="0.25">
      <c r="A261" s="1707" t="s">
        <v>281</v>
      </c>
      <c r="B261" s="1712" t="s">
        <v>34</v>
      </c>
      <c r="C261" s="617"/>
      <c r="D261" s="1685">
        <f>SUM(D259:D260)</f>
        <v>47362</v>
      </c>
      <c r="E261" s="617"/>
      <c r="F261" s="617"/>
      <c r="G261" s="617"/>
      <c r="H261" s="617"/>
      <c r="I261" s="617"/>
      <c r="J261" s="617"/>
      <c r="K261" s="1685">
        <f>SUM(K259:K260)</f>
        <v>47362</v>
      </c>
      <c r="L261" s="1685">
        <f>SUM(L259:L260)</f>
        <v>46050</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0" t="s">
        <v>1128</v>
      </c>
      <c r="B263" s="685">
        <v>2510</v>
      </c>
      <c r="C263" s="617"/>
      <c r="D263" s="466">
        <f>[1]!'acct[50-25102].adjbal{1}'</f>
        <v>0</v>
      </c>
      <c r="E263" s="617"/>
      <c r="F263" s="617"/>
      <c r="G263" s="617"/>
      <c r="H263" s="617"/>
      <c r="I263" s="617"/>
      <c r="J263" s="617"/>
      <c r="K263" s="1687">
        <f>D263</f>
        <v>0</v>
      </c>
      <c r="L263" s="481"/>
    </row>
    <row r="264" spans="1:14" x14ac:dyDescent="0.2">
      <c r="A264" s="1520" t="s">
        <v>483</v>
      </c>
      <c r="B264" s="685">
        <v>2520</v>
      </c>
      <c r="C264" s="617"/>
      <c r="D264" s="466">
        <f>[1]!'acct[50-25202].adjbal{1}'</f>
        <v>18016</v>
      </c>
      <c r="E264" s="617"/>
      <c r="F264" s="617"/>
      <c r="G264" s="617"/>
      <c r="H264" s="617"/>
      <c r="I264" s="617"/>
      <c r="J264" s="617"/>
      <c r="K264" s="1687">
        <f t="shared" ref="K264:K269" si="22">D264</f>
        <v>18016</v>
      </c>
      <c r="L264" s="466">
        <v>20500</v>
      </c>
    </row>
    <row r="265" spans="1:14" x14ac:dyDescent="0.2">
      <c r="A265" s="1520" t="s">
        <v>4</v>
      </c>
      <c r="B265" s="615">
        <v>2530</v>
      </c>
      <c r="C265" s="617"/>
      <c r="D265" s="466">
        <f>[1]!'acct[50-25302].adjbal{1}'</f>
        <v>0</v>
      </c>
      <c r="E265" s="617"/>
      <c r="F265" s="617"/>
      <c r="G265" s="617"/>
      <c r="H265" s="617"/>
      <c r="I265" s="617"/>
      <c r="J265" s="617"/>
      <c r="K265" s="1687">
        <f t="shared" si="22"/>
        <v>0</v>
      </c>
      <c r="L265" s="466"/>
    </row>
    <row r="266" spans="1:14" x14ac:dyDescent="0.2">
      <c r="A266" s="1520" t="s">
        <v>206</v>
      </c>
      <c r="B266" s="615">
        <v>2540</v>
      </c>
      <c r="C266" s="617"/>
      <c r="D266" s="466">
        <f>[1]!'acct[50-25402].adjbal{1}'</f>
        <v>74609</v>
      </c>
      <c r="E266" s="617"/>
      <c r="F266" s="617"/>
      <c r="G266" s="617"/>
      <c r="H266" s="617"/>
      <c r="I266" s="617"/>
      <c r="J266" s="617"/>
      <c r="K266" s="1687">
        <f t="shared" si="22"/>
        <v>74609</v>
      </c>
      <c r="L266" s="466">
        <v>84100</v>
      </c>
    </row>
    <row r="267" spans="1:14" x14ac:dyDescent="0.2">
      <c r="A267" s="1520" t="s">
        <v>1010</v>
      </c>
      <c r="B267" s="615">
        <v>2550</v>
      </c>
      <c r="C267" s="617"/>
      <c r="D267" s="466">
        <f>[1]!'acct[50-25502].adjbal{1}'</f>
        <v>5547</v>
      </c>
      <c r="E267" s="617"/>
      <c r="F267" s="617"/>
      <c r="G267" s="617"/>
      <c r="H267" s="617"/>
      <c r="I267" s="617"/>
      <c r="J267" s="617"/>
      <c r="K267" s="1687">
        <f t="shared" si="22"/>
        <v>5547</v>
      </c>
      <c r="L267" s="466">
        <v>5600</v>
      </c>
    </row>
    <row r="268" spans="1:14" x14ac:dyDescent="0.2">
      <c r="A268" s="1520" t="s">
        <v>102</v>
      </c>
      <c r="B268" s="615">
        <v>2560</v>
      </c>
      <c r="C268" s="617"/>
      <c r="D268" s="466">
        <f>[1]!'acct[50-25602].adjbal{1}'</f>
        <v>29441</v>
      </c>
      <c r="E268" s="617"/>
      <c r="F268" s="617"/>
      <c r="G268" s="617"/>
      <c r="H268" s="617"/>
      <c r="I268" s="617"/>
      <c r="J268" s="617"/>
      <c r="K268" s="1687">
        <f t="shared" si="22"/>
        <v>29441</v>
      </c>
      <c r="L268" s="466">
        <v>31660</v>
      </c>
    </row>
    <row r="269" spans="1:14" x14ac:dyDescent="0.2">
      <c r="A269" s="1520" t="s">
        <v>103</v>
      </c>
      <c r="B269" s="615">
        <v>2570</v>
      </c>
      <c r="C269" s="617"/>
      <c r="D269" s="466">
        <f>[1]!'acct[50-25702].adjbal{1}'</f>
        <v>0</v>
      </c>
      <c r="E269" s="617"/>
      <c r="F269" s="617"/>
      <c r="G269" s="617"/>
      <c r="H269" s="617"/>
      <c r="I269" s="617"/>
      <c r="J269" s="617"/>
      <c r="K269" s="1687">
        <f t="shared" si="22"/>
        <v>0</v>
      </c>
      <c r="L269" s="466"/>
    </row>
    <row r="270" spans="1:14" ht="12.75" customHeight="1" thickBot="1" x14ac:dyDescent="0.25">
      <c r="A270" s="1683" t="s">
        <v>743</v>
      </c>
      <c r="B270" s="1690" t="s">
        <v>35</v>
      </c>
      <c r="C270" s="617"/>
      <c r="D270" s="1685">
        <f>SUM(D263:D269)</f>
        <v>127613</v>
      </c>
      <c r="E270" s="617"/>
      <c r="F270" s="617"/>
      <c r="G270" s="617"/>
      <c r="H270" s="617"/>
      <c r="I270" s="617"/>
      <c r="J270" s="617"/>
      <c r="K270" s="1685">
        <f>SUM(K263:K269)</f>
        <v>127613</v>
      </c>
      <c r="L270" s="1685">
        <f>SUM(L263:L269)</f>
        <v>141860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0" t="s">
        <v>1120</v>
      </c>
      <c r="B272" s="615">
        <v>2610</v>
      </c>
      <c r="C272" s="617"/>
      <c r="D272" s="481">
        <f>[1]!'acct[50-26102].adjbal{1}'</f>
        <v>0</v>
      </c>
      <c r="E272" s="617"/>
      <c r="F272" s="617"/>
      <c r="G272" s="617"/>
      <c r="H272" s="617"/>
      <c r="I272" s="617"/>
      <c r="J272" s="617"/>
      <c r="K272" s="1687">
        <f>D272</f>
        <v>0</v>
      </c>
      <c r="L272" s="481"/>
    </row>
    <row r="273" spans="1:12" x14ac:dyDescent="0.2">
      <c r="A273" s="1520" t="s">
        <v>628</v>
      </c>
      <c r="B273" s="629">
        <v>2620</v>
      </c>
      <c r="C273" s="617"/>
      <c r="D273" s="466">
        <f>[1]!'acct[50-26202].adjbal{1}'</f>
        <v>0</v>
      </c>
      <c r="E273" s="617"/>
      <c r="F273" s="617"/>
      <c r="G273" s="617"/>
      <c r="H273" s="617"/>
      <c r="I273" s="617"/>
      <c r="J273" s="617"/>
      <c r="K273" s="1687">
        <f>D273</f>
        <v>0</v>
      </c>
      <c r="L273" s="466"/>
    </row>
    <row r="274" spans="1:12" ht="12" customHeight="1" x14ac:dyDescent="0.2">
      <c r="A274" s="1520" t="s">
        <v>1121</v>
      </c>
      <c r="B274" s="615">
        <v>2630</v>
      </c>
      <c r="C274" s="617"/>
      <c r="D274" s="466">
        <f>[1]!'acct[50-26302].adjbal{1}'</f>
        <v>0</v>
      </c>
      <c r="E274" s="617"/>
      <c r="F274" s="617"/>
      <c r="G274" s="617"/>
      <c r="H274" s="617"/>
      <c r="I274" s="617"/>
      <c r="J274" s="617"/>
      <c r="K274" s="1687">
        <f>D274</f>
        <v>0</v>
      </c>
      <c r="L274" s="466"/>
    </row>
    <row r="275" spans="1:12" x14ac:dyDescent="0.2">
      <c r="A275" s="1520" t="s">
        <v>423</v>
      </c>
      <c r="B275" s="615">
        <v>2640</v>
      </c>
      <c r="C275" s="617"/>
      <c r="D275" s="466">
        <f>[1]!'acct[50-26402].adjbal{1}'</f>
        <v>0</v>
      </c>
      <c r="E275" s="617"/>
      <c r="F275" s="617"/>
      <c r="G275" s="617"/>
      <c r="H275" s="617"/>
      <c r="I275" s="617"/>
      <c r="J275" s="617"/>
      <c r="K275" s="1687">
        <f>D275</f>
        <v>0</v>
      </c>
      <c r="L275" s="466"/>
    </row>
    <row r="276" spans="1:12" x14ac:dyDescent="0.2">
      <c r="A276" s="1520" t="s">
        <v>424</v>
      </c>
      <c r="B276" s="615">
        <v>2660</v>
      </c>
      <c r="C276" s="617"/>
      <c r="D276" s="466">
        <f>[1]!'acct[50-26602].adjbal{1}'</f>
        <v>0</v>
      </c>
      <c r="E276" s="617"/>
      <c r="F276" s="617"/>
      <c r="G276" s="617"/>
      <c r="H276" s="617"/>
      <c r="I276" s="617"/>
      <c r="J276" s="617"/>
      <c r="K276" s="1687">
        <f>D276</f>
        <v>0</v>
      </c>
      <c r="L276" s="466"/>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26" t="s">
        <v>1037</v>
      </c>
      <c r="B278" s="655" t="s">
        <v>595</v>
      </c>
      <c r="C278" s="617"/>
      <c r="D278" s="656">
        <f>[1]!'acct[50-29002].adjbal{1}'</f>
        <v>0</v>
      </c>
      <c r="E278" s="617"/>
      <c r="F278" s="617"/>
      <c r="G278" s="617"/>
      <c r="H278" s="617"/>
      <c r="I278" s="617"/>
      <c r="J278" s="617"/>
      <c r="K278" s="1700">
        <f>D278</f>
        <v>0</v>
      </c>
      <c r="L278" s="656"/>
    </row>
    <row r="279" spans="1:12" ht="12.75" customHeight="1" thickBot="1" x14ac:dyDescent="0.25">
      <c r="A279" s="1713" t="s">
        <v>865</v>
      </c>
      <c r="B279" s="1696">
        <v>2000</v>
      </c>
      <c r="C279" s="617"/>
      <c r="D279" s="1692">
        <f>SUM(D238,D243,D257,D261,D270,D277,D278)</f>
        <v>199299</v>
      </c>
      <c r="E279" s="617"/>
      <c r="F279" s="617"/>
      <c r="G279" s="617"/>
      <c r="H279" s="617"/>
      <c r="I279" s="617"/>
      <c r="J279" s="617"/>
      <c r="K279" s="1692">
        <f>SUM(K238,K243,K257,K261,K270,K277,K278)</f>
        <v>199299</v>
      </c>
      <c r="L279" s="1692">
        <f>SUM(L238,L243,L257,L261,L270,L277,L278)</f>
        <v>213355</v>
      </c>
    </row>
    <row r="280" spans="1:12" ht="15.75" customHeight="1" thickTop="1" thickBot="1" x14ac:dyDescent="0.25">
      <c r="A280" s="1640" t="s">
        <v>930</v>
      </c>
      <c r="B280" s="1629">
        <v>3000</v>
      </c>
      <c r="C280" s="617"/>
      <c r="D280" s="576">
        <f>[1]!'acct[50-30002].adjbal{1}'</f>
        <v>0</v>
      </c>
      <c r="E280" s="617"/>
      <c r="F280" s="617"/>
      <c r="G280" s="617"/>
      <c r="H280" s="617"/>
      <c r="I280" s="617"/>
      <c r="J280" s="617"/>
      <c r="K280" s="1694">
        <f>D280</f>
        <v>0</v>
      </c>
      <c r="L280" s="576"/>
    </row>
    <row r="281" spans="1:12" ht="15.75" customHeight="1" thickTop="1" x14ac:dyDescent="0.2">
      <c r="A281" s="1630" t="s">
        <v>144</v>
      </c>
      <c r="B281" s="1631" t="s">
        <v>915</v>
      </c>
      <c r="C281" s="617"/>
      <c r="D281" s="566"/>
      <c r="E281" s="617"/>
      <c r="F281" s="617"/>
      <c r="G281" s="617"/>
      <c r="H281" s="617"/>
      <c r="I281" s="617"/>
      <c r="J281" s="617"/>
      <c r="K281" s="617"/>
      <c r="L281" s="617"/>
    </row>
    <row r="282" spans="1:12" ht="15.75" customHeight="1" x14ac:dyDescent="0.2">
      <c r="A282" s="1846" t="s">
        <v>517</v>
      </c>
      <c r="B282" s="690" t="s">
        <v>1955</v>
      </c>
      <c r="C282" s="617"/>
      <c r="D282" s="467" t="str">
        <f>[1]!'acct[50-41102].adjbal{1}'</f>
        <v xml:space="preserve"> </v>
      </c>
      <c r="E282" s="617"/>
      <c r="F282" s="617"/>
      <c r="G282" s="617"/>
      <c r="H282" s="617"/>
      <c r="I282" s="617"/>
      <c r="J282" s="617"/>
      <c r="K282" s="1686" t="str">
        <f>D282</f>
        <v xml:space="preserve"> </v>
      </c>
      <c r="L282" s="467"/>
    </row>
    <row r="283" spans="1:12" x14ac:dyDescent="0.2">
      <c r="A283" s="1520" t="s">
        <v>322</v>
      </c>
      <c r="B283" s="615">
        <v>4120</v>
      </c>
      <c r="C283" s="617"/>
      <c r="D283" s="466">
        <f>[1]!'acct[50-41202].adjbal{1}'</f>
        <v>0</v>
      </c>
      <c r="E283" s="617"/>
      <c r="F283" s="617"/>
      <c r="G283" s="617"/>
      <c r="H283" s="617"/>
      <c r="I283" s="617"/>
      <c r="J283" s="617"/>
      <c r="K283" s="1686">
        <f>D283</f>
        <v>0</v>
      </c>
      <c r="L283" s="466"/>
    </row>
    <row r="284" spans="1:12" x14ac:dyDescent="0.2">
      <c r="A284" s="1520" t="s">
        <v>721</v>
      </c>
      <c r="B284" s="615">
        <v>4140</v>
      </c>
      <c r="C284" s="617"/>
      <c r="D284" s="467">
        <f>[1]!'acct[50-41402].adjbal{1}'</f>
        <v>0</v>
      </c>
      <c r="E284" s="617"/>
      <c r="F284" s="617"/>
      <c r="G284" s="617"/>
      <c r="H284" s="617"/>
      <c r="I284" s="617"/>
      <c r="J284" s="617"/>
      <c r="K284" s="1686">
        <f>D284</f>
        <v>0</v>
      </c>
      <c r="L284" s="466"/>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28" t="s">
        <v>931</v>
      </c>
      <c r="B286" s="1625"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0" t="s">
        <v>89</v>
      </c>
      <c r="B288" s="615">
        <v>5110</v>
      </c>
      <c r="C288" s="617"/>
      <c r="D288" s="617"/>
      <c r="E288" s="617"/>
      <c r="F288" s="617"/>
      <c r="G288" s="617"/>
      <c r="H288" s="466">
        <f>[1]!'acct[50-51106].adjbal{1}'</f>
        <v>0</v>
      </c>
      <c r="I288" s="617"/>
      <c r="J288" s="617"/>
      <c r="K288" s="1686">
        <f>H288</f>
        <v>0</v>
      </c>
      <c r="L288" s="466"/>
    </row>
    <row r="289" spans="1:14" x14ac:dyDescent="0.2">
      <c r="A289" s="1520" t="s">
        <v>90</v>
      </c>
      <c r="B289" s="615">
        <v>5120</v>
      </c>
      <c r="C289" s="617"/>
      <c r="D289" s="617"/>
      <c r="E289" s="617"/>
      <c r="F289" s="617"/>
      <c r="G289" s="617"/>
      <c r="H289" s="466">
        <f>[1]!'acct[50-51206].adjbal{1}'</f>
        <v>0</v>
      </c>
      <c r="I289" s="617"/>
      <c r="J289" s="617"/>
      <c r="K289" s="1686">
        <f>H289</f>
        <v>0</v>
      </c>
      <c r="L289" s="466"/>
    </row>
    <row r="290" spans="1:14" ht="12.75" customHeight="1" x14ac:dyDescent="0.2">
      <c r="A290" s="1520" t="s">
        <v>1232</v>
      </c>
      <c r="B290" s="629" t="s">
        <v>638</v>
      </c>
      <c r="C290" s="617"/>
      <c r="D290" s="617"/>
      <c r="E290" s="617"/>
      <c r="F290" s="617"/>
      <c r="G290" s="617"/>
      <c r="H290" s="466">
        <f>[1]!'acct[50-51306].adjbal{1}'</f>
        <v>0</v>
      </c>
      <c r="I290" s="617"/>
      <c r="J290" s="617"/>
      <c r="K290" s="1686">
        <f>H290</f>
        <v>0</v>
      </c>
      <c r="L290" s="466"/>
    </row>
    <row r="291" spans="1:14" x14ac:dyDescent="0.2">
      <c r="A291" s="1520" t="s">
        <v>91</v>
      </c>
      <c r="B291" s="615" t="s">
        <v>610</v>
      </c>
      <c r="C291" s="617"/>
      <c r="D291" s="617"/>
      <c r="E291" s="617"/>
      <c r="F291" s="617"/>
      <c r="G291" s="617"/>
      <c r="H291" s="466">
        <f>[1]!'acct[50-51406].adjbal{1}'</f>
        <v>0</v>
      </c>
      <c r="I291" s="617"/>
      <c r="J291" s="617"/>
      <c r="K291" s="1686">
        <f>H291</f>
        <v>0</v>
      </c>
      <c r="L291" s="466"/>
    </row>
    <row r="292" spans="1:14" x14ac:dyDescent="0.2">
      <c r="A292" s="1520" t="s">
        <v>786</v>
      </c>
      <c r="B292" s="615" t="s">
        <v>639</v>
      </c>
      <c r="C292" s="617"/>
      <c r="D292" s="617"/>
      <c r="E292" s="617"/>
      <c r="F292" s="617"/>
      <c r="G292" s="617"/>
      <c r="H292" s="466">
        <f>[1]!'acct[50-51506].adjbal{1}'</f>
        <v>0</v>
      </c>
      <c r="I292" s="617"/>
      <c r="J292" s="617"/>
      <c r="K292" s="1686">
        <f>H292</f>
        <v>0</v>
      </c>
      <c r="L292" s="466"/>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1" t="s">
        <v>932</v>
      </c>
      <c r="B294" s="1629" t="s">
        <v>916</v>
      </c>
      <c r="C294" s="617"/>
      <c r="D294" s="624"/>
      <c r="E294" s="617"/>
      <c r="F294" s="617"/>
      <c r="G294" s="617"/>
      <c r="H294" s="686"/>
      <c r="I294" s="617"/>
      <c r="J294" s="617"/>
      <c r="K294" s="686"/>
      <c r="L294" s="578"/>
    </row>
    <row r="295" spans="1:14" ht="12.75" customHeight="1" thickTop="1" thickBot="1" x14ac:dyDescent="0.25">
      <c r="A295" s="2203" t="s">
        <v>526</v>
      </c>
      <c r="B295" s="2204"/>
      <c r="C295" s="617"/>
      <c r="D295" s="1685">
        <f>SUM(D229,D279,D280,D285)</f>
        <v>323425</v>
      </c>
      <c r="E295" s="617"/>
      <c r="F295" s="617"/>
      <c r="G295" s="617"/>
      <c r="H295" s="1685">
        <f>H293</f>
        <v>0</v>
      </c>
      <c r="I295" s="617"/>
      <c r="J295" s="617"/>
      <c r="K295" s="1685">
        <f>SUM(K229,K279,K280,K285,K293,K294)</f>
        <v>323425</v>
      </c>
      <c r="L295" s="1685">
        <f>SUM(L229,L279,L280,L285,L293,L294)</f>
        <v>337205</v>
      </c>
    </row>
    <row r="296" spans="1:14" ht="13.5" thickTop="1" x14ac:dyDescent="0.2">
      <c r="A296" s="2185" t="s">
        <v>1053</v>
      </c>
      <c r="B296" s="2186"/>
      <c r="C296" s="617"/>
      <c r="D296" s="619"/>
      <c r="E296" s="617"/>
      <c r="F296" s="617"/>
      <c r="G296" s="617"/>
      <c r="H296" s="687"/>
      <c r="I296" s="617"/>
      <c r="J296" s="617"/>
      <c r="K296" s="1699">
        <f>'Revenues 9-14'!G275-'Expenditures 15-22'!K295</f>
        <v>27437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5" t="s">
        <v>145</v>
      </c>
      <c r="B298" s="2189"/>
      <c r="C298" s="1567"/>
      <c r="D298" s="1568"/>
      <c r="E298" s="1568"/>
      <c r="F298" s="1568"/>
      <c r="G298" s="1568"/>
      <c r="H298" s="1568"/>
      <c r="I298" s="1568"/>
      <c r="J298" s="1568"/>
      <c r="K298" s="1568"/>
      <c r="L298" s="1569"/>
    </row>
    <row r="299" spans="1:14" ht="15.75" customHeight="1" x14ac:dyDescent="0.2">
      <c r="A299" s="1628" t="s">
        <v>146</v>
      </c>
      <c r="B299" s="1631"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3" t="s">
        <v>629</v>
      </c>
      <c r="B301" s="689">
        <v>2530</v>
      </c>
      <c r="C301" s="466">
        <f>[1]!'acct[60-25301].adjbal{1}'</f>
        <v>0</v>
      </c>
      <c r="D301" s="466">
        <f>[1]!'acct[60-25302].adjbal{1}'</f>
        <v>0</v>
      </c>
      <c r="E301" s="466">
        <f>[1]!'acct[60-25303].adjbal{1}'</f>
        <v>0</v>
      </c>
      <c r="F301" s="466">
        <f>[1]!'acct[60-25304].adjbal{1}'</f>
        <v>0</v>
      </c>
      <c r="G301" s="466">
        <f>[1]!'acct[60-25305].adjbal{1}'</f>
        <v>190224</v>
      </c>
      <c r="H301" s="466">
        <f>[1]!'acct[60-25306].adjbal{1}'</f>
        <v>0</v>
      </c>
      <c r="I301" s="466">
        <f>[1]!'acct[60-25307].adjbal{1}'</f>
        <v>0</v>
      </c>
      <c r="J301" s="466">
        <f>[1]!'acct[60-25308].adjbal{1}'</f>
        <v>0</v>
      </c>
      <c r="K301" s="1686">
        <f>SUM(C301:J301)</f>
        <v>190224</v>
      </c>
      <c r="L301" s="467">
        <v>190224</v>
      </c>
    </row>
    <row r="302" spans="1:14" ht="13.5" customHeight="1" x14ac:dyDescent="0.2">
      <c r="A302" s="1533" t="s">
        <v>1037</v>
      </c>
      <c r="B302" s="615" t="s">
        <v>595</v>
      </c>
      <c r="C302" s="466">
        <f>[1]!'acct[60-29001].adjbal{1}'</f>
        <v>0</v>
      </c>
      <c r="D302" s="466">
        <f>[1]!'acct[60-29002].adjbal{1}'</f>
        <v>0</v>
      </c>
      <c r="E302" s="466">
        <f>[1]!'acct[60-29003].adjbal{1}'</f>
        <v>0</v>
      </c>
      <c r="F302" s="466">
        <f>[1]!'acct[60-29004].adjbal{1}'</f>
        <v>0</v>
      </c>
      <c r="G302" s="466">
        <f>[1]!'acct[60-29005].adjbal{1}'</f>
        <v>0</v>
      </c>
      <c r="H302" s="466">
        <f>[1]!'acct[60-29006].adjbal{1}'</f>
        <v>0</v>
      </c>
      <c r="I302" s="466">
        <f>[1]!'acct[60-29007].adjbal{1}'</f>
        <v>0</v>
      </c>
      <c r="J302" s="466">
        <f>[1]!'acct[60-29008].adjbal{1}'</f>
        <v>0</v>
      </c>
      <c r="K302" s="1686">
        <f>SUM(C302:J302)</f>
        <v>0</v>
      </c>
      <c r="L302" s="466"/>
    </row>
    <row r="303" spans="1:14" ht="12.75" customHeight="1" thickBot="1" x14ac:dyDescent="0.25">
      <c r="A303" s="1683" t="s">
        <v>865</v>
      </c>
      <c r="B303" s="1684" t="s">
        <v>590</v>
      </c>
      <c r="C303" s="1692">
        <f>SUM(C301:C302)</f>
        <v>0</v>
      </c>
      <c r="D303" s="1692">
        <f t="shared" ref="D303:L303" si="23">SUM(D301:D302)</f>
        <v>0</v>
      </c>
      <c r="E303" s="1692">
        <f t="shared" si="23"/>
        <v>0</v>
      </c>
      <c r="F303" s="1692">
        <f t="shared" si="23"/>
        <v>0</v>
      </c>
      <c r="G303" s="1692">
        <f t="shared" si="23"/>
        <v>190224</v>
      </c>
      <c r="H303" s="1692">
        <f t="shared" si="23"/>
        <v>0</v>
      </c>
      <c r="I303" s="1692">
        <f t="shared" si="23"/>
        <v>0</v>
      </c>
      <c r="J303" s="1692">
        <f t="shared" si="23"/>
        <v>0</v>
      </c>
      <c r="K303" s="1692">
        <f t="shared" si="23"/>
        <v>190224</v>
      </c>
      <c r="L303" s="1692">
        <f t="shared" si="23"/>
        <v>190224</v>
      </c>
    </row>
    <row r="304" spans="1:14" ht="15.75" customHeight="1" thickTop="1" x14ac:dyDescent="0.2">
      <c r="A304" s="1628" t="s">
        <v>147</v>
      </c>
      <c r="B304" s="1629"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4" t="s">
        <v>1960</v>
      </c>
      <c r="B306" s="690" t="s">
        <v>1955</v>
      </c>
      <c r="C306" s="617"/>
      <c r="D306" s="617"/>
      <c r="E306" s="467" t="str">
        <f>[1]!'acct[60-41103].adjbal{1}'</f>
        <v xml:space="preserve"> </v>
      </c>
      <c r="F306" s="617"/>
      <c r="G306" s="617"/>
      <c r="H306" s="467" t="str">
        <f>[1]!'acct[60-41106].adjbal{1}'</f>
        <v xml:space="preserve"> </v>
      </c>
      <c r="I306" s="617"/>
      <c r="J306" s="617"/>
      <c r="K306" s="1686">
        <f>SUM(E306,H306)</f>
        <v>0</v>
      </c>
      <c r="L306" s="467"/>
    </row>
    <row r="307" spans="1:14" x14ac:dyDescent="0.2">
      <c r="A307" s="1520" t="s">
        <v>322</v>
      </c>
      <c r="B307" s="615">
        <v>4120</v>
      </c>
      <c r="C307" s="617"/>
      <c r="D307" s="617"/>
      <c r="E307" s="467">
        <f>[1]!'acct[60-41203].adjbal{1}'</f>
        <v>0</v>
      </c>
      <c r="F307" s="617"/>
      <c r="G307" s="617"/>
      <c r="H307" s="467">
        <f>[1]!'acct[60-41206].adjbal{1}'</f>
        <v>0</v>
      </c>
      <c r="I307" s="477"/>
      <c r="J307" s="617"/>
      <c r="K307" s="1686">
        <f>SUM(E307,H307)</f>
        <v>0</v>
      </c>
      <c r="L307" s="466"/>
    </row>
    <row r="308" spans="1:14" x14ac:dyDescent="0.2">
      <c r="A308" s="1520" t="s">
        <v>721</v>
      </c>
      <c r="B308" s="615">
        <v>4140</v>
      </c>
      <c r="C308" s="617"/>
      <c r="D308" s="617"/>
      <c r="E308" s="467">
        <f>[1]!'acct[60-41403].adjbal{1}'</f>
        <v>0</v>
      </c>
      <c r="F308" s="617"/>
      <c r="G308" s="617"/>
      <c r="H308" s="467">
        <f>[1]!'acct[60-41406].adjbal{1}'</f>
        <v>0</v>
      </c>
      <c r="I308" s="477"/>
      <c r="J308" s="617"/>
      <c r="K308" s="1686">
        <f>SUM(E308,H308)</f>
        <v>0</v>
      </c>
      <c r="L308" s="466"/>
    </row>
    <row r="309" spans="1:14" ht="12.75" customHeight="1" x14ac:dyDescent="0.2">
      <c r="A309" s="1524" t="s">
        <v>722</v>
      </c>
      <c r="B309" s="629">
        <v>4190</v>
      </c>
      <c r="C309" s="617"/>
      <c r="D309" s="617"/>
      <c r="E309" s="467">
        <f>[1]!'acct[60-41903].adjbal{1}'</f>
        <v>0</v>
      </c>
      <c r="F309" s="617"/>
      <c r="G309" s="617"/>
      <c r="H309" s="467">
        <f>[1]!'acct[60-41906].adjbal{1}'</f>
        <v>0</v>
      </c>
      <c r="I309" s="477"/>
      <c r="J309" s="617"/>
      <c r="K309" s="1686">
        <f>SUM(E309,H309)</f>
        <v>0</v>
      </c>
      <c r="L309" s="466"/>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35" t="s">
        <v>951</v>
      </c>
      <c r="B311" s="1627" t="s">
        <v>916</v>
      </c>
      <c r="C311" s="624"/>
      <c r="D311" s="624"/>
      <c r="E311" s="624"/>
      <c r="F311" s="624"/>
      <c r="G311" s="624"/>
      <c r="H311" s="624"/>
      <c r="I311" s="624"/>
      <c r="J311" s="617"/>
      <c r="K311" s="624"/>
      <c r="L311" s="576"/>
    </row>
    <row r="312" spans="1:14" s="674" customFormat="1" ht="12.75" customHeight="1" thickTop="1" thickBot="1" x14ac:dyDescent="0.25">
      <c r="A312" s="2200" t="s">
        <v>295</v>
      </c>
      <c r="B312" s="2201"/>
      <c r="C312" s="1685">
        <f>SUM(C303)</f>
        <v>0</v>
      </c>
      <c r="D312" s="1685">
        <f>SUM(D303)</f>
        <v>0</v>
      </c>
      <c r="E312" s="1685">
        <f>SUM(E303,E310)</f>
        <v>0</v>
      </c>
      <c r="F312" s="1685">
        <f>SUM(F303)</f>
        <v>0</v>
      </c>
      <c r="G312" s="1685">
        <f>SUM(G303)</f>
        <v>190224</v>
      </c>
      <c r="H312" s="1685">
        <f>SUM(H303,H310)</f>
        <v>0</v>
      </c>
      <c r="I312" s="1685">
        <f>SUM(I303)</f>
        <v>0</v>
      </c>
      <c r="J312" s="1685">
        <f>SUM(J303)</f>
        <v>0</v>
      </c>
      <c r="K312" s="1685">
        <f>SUM(K303,K310,K311)</f>
        <v>190224</v>
      </c>
      <c r="L312" s="1685">
        <f>SUM(L303,L310,L311)</f>
        <v>190224</v>
      </c>
      <c r="M312" s="665"/>
      <c r="N312" s="665"/>
    </row>
    <row r="313" spans="1:14" ht="13.5" thickTop="1" x14ac:dyDescent="0.2">
      <c r="A313" s="2196" t="s">
        <v>1053</v>
      </c>
      <c r="B313" s="2197"/>
      <c r="C313" s="627"/>
      <c r="D313" s="627"/>
      <c r="E313" s="627"/>
      <c r="F313" s="627"/>
      <c r="G313" s="627"/>
      <c r="H313" s="627"/>
      <c r="I313" s="627"/>
      <c r="J313" s="627"/>
      <c r="K313" s="1700">
        <f>'Revenues 9-14'!H275-'Expenditures 15-22'!K312</f>
        <v>-42006</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9" t="s">
        <v>151</v>
      </c>
      <c r="B315" s="2210"/>
      <c r="C315" s="1572"/>
      <c r="D315" s="1573"/>
      <c r="E315" s="1573"/>
      <c r="F315" s="1573"/>
      <c r="G315" s="1573"/>
      <c r="H315" s="1573"/>
      <c r="I315" s="1573"/>
      <c r="J315" s="1573"/>
      <c r="K315" s="1573"/>
      <c r="L315" s="157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1" t="s">
        <v>954</v>
      </c>
      <c r="B317" s="2210"/>
      <c r="C317" s="1572"/>
      <c r="D317" s="1573"/>
      <c r="E317" s="1573"/>
      <c r="F317" s="1573"/>
      <c r="G317" s="1573"/>
      <c r="H317" s="1573"/>
      <c r="I317" s="1573"/>
      <c r="J317" s="1573"/>
      <c r="K317" s="1573"/>
      <c r="L317" s="1574"/>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35" t="s">
        <v>317</v>
      </c>
      <c r="B319" s="697" t="s">
        <v>299</v>
      </c>
      <c r="C319" s="467">
        <f>[1]!'acct[80-23611].adjbal{1}'</f>
        <v>0</v>
      </c>
      <c r="D319" s="467">
        <f>[1]!'acct[80-23612].adjbal{1}'</f>
        <v>0</v>
      </c>
      <c r="E319" s="467">
        <f>[1]!'acct[80-23613].adjbal{1}'</f>
        <v>0</v>
      </c>
      <c r="F319" s="467">
        <f>[1]!'acct[80-23614].adjbal{1}'</f>
        <v>0</v>
      </c>
      <c r="G319" s="467">
        <f>[1]!'acct[80-23615].adjbal{1}'</f>
        <v>0</v>
      </c>
      <c r="H319" s="467">
        <f>[1]!'acct[80-23616].adjbal{1}'</f>
        <v>0</v>
      </c>
      <c r="I319" s="467">
        <f>[1]!'acct[80-23617].adjbal{1}'</f>
        <v>0</v>
      </c>
      <c r="J319" s="467">
        <f>[1]!'acct[80-23618].adjbal{1}'</f>
        <v>0</v>
      </c>
      <c r="K319" s="1686">
        <f>SUM(C319:J319)</f>
        <v>0</v>
      </c>
      <c r="L319" s="467"/>
      <c r="M319" s="665"/>
      <c r="N319" s="665"/>
    </row>
    <row r="320" spans="1:14" s="674" customFormat="1" x14ac:dyDescent="0.2">
      <c r="A320" s="1539" t="s">
        <v>1906</v>
      </c>
      <c r="B320" s="698" t="s">
        <v>300</v>
      </c>
      <c r="C320" s="467">
        <f>[1]!'acct[80-23621].adjbal{1}'</f>
        <v>0</v>
      </c>
      <c r="D320" s="467">
        <f>[1]!'acct[80-23622].adjbal{1}'</f>
        <v>0</v>
      </c>
      <c r="E320" s="467">
        <f>[1]!'acct[80-23623].adjbal{1}'</f>
        <v>0</v>
      </c>
      <c r="F320" s="467">
        <f>[1]!'acct[80-23624].adjbal{1}'</f>
        <v>0</v>
      </c>
      <c r="G320" s="467">
        <f>[1]!'acct[80-23625].adjbal{1}'</f>
        <v>0</v>
      </c>
      <c r="H320" s="467">
        <f>[1]!'acct[80-23626].adjbal{1}'</f>
        <v>0</v>
      </c>
      <c r="I320" s="467">
        <f>[1]!'acct[80-23627].adjbal{1}'</f>
        <v>0</v>
      </c>
      <c r="J320" s="467">
        <f>[1]!'acct[80-23628].adjbal{1}'</f>
        <v>0</v>
      </c>
      <c r="K320" s="1686">
        <f t="shared" ref="K320:K327" si="24">SUM(C320:J320)</f>
        <v>0</v>
      </c>
      <c r="L320" s="467"/>
      <c r="M320" s="665"/>
      <c r="N320" s="665"/>
    </row>
    <row r="321" spans="1:14" s="674" customFormat="1" x14ac:dyDescent="0.2">
      <c r="A321" s="1535" t="s">
        <v>318</v>
      </c>
      <c r="B321" s="697" t="s">
        <v>301</v>
      </c>
      <c r="C321" s="467">
        <f>[1]!'acct[80-23631].adjbal{1}'</f>
        <v>0</v>
      </c>
      <c r="D321" s="467">
        <f>[1]!'acct[80-23632].adjbal{1}'</f>
        <v>0</v>
      </c>
      <c r="E321" s="467">
        <f>[1]!'acct[80-23633].adjbal{1}'</f>
        <v>0</v>
      </c>
      <c r="F321" s="467">
        <f>[1]!'acct[80-23634].adjbal{1}'</f>
        <v>0</v>
      </c>
      <c r="G321" s="467">
        <f>[1]!'acct[80-23635].adjbal{1}'</f>
        <v>0</v>
      </c>
      <c r="H321" s="467">
        <f>[1]!'acct[80-23636].adjbal{1}'</f>
        <v>0</v>
      </c>
      <c r="I321" s="467">
        <f>[1]!'acct[80-23637].adjbal{1}'</f>
        <v>0</v>
      </c>
      <c r="J321" s="467">
        <f>[1]!'acct[80-23638].adjbal{1}'</f>
        <v>0</v>
      </c>
      <c r="K321" s="1686">
        <f t="shared" si="24"/>
        <v>0</v>
      </c>
      <c r="L321" s="467"/>
      <c r="M321" s="665"/>
      <c r="N321" s="665"/>
    </row>
    <row r="322" spans="1:14" s="674" customFormat="1" x14ac:dyDescent="0.2">
      <c r="A322" s="1535" t="s">
        <v>256</v>
      </c>
      <c r="B322" s="697" t="s">
        <v>302</v>
      </c>
      <c r="C322" s="467">
        <f>[1]!'acct[80-23641].adjbal{1}'</f>
        <v>0</v>
      </c>
      <c r="D322" s="467">
        <f>[1]!'acct[80-23642].adjbal{1}'</f>
        <v>0</v>
      </c>
      <c r="E322" s="467">
        <f>[1]!'acct[80-23643].adjbal{1}'</f>
        <v>144026</v>
      </c>
      <c r="F322" s="467">
        <f>[1]!'acct[80-23644].adjbal{1}'</f>
        <v>0</v>
      </c>
      <c r="G322" s="467">
        <f>[1]!'acct[80-23645].adjbal{1}'</f>
        <v>0</v>
      </c>
      <c r="H322" s="467">
        <f>[1]!'acct[80-23646].adjbal{1}'</f>
        <v>0</v>
      </c>
      <c r="I322" s="467">
        <f>[1]!'acct[80-23647].adjbal{1}'</f>
        <v>0</v>
      </c>
      <c r="J322" s="467">
        <f>[1]!'acct[80-23648].adjbal{1}'</f>
        <v>0</v>
      </c>
      <c r="K322" s="1686">
        <f t="shared" si="24"/>
        <v>144026</v>
      </c>
      <c r="L322" s="467">
        <v>151000</v>
      </c>
      <c r="M322" s="665"/>
      <c r="N322" s="665"/>
    </row>
    <row r="323" spans="1:14" s="674" customFormat="1" x14ac:dyDescent="0.2">
      <c r="A323" s="1535" t="s">
        <v>726</v>
      </c>
      <c r="B323" s="697" t="s">
        <v>303</v>
      </c>
      <c r="C323" s="467">
        <f>[1]!'acct[80-23651].adjbal{1}'</f>
        <v>0</v>
      </c>
      <c r="D323" s="467">
        <f>[1]!'acct[80-23652].adjbal{1}'</f>
        <v>0</v>
      </c>
      <c r="E323" s="467">
        <f>[1]!'acct[80-23653].adjbal{1}'</f>
        <v>0</v>
      </c>
      <c r="F323" s="467">
        <f>[1]!'acct[80-23654].adjbal{1}'</f>
        <v>0</v>
      </c>
      <c r="G323" s="467">
        <f>[1]!'acct[80-23655].adjbal{1}'</f>
        <v>0</v>
      </c>
      <c r="H323" s="467">
        <f>[1]!'acct[80-23656].adjbal{1}'</f>
        <v>0</v>
      </c>
      <c r="I323" s="467">
        <f>[1]!'acct[80-23657].adjbal{1}'</f>
        <v>0</v>
      </c>
      <c r="J323" s="467">
        <f>[1]!'acct[80-23658].adjbal{1}'</f>
        <v>0</v>
      </c>
      <c r="K323" s="1686">
        <f t="shared" si="24"/>
        <v>0</v>
      </c>
      <c r="L323" s="467"/>
      <c r="M323" s="665"/>
      <c r="N323" s="665"/>
    </row>
    <row r="324" spans="1:14" s="674" customFormat="1" x14ac:dyDescent="0.2">
      <c r="A324" s="1535" t="s">
        <v>257</v>
      </c>
      <c r="B324" s="697" t="s">
        <v>304</v>
      </c>
      <c r="C324" s="467">
        <f>[1]!'acct[80-23661].adjbal{1}'</f>
        <v>0</v>
      </c>
      <c r="D324" s="467">
        <f>[1]!'acct[80-23662].adjbal{1}'</f>
        <v>0</v>
      </c>
      <c r="E324" s="467">
        <f>[1]!'acct[80-23663].adjbal{1}'</f>
        <v>0</v>
      </c>
      <c r="F324" s="467">
        <f>[1]!'acct[80-23664].adjbal{1}'</f>
        <v>0</v>
      </c>
      <c r="G324" s="467">
        <f>[1]!'acct[80-23665].adjbal{1}'</f>
        <v>0</v>
      </c>
      <c r="H324" s="467">
        <f>[1]!'acct[80-23666].adjbal{1}'</f>
        <v>0</v>
      </c>
      <c r="I324" s="467">
        <f>[1]!'acct[80-23667].adjbal{1}'</f>
        <v>0</v>
      </c>
      <c r="J324" s="467">
        <f>[1]!'acct[80-23668].adjbal{1}'</f>
        <v>0</v>
      </c>
      <c r="K324" s="1686">
        <f t="shared" si="24"/>
        <v>0</v>
      </c>
      <c r="L324" s="467"/>
      <c r="M324" s="665"/>
      <c r="N324" s="665"/>
    </row>
    <row r="325" spans="1:14" s="674" customFormat="1" ht="22.5" x14ac:dyDescent="0.2">
      <c r="A325" s="1535" t="s">
        <v>1087</v>
      </c>
      <c r="B325" s="698" t="s">
        <v>305</v>
      </c>
      <c r="C325" s="467">
        <f>[1]!'acct[80-23671].adjbal{1}'</f>
        <v>150045</v>
      </c>
      <c r="D325" s="467">
        <f>[1]!'acct[80-23672].adjbal{1}'</f>
        <v>0</v>
      </c>
      <c r="E325" s="467">
        <f>[1]!'acct[80-23673].adjbal{1}'</f>
        <v>0</v>
      </c>
      <c r="F325" s="467">
        <f>[1]!'acct[80-23674].adjbal{1}'</f>
        <v>0</v>
      </c>
      <c r="G325" s="467">
        <f>[1]!'acct[80-23675].adjbal{1}'</f>
        <v>0</v>
      </c>
      <c r="H325" s="467">
        <f>[1]!'acct[80-23676].adjbal{1}'</f>
        <v>0</v>
      </c>
      <c r="I325" s="467">
        <f>[1]!'acct[80-23677].adjbal{1}'</f>
        <v>0</v>
      </c>
      <c r="J325" s="467">
        <f>[1]!'acct[80-23678].adjbal{1}'</f>
        <v>0</v>
      </c>
      <c r="K325" s="1686">
        <f t="shared" si="24"/>
        <v>150045</v>
      </c>
      <c r="L325" s="467">
        <v>150045</v>
      </c>
      <c r="M325" s="665"/>
      <c r="N325" s="665"/>
    </row>
    <row r="326" spans="1:14" s="674" customFormat="1" x14ac:dyDescent="0.2">
      <c r="A326" s="1535" t="s">
        <v>1088</v>
      </c>
      <c r="B326" s="697" t="s">
        <v>306</v>
      </c>
      <c r="C326" s="467">
        <f>[1]!'acct[80-23681].adjbal{1}'</f>
        <v>0</v>
      </c>
      <c r="D326" s="467">
        <f>[1]!'acct[80-23682].adjbal{1}'</f>
        <v>0</v>
      </c>
      <c r="E326" s="467">
        <f>[1]!'acct[80-23683].adjbal{1}'</f>
        <v>0</v>
      </c>
      <c r="F326" s="467">
        <f>[1]!'acct[80-23684].adjbal{1}'</f>
        <v>0</v>
      </c>
      <c r="G326" s="467">
        <f>[1]!'acct[80-23685].adjbal{1}'</f>
        <v>0</v>
      </c>
      <c r="H326" s="467">
        <f>[1]!'acct[80-23686].adjbal{1}'</f>
        <v>0</v>
      </c>
      <c r="I326" s="467">
        <f>[1]!'acct[80-23687].adjbal{1}'</f>
        <v>0</v>
      </c>
      <c r="J326" s="467">
        <f>[1]!'acct[80-23688].adjbal{1}'</f>
        <v>0</v>
      </c>
      <c r="K326" s="1686">
        <f t="shared" si="24"/>
        <v>0</v>
      </c>
      <c r="L326" s="467"/>
      <c r="M326" s="665"/>
      <c r="N326" s="665"/>
    </row>
    <row r="327" spans="1:14" s="674" customFormat="1" x14ac:dyDescent="0.2">
      <c r="A327" s="1535" t="s">
        <v>1028</v>
      </c>
      <c r="B327" s="697" t="s">
        <v>307</v>
      </c>
      <c r="C327" s="467">
        <f>[1]!'acct[80-23691].adjbal{1}'</f>
        <v>0</v>
      </c>
      <c r="D327" s="467">
        <f>[1]!'acct[80-23692].adjbal{1}'</f>
        <v>0</v>
      </c>
      <c r="E327" s="467">
        <f>[1]!'acct[80-23693].adjbal{1}'</f>
        <v>0</v>
      </c>
      <c r="F327" s="467">
        <f>[1]!'acct[80-23694].adjbal{1}'</f>
        <v>0</v>
      </c>
      <c r="G327" s="467">
        <f>[1]!'acct[80-23695].adjbal{1}'</f>
        <v>0</v>
      </c>
      <c r="H327" s="467">
        <f>[1]!'acct[80-23696].adjbal{1}'</f>
        <v>0</v>
      </c>
      <c r="I327" s="467">
        <f>[1]!'acct[80-23697].adjbal{1}'</f>
        <v>0</v>
      </c>
      <c r="J327" s="467">
        <f>[1]!'acct[80-23698].adjbal{1}'</f>
        <v>0</v>
      </c>
      <c r="K327" s="1686">
        <f t="shared" si="24"/>
        <v>0</v>
      </c>
      <c r="L327" s="467"/>
      <c r="M327" s="665"/>
      <c r="N327" s="665"/>
    </row>
    <row r="328" spans="1:14" s="674" customFormat="1" x14ac:dyDescent="0.2">
      <c r="A328" s="1536" t="s">
        <v>492</v>
      </c>
      <c r="B328" s="690" t="s">
        <v>1194</v>
      </c>
      <c r="C328" s="467">
        <f>[1]!'acct[80-23711].adjbal{1}'</f>
        <v>0</v>
      </c>
      <c r="D328" s="467">
        <f>[1]!'acct[80-23712].adjbal{1}'</f>
        <v>0</v>
      </c>
      <c r="E328" s="467">
        <f>[1]!'acct[80-23713].adjbal{1}'</f>
        <v>0</v>
      </c>
      <c r="F328" s="467">
        <f>[1]!'acct[80-23714].adjbal{1}'</f>
        <v>0</v>
      </c>
      <c r="G328" s="467">
        <f>[1]!'acct[80-23715].adjbal{1}'</f>
        <v>0</v>
      </c>
      <c r="H328" s="467">
        <f>[1]!'acct[80-23716].adjbal{1}'</f>
        <v>0</v>
      </c>
      <c r="I328" s="467">
        <f>[1]!'acct[80-23717].adjbal{1}'</f>
        <v>0</v>
      </c>
      <c r="J328" s="467">
        <f>[1]!'acct[80-23718].adjbal{1}'</f>
        <v>0</v>
      </c>
      <c r="K328" s="1714">
        <f>SUM(C328:J328)</f>
        <v>0</v>
      </c>
      <c r="L328" s="474"/>
      <c r="M328" s="665"/>
      <c r="N328" s="665"/>
    </row>
    <row r="329" spans="1:14" s="674" customFormat="1" x14ac:dyDescent="0.2">
      <c r="A329" s="1536" t="s">
        <v>1195</v>
      </c>
      <c r="B329" s="690" t="s">
        <v>1196</v>
      </c>
      <c r="C329" s="467">
        <f>[1]!'acct[80-23721].adjbal{1}'</f>
        <v>0</v>
      </c>
      <c r="D329" s="467">
        <f>[1]!'acct[80-23722].adjbal{1}'</f>
        <v>0</v>
      </c>
      <c r="E329" s="467">
        <f>[1]!'acct[80-23723].adjbal{1}'</f>
        <v>0</v>
      </c>
      <c r="F329" s="467">
        <f>[1]!'acct[80-23724].adjbal{1}'</f>
        <v>0</v>
      </c>
      <c r="G329" s="467">
        <f>[1]!'acct[80-23725].adjbal{1}'</f>
        <v>0</v>
      </c>
      <c r="H329" s="467">
        <f>[1]!'acct[80-23726].adjbal{1}'</f>
        <v>0</v>
      </c>
      <c r="I329" s="467">
        <f>[1]!'acct[80-23727].adjbal{1}'</f>
        <v>0</v>
      </c>
      <c r="J329" s="467">
        <f>[1]!'acct[80-23728].adjbal{1}'</f>
        <v>0</v>
      </c>
      <c r="K329" s="1714">
        <f>SUM(C329:J329)</f>
        <v>0</v>
      </c>
      <c r="L329" s="474"/>
      <c r="M329" s="665"/>
      <c r="N329" s="665"/>
    </row>
    <row r="330" spans="1:14" s="674" customFormat="1" ht="12.75" customHeight="1" thickBot="1" x14ac:dyDescent="0.25">
      <c r="A330" s="1715" t="s">
        <v>741</v>
      </c>
      <c r="B330" s="1684" t="s">
        <v>590</v>
      </c>
      <c r="C330" s="1685">
        <f>SUM(C319:C329)</f>
        <v>150045</v>
      </c>
      <c r="D330" s="1685">
        <f t="shared" ref="D330:J330" si="25">SUM(D319:D329)</f>
        <v>0</v>
      </c>
      <c r="E330" s="1685">
        <f t="shared" si="25"/>
        <v>144026</v>
      </c>
      <c r="F330" s="1685">
        <f t="shared" si="25"/>
        <v>0</v>
      </c>
      <c r="G330" s="1685">
        <f t="shared" si="25"/>
        <v>0</v>
      </c>
      <c r="H330" s="1685">
        <f t="shared" si="25"/>
        <v>0</v>
      </c>
      <c r="I330" s="1685">
        <f t="shared" si="25"/>
        <v>0</v>
      </c>
      <c r="J330" s="1685">
        <f t="shared" si="25"/>
        <v>0</v>
      </c>
      <c r="K330" s="1685">
        <f>SUM(K319:K329)</f>
        <v>294071</v>
      </c>
      <c r="L330" s="1685">
        <f>SUM(L319:L329)</f>
        <v>301045</v>
      </c>
      <c r="M330" s="665"/>
      <c r="N330" s="665"/>
    </row>
    <row r="331" spans="1:14" s="674" customFormat="1" ht="12.75" customHeight="1" thickTop="1" x14ac:dyDescent="0.2">
      <c r="A331" s="1847" t="s">
        <v>1961</v>
      </c>
      <c r="B331" s="647" t="s">
        <v>915</v>
      </c>
      <c r="C331" s="1849"/>
      <c r="D331" s="1849"/>
      <c r="E331" s="1849"/>
      <c r="F331" s="1849"/>
      <c r="G331" s="1849"/>
      <c r="H331" s="1849"/>
      <c r="I331" s="1849"/>
      <c r="J331" s="1849"/>
      <c r="K331" s="1849"/>
      <c r="L331" s="1849"/>
      <c r="M331" s="665"/>
      <c r="N331" s="665"/>
    </row>
    <row r="332" spans="1:14" s="674" customFormat="1" ht="12.75" customHeight="1" x14ac:dyDescent="0.2">
      <c r="A332" s="1848" t="s">
        <v>517</v>
      </c>
      <c r="B332" s="1843" t="s">
        <v>1955</v>
      </c>
      <c r="C332" s="1849"/>
      <c r="D332" s="1849"/>
      <c r="E332" s="1849"/>
      <c r="F332" s="1849"/>
      <c r="G332" s="1849"/>
      <c r="H332" s="467" t="str">
        <f>[1]!'acct[80-41106].adjbal{1}'</f>
        <v xml:space="preserve"> </v>
      </c>
      <c r="I332" s="1849"/>
      <c r="J332" s="1849"/>
      <c r="K332" s="1686" t="str">
        <f>H332</f>
        <v xml:space="preserve"> </v>
      </c>
      <c r="L332" s="467"/>
      <c r="M332" s="665"/>
      <c r="N332" s="665"/>
    </row>
    <row r="333" spans="1:14" s="674" customFormat="1" ht="12.75" customHeight="1" x14ac:dyDescent="0.2">
      <c r="A333" s="1848" t="s">
        <v>322</v>
      </c>
      <c r="B333" s="1843" t="s">
        <v>1957</v>
      </c>
      <c r="C333" s="1849"/>
      <c r="D333" s="1849"/>
      <c r="E333" s="1849"/>
      <c r="F333" s="1849"/>
      <c r="G333" s="1849"/>
      <c r="H333" s="467" t="str">
        <f>[1]!'acct[80-41206].adjbal{1}'</f>
        <v xml:space="preserve"> </v>
      </c>
      <c r="I333" s="1849"/>
      <c r="J333" s="1849"/>
      <c r="K333" s="1686" t="str">
        <f>H333</f>
        <v xml:space="preserve"> </v>
      </c>
      <c r="L333" s="467"/>
      <c r="M333" s="665"/>
      <c r="N333" s="665"/>
    </row>
    <row r="334" spans="1:14" s="674" customFormat="1" ht="12.75" customHeight="1" thickBot="1" x14ac:dyDescent="0.25">
      <c r="A334" s="1848" t="s">
        <v>1962</v>
      </c>
      <c r="B334" s="1843" t="s">
        <v>915</v>
      </c>
      <c r="C334" s="1849"/>
      <c r="D334" s="1849"/>
      <c r="E334" s="1849"/>
      <c r="F334" s="1849"/>
      <c r="G334" s="1849"/>
      <c r="H334" s="1685">
        <f>SUM(H332:H333)</f>
        <v>0</v>
      </c>
      <c r="I334" s="1849"/>
      <c r="J334" s="1849"/>
      <c r="K334" s="1685">
        <f>SUM(K332:K333)</f>
        <v>0</v>
      </c>
      <c r="L334" s="1685">
        <f>SUM(L332:L333)</f>
        <v>0</v>
      </c>
      <c r="M334" s="665"/>
      <c r="N334" s="665"/>
    </row>
    <row r="335" spans="1:14" ht="15.75" customHeight="1" thickTop="1" x14ac:dyDescent="0.2">
      <c r="A335" s="1632" t="s">
        <v>955</v>
      </c>
      <c r="B335" s="1623"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4" t="s">
        <v>89</v>
      </c>
      <c r="B337" s="690" t="s">
        <v>956</v>
      </c>
      <c r="C337" s="638"/>
      <c r="D337" s="638"/>
      <c r="E337" s="638"/>
      <c r="F337" s="638"/>
      <c r="G337" s="638"/>
      <c r="H337" s="478">
        <f>[1]!'acct[80-51106].adjbal{1}'</f>
        <v>0</v>
      </c>
      <c r="I337" s="638"/>
      <c r="J337" s="638"/>
      <c r="K337" s="1686">
        <f>H337</f>
        <v>0</v>
      </c>
      <c r="L337" s="478"/>
    </row>
    <row r="338" spans="1:14" ht="12.75" customHeight="1" x14ac:dyDescent="0.2">
      <c r="A338" s="1534" t="s">
        <v>1232</v>
      </c>
      <c r="B338" s="690" t="s">
        <v>638</v>
      </c>
      <c r="C338" s="638"/>
      <c r="D338" s="638"/>
      <c r="E338" s="638"/>
      <c r="F338" s="638"/>
      <c r="G338" s="638"/>
      <c r="H338" s="478">
        <f>[1]!'acct[80-51306].adjbal{1}'</f>
        <v>0</v>
      </c>
      <c r="I338" s="638"/>
      <c r="J338" s="638"/>
      <c r="K338" s="1686">
        <f>H338</f>
        <v>0</v>
      </c>
      <c r="L338" s="478"/>
    </row>
    <row r="339" spans="1:14" x14ac:dyDescent="0.2">
      <c r="A339" s="1520" t="s">
        <v>957</v>
      </c>
      <c r="B339" s="629">
        <v>5150</v>
      </c>
      <c r="C339" s="638"/>
      <c r="D339" s="638"/>
      <c r="E339" s="638"/>
      <c r="F339" s="638"/>
      <c r="G339" s="638"/>
      <c r="H339" s="467">
        <f>[1]!'acct[80-51506].adjbal{1}'</f>
        <v>0</v>
      </c>
      <c r="I339" s="638"/>
      <c r="J339" s="638"/>
      <c r="K339" s="1686">
        <f>H339</f>
        <v>0</v>
      </c>
      <c r="L339" s="467"/>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35" t="s">
        <v>959</v>
      </c>
      <c r="B341" s="1627" t="s">
        <v>916</v>
      </c>
      <c r="C341" s="617"/>
      <c r="D341" s="617"/>
      <c r="E341" s="477"/>
      <c r="F341" s="468"/>
      <c r="G341" s="468"/>
      <c r="H341" s="477"/>
      <c r="I341" s="477"/>
      <c r="J341" s="468"/>
      <c r="K341" s="477"/>
      <c r="L341" s="576"/>
    </row>
    <row r="342" spans="1:14" ht="12.75" customHeight="1" thickTop="1" thickBot="1" x14ac:dyDescent="0.25">
      <c r="A342" s="1701" t="s">
        <v>526</v>
      </c>
      <c r="B342" s="1716"/>
      <c r="C342" s="1685">
        <f>SUM(C330)</f>
        <v>150045</v>
      </c>
      <c r="D342" s="1685">
        <f>SUM(D330)</f>
        <v>0</v>
      </c>
      <c r="E342" s="1685">
        <f>SUM(E330)</f>
        <v>144026</v>
      </c>
      <c r="F342" s="1685">
        <f>SUM(F330)</f>
        <v>0</v>
      </c>
      <c r="G342" s="1685">
        <f>SUM(G330)</f>
        <v>0</v>
      </c>
      <c r="H342" s="1685">
        <f>SUM(H330,H334,H340)</f>
        <v>0</v>
      </c>
      <c r="I342" s="1685">
        <f>SUM(I330)</f>
        <v>0</v>
      </c>
      <c r="J342" s="1685">
        <f>SUM(J330)</f>
        <v>0</v>
      </c>
      <c r="K342" s="1685">
        <f>SUM(K330,K334,K340)</f>
        <v>294071</v>
      </c>
      <c r="L342" s="1692">
        <f>SUM(L330,L340,L341)</f>
        <v>301045</v>
      </c>
    </row>
    <row r="343" spans="1:14" ht="12.75" customHeight="1" thickTop="1" x14ac:dyDescent="0.2">
      <c r="A343" s="2198" t="s">
        <v>1053</v>
      </c>
      <c r="B343" s="2199"/>
      <c r="C343" s="617"/>
      <c r="D343" s="617"/>
      <c r="E343" s="617"/>
      <c r="F343" s="617"/>
      <c r="G343" s="617"/>
      <c r="H343" s="617"/>
      <c r="I343" s="617"/>
      <c r="J343" s="617"/>
      <c r="K343" s="1699">
        <f>'Revenues 9-14'!J275-'Expenditures 15-22'!K342</f>
        <v>9428</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8" t="s">
        <v>1023</v>
      </c>
      <c r="B345" s="2189"/>
      <c r="C345" s="1567"/>
      <c r="D345" s="1568"/>
      <c r="E345" s="1568"/>
      <c r="F345" s="1568"/>
      <c r="G345" s="1568"/>
      <c r="H345" s="1568"/>
      <c r="I345" s="1568"/>
      <c r="J345" s="1568"/>
      <c r="K345" s="1568"/>
      <c r="L345" s="1569"/>
      <c r="M345" s="667"/>
      <c r="N345" s="667"/>
    </row>
    <row r="346" spans="1:14" s="343" customFormat="1" ht="15.75" customHeight="1" x14ac:dyDescent="0.2">
      <c r="A346" s="1639" t="s">
        <v>899</v>
      </c>
      <c r="B346" s="1631"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0" t="s">
        <v>4</v>
      </c>
      <c r="B348" s="615">
        <v>2530</v>
      </c>
      <c r="C348" s="466">
        <f>[1]!'acct[90-25301].adjbal{1}'</f>
        <v>0</v>
      </c>
      <c r="D348" s="466">
        <f>[1]!'acct[90-25302].adjbal{1}'</f>
        <v>0</v>
      </c>
      <c r="E348" s="466">
        <f>[1]!'acct[90-25303].adjbal{1}'</f>
        <v>0</v>
      </c>
      <c r="F348" s="466">
        <f>[1]!'acct[90-25304].adjbal{1}'</f>
        <v>0</v>
      </c>
      <c r="G348" s="466">
        <f>[1]!'acct[90-25305].adjbal{1}'</f>
        <v>0</v>
      </c>
      <c r="H348" s="466">
        <f>[1]!'acct[90-25306].adjbal{1}'</f>
        <v>0</v>
      </c>
      <c r="I348" s="466">
        <f>[1]!'acct[90-25307].adjbal{1}'</f>
        <v>0</v>
      </c>
      <c r="J348" s="466">
        <f>[1]!'acct[90-25308].adjbal{1}'</f>
        <v>0</v>
      </c>
      <c r="K348" s="1686">
        <f>SUM(C348:J348)</f>
        <v>0</v>
      </c>
      <c r="L348" s="466">
        <v>64000</v>
      </c>
    </row>
    <row r="349" spans="1:14" x14ac:dyDescent="0.2">
      <c r="A349" s="1520" t="s">
        <v>206</v>
      </c>
      <c r="B349" s="615">
        <v>2540</v>
      </c>
      <c r="C349" s="466">
        <f>[1]!'acct[90-25401].adjbal{1}'</f>
        <v>0</v>
      </c>
      <c r="D349" s="466">
        <f>[1]!'acct[90-25402].adjbal{1}'</f>
        <v>0</v>
      </c>
      <c r="E349" s="466">
        <f>[1]!'acct[90-25403].adjbal{1}'</f>
        <v>32980</v>
      </c>
      <c r="F349" s="466">
        <f>[1]!'acct[90-25404].adjbal{1}'</f>
        <v>0</v>
      </c>
      <c r="G349" s="466">
        <f>[1]!'acct[90-25405].adjbal{1}'</f>
        <v>0</v>
      </c>
      <c r="H349" s="466">
        <f>[1]!'acct[90-25406].adjbal{1}'</f>
        <v>0</v>
      </c>
      <c r="I349" s="466">
        <f>[1]!'acct[90-25407].adjbal{1}'</f>
        <v>0</v>
      </c>
      <c r="J349" s="466">
        <f>[1]!'acct[90-25408].adjbal{1}'</f>
        <v>0</v>
      </c>
      <c r="K349" s="1686">
        <f>SUM(C349:J349)</f>
        <v>32980</v>
      </c>
      <c r="L349" s="466">
        <v>15000</v>
      </c>
    </row>
    <row r="350" spans="1:14" ht="12.75" customHeight="1" thickBot="1" x14ac:dyDescent="0.25">
      <c r="A350" s="1683" t="s">
        <v>743</v>
      </c>
      <c r="B350" s="1684" t="s">
        <v>35</v>
      </c>
      <c r="C350" s="1685">
        <f>SUM(C348:C349)</f>
        <v>0</v>
      </c>
      <c r="D350" s="1685">
        <f t="shared" ref="D350:L350" si="26">SUM(D348:D349)</f>
        <v>0</v>
      </c>
      <c r="E350" s="1685">
        <f t="shared" si="26"/>
        <v>32980</v>
      </c>
      <c r="F350" s="1685">
        <f t="shared" si="26"/>
        <v>0</v>
      </c>
      <c r="G350" s="1685">
        <f t="shared" si="26"/>
        <v>0</v>
      </c>
      <c r="H350" s="1685">
        <f t="shared" si="26"/>
        <v>0</v>
      </c>
      <c r="I350" s="1685">
        <f t="shared" si="26"/>
        <v>0</v>
      </c>
      <c r="J350" s="1685">
        <f t="shared" si="26"/>
        <v>0</v>
      </c>
      <c r="K350" s="1685">
        <f t="shared" si="26"/>
        <v>32980</v>
      </c>
      <c r="L350" s="1685">
        <f t="shared" si="26"/>
        <v>79000</v>
      </c>
    </row>
    <row r="351" spans="1:14" ht="12.75" customHeight="1" thickTop="1" x14ac:dyDescent="0.2">
      <c r="A351" s="1526" t="s">
        <v>1037</v>
      </c>
      <c r="B351" s="643" t="s">
        <v>595</v>
      </c>
      <c r="C351" s="481">
        <f>[1]!'acct[90-29001].adjbal{1}'</f>
        <v>0</v>
      </c>
      <c r="D351" s="481">
        <f>[1]!'acct[90-29002].adjbal{1}'</f>
        <v>0</v>
      </c>
      <c r="E351" s="481">
        <f>[1]!'acct[90-29003].adjbal{1}'</f>
        <v>0</v>
      </c>
      <c r="F351" s="481">
        <f>[1]!'acct[90-29004].adjbal{1}'</f>
        <v>0</v>
      </c>
      <c r="G351" s="481">
        <f>[1]!'acct[90-29005].adjbal{1}'</f>
        <v>0</v>
      </c>
      <c r="H351" s="481">
        <f>[1]!'acct[90-29006].adjbal{1}'</f>
        <v>0</v>
      </c>
      <c r="I351" s="481">
        <f>[1]!'acct[90-29007].adjbal{1}'</f>
        <v>0</v>
      </c>
      <c r="J351" s="481">
        <f>[1]!'acct[90-29008].adjbal{1}'</f>
        <v>0</v>
      </c>
      <c r="K351" s="616">
        <f>SUM(C351:J351)</f>
        <v>0</v>
      </c>
      <c r="L351" s="481"/>
    </row>
    <row r="352" spans="1:14" ht="12.75" customHeight="1" thickBot="1" x14ac:dyDescent="0.25">
      <c r="A352" s="1683" t="s">
        <v>645</v>
      </c>
      <c r="B352" s="1690" t="s">
        <v>590</v>
      </c>
      <c r="C352" s="1685">
        <f>SUM(C350:C351)</f>
        <v>0</v>
      </c>
      <c r="D352" s="1685">
        <f t="shared" ref="D352:L352" si="27">SUM(D350:D351)</f>
        <v>0</v>
      </c>
      <c r="E352" s="1685">
        <f t="shared" si="27"/>
        <v>32980</v>
      </c>
      <c r="F352" s="1685">
        <f t="shared" si="27"/>
        <v>0</v>
      </c>
      <c r="G352" s="1685">
        <f t="shared" si="27"/>
        <v>0</v>
      </c>
      <c r="H352" s="1685">
        <f t="shared" si="27"/>
        <v>0</v>
      </c>
      <c r="I352" s="1685">
        <f t="shared" si="27"/>
        <v>0</v>
      </c>
      <c r="J352" s="1685">
        <f t="shared" si="27"/>
        <v>0</v>
      </c>
      <c r="K352" s="1685">
        <f t="shared" si="27"/>
        <v>32980</v>
      </c>
      <c r="L352" s="1685">
        <f t="shared" si="27"/>
        <v>79000</v>
      </c>
    </row>
    <row r="353" spans="1:14" s="343" customFormat="1" ht="15.75" customHeight="1" thickTop="1" x14ac:dyDescent="0.2">
      <c r="A353" s="1628" t="s">
        <v>646</v>
      </c>
      <c r="B353" s="1625" t="s">
        <v>915</v>
      </c>
      <c r="C353" s="617"/>
      <c r="D353" s="617"/>
      <c r="E353" s="617"/>
      <c r="F353" s="617"/>
      <c r="G353" s="617"/>
      <c r="H353" s="617"/>
      <c r="I353" s="617"/>
      <c r="J353" s="617"/>
      <c r="K353" s="617"/>
      <c r="L353" s="617"/>
      <c r="M353" s="610"/>
      <c r="N353" s="610"/>
    </row>
    <row r="354" spans="1:14" x14ac:dyDescent="0.2">
      <c r="A354" s="1850" t="s">
        <v>1963</v>
      </c>
      <c r="B354" s="683" t="s">
        <v>1955</v>
      </c>
      <c r="C354" s="617"/>
      <c r="D354" s="617"/>
      <c r="E354" s="617"/>
      <c r="F354" s="617"/>
      <c r="G354" s="617"/>
      <c r="H354" s="474" t="str">
        <f>[1]!'acct[90-41106].adjbal{1}'</f>
        <v xml:space="preserve"> </v>
      </c>
      <c r="I354" s="701"/>
      <c r="J354" s="617"/>
      <c r="K354" s="1714" t="str">
        <f>H354</f>
        <v xml:space="preserve"> </v>
      </c>
      <c r="L354" s="471"/>
    </row>
    <row r="355" spans="1:14" ht="12.75" customHeight="1" x14ac:dyDescent="0.2">
      <c r="A355" s="1529" t="s">
        <v>1964</v>
      </c>
      <c r="B355" s="690" t="s">
        <v>1957</v>
      </c>
      <c r="C355" s="617"/>
      <c r="D355" s="617"/>
      <c r="E355" s="617"/>
      <c r="F355" s="617"/>
      <c r="G355" s="617"/>
      <c r="H355" s="467" t="str">
        <f>[1]!'acct[90-41206].adjbal{1}'</f>
        <v xml:space="preserve"> </v>
      </c>
      <c r="I355" s="701"/>
      <c r="J355" s="617"/>
      <c r="K355" s="1758" t="str">
        <f>H355</f>
        <v xml:space="preserve"> </v>
      </c>
      <c r="L355" s="467"/>
    </row>
    <row r="356" spans="1:14" ht="12.75" customHeight="1" x14ac:dyDescent="0.2">
      <c r="A356" s="1850" t="s">
        <v>722</v>
      </c>
      <c r="B356" s="683" t="s">
        <v>579</v>
      </c>
      <c r="C356" s="617"/>
      <c r="D356" s="617"/>
      <c r="E356" s="617"/>
      <c r="F356" s="617"/>
      <c r="G356" s="617"/>
      <c r="H356" s="479">
        <f>[1]!'acct[90-41906].adjbal{1}'</f>
        <v>0</v>
      </c>
      <c r="I356" s="701"/>
      <c r="J356" s="617"/>
      <c r="K356" s="1755">
        <f>H356</f>
        <v>0</v>
      </c>
      <c r="L356" s="479"/>
    </row>
    <row r="357" spans="1:14" ht="12.75" customHeight="1" thickBot="1" x14ac:dyDescent="0.25">
      <c r="A357" s="1683" t="s">
        <v>1567</v>
      </c>
      <c r="B357" s="1684" t="s">
        <v>915</v>
      </c>
      <c r="C357" s="617"/>
      <c r="D357" s="617"/>
      <c r="E357" s="617"/>
      <c r="F357" s="617"/>
      <c r="G357" s="617"/>
      <c r="H357" s="1703">
        <f>SUM(H354:H356)</f>
        <v>0</v>
      </c>
      <c r="I357" s="701"/>
      <c r="J357" s="617"/>
      <c r="K357" s="1703">
        <f>SUM(K354:K356)</f>
        <v>0</v>
      </c>
      <c r="L357" s="1703">
        <f>SUM(L354:L356)</f>
        <v>0</v>
      </c>
    </row>
    <row r="358" spans="1:14" s="343" customFormat="1" ht="15.75" customHeight="1" thickTop="1" x14ac:dyDescent="0.2">
      <c r="A358" s="1628" t="s">
        <v>1005</v>
      </c>
      <c r="B358" s="1625"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0" t="s">
        <v>89</v>
      </c>
      <c r="B360" s="615">
        <v>5110</v>
      </c>
      <c r="C360" s="617"/>
      <c r="D360" s="617"/>
      <c r="E360" s="617"/>
      <c r="F360" s="617"/>
      <c r="G360" s="617"/>
      <c r="H360" s="467">
        <f>[1]!'acct[90-51106].adjbal{1}'</f>
        <v>0</v>
      </c>
      <c r="I360" s="617"/>
      <c r="J360" s="617"/>
      <c r="K360" s="1686">
        <f>SUM(C360:J360)</f>
        <v>0</v>
      </c>
      <c r="L360" s="466"/>
    </row>
    <row r="361" spans="1:14" ht="12.75" customHeight="1" x14ac:dyDescent="0.2">
      <c r="A361" s="1521" t="s">
        <v>640</v>
      </c>
      <c r="B361" s="603" t="s">
        <v>639</v>
      </c>
      <c r="C361" s="617"/>
      <c r="D361" s="617"/>
      <c r="E361" s="617"/>
      <c r="F361" s="617"/>
      <c r="G361" s="617"/>
      <c r="H361" s="467">
        <f>[1]!'acct[90-51506].adjbal{1}'</f>
        <v>0</v>
      </c>
      <c r="I361" s="617"/>
      <c r="J361" s="617"/>
      <c r="K361" s="1686">
        <f>SUM(C361:J361)</f>
        <v>0</v>
      </c>
      <c r="L361" s="466"/>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4" customFormat="1" ht="15.75" customHeight="1" thickTop="1" x14ac:dyDescent="0.2">
      <c r="A363" s="660" t="s">
        <v>85</v>
      </c>
      <c r="B363" s="661" t="s">
        <v>38</v>
      </c>
      <c r="C363" s="638"/>
      <c r="D363" s="638"/>
      <c r="E363" s="638"/>
      <c r="F363" s="638"/>
      <c r="G363" s="638"/>
      <c r="H363" s="479">
        <f>[1]!'acct[90-52006].adjbal{1}'</f>
        <v>0</v>
      </c>
      <c r="I363" s="638"/>
      <c r="J363" s="638"/>
      <c r="K363" s="1714">
        <f>SUM(C363:J363)</f>
        <v>0</v>
      </c>
      <c r="L363" s="479"/>
      <c r="M363" s="665"/>
      <c r="N363" s="665"/>
    </row>
    <row r="364" spans="1:14" s="708" customFormat="1" ht="29.25" customHeight="1" x14ac:dyDescent="0.2">
      <c r="A364" s="702" t="s">
        <v>1771</v>
      </c>
      <c r="B364" s="703">
        <v>5300</v>
      </c>
      <c r="C364" s="704"/>
      <c r="D364" s="705"/>
      <c r="E364" s="705"/>
      <c r="F364" s="704"/>
      <c r="G364" s="705"/>
      <c r="H364" s="706">
        <v>0</v>
      </c>
      <c r="I364" s="705"/>
      <c r="J364" s="705"/>
      <c r="K364" s="1686">
        <f>SUM(C364:J364)</f>
        <v>0</v>
      </c>
      <c r="L364" s="707"/>
    </row>
    <row r="365" spans="1:14" s="674" customFormat="1" ht="12.75" customHeight="1" thickBot="1" x14ac:dyDescent="0.25">
      <c r="A365" s="1537" t="s">
        <v>611</v>
      </c>
      <c r="B365" s="659" t="s">
        <v>513</v>
      </c>
      <c r="C365" s="638"/>
      <c r="D365" s="638"/>
      <c r="E365" s="638"/>
      <c r="F365" s="638"/>
      <c r="G365" s="638"/>
      <c r="H365" s="1718">
        <f>SUM(H362,H363,H364)</f>
        <v>0</v>
      </c>
      <c r="I365" s="638"/>
      <c r="J365" s="638"/>
      <c r="K365" s="1718">
        <f>SUM(K362,K363,K364)</f>
        <v>0</v>
      </c>
      <c r="L365" s="1718">
        <f>SUM(L362,L363,L364)</f>
        <v>0</v>
      </c>
      <c r="M365" s="665"/>
      <c r="N365" s="665"/>
    </row>
    <row r="366" spans="1:14" s="343" customFormat="1" ht="15.75" customHeight="1" thickTop="1" thickBot="1" x14ac:dyDescent="0.25">
      <c r="A366" s="1622" t="s">
        <v>1006</v>
      </c>
      <c r="B366" s="1629" t="s">
        <v>916</v>
      </c>
      <c r="C366" s="624"/>
      <c r="D366" s="624"/>
      <c r="E366" s="624"/>
      <c r="F366" s="624"/>
      <c r="G366" s="624"/>
      <c r="H366" s="624"/>
      <c r="I366" s="624"/>
      <c r="J366" s="617"/>
      <c r="K366" s="624"/>
      <c r="L366" s="573"/>
      <c r="M366" s="610"/>
      <c r="N366" s="610"/>
    </row>
    <row r="367" spans="1:14" ht="12.75" customHeight="1" thickTop="1" thickBot="1" x14ac:dyDescent="0.25">
      <c r="A367" s="1707" t="s">
        <v>526</v>
      </c>
      <c r="B367" s="1719"/>
      <c r="C367" s="1685">
        <f t="shared" ref="C367:L367" si="28">SUM(C352,C357,C365,C366)</f>
        <v>0</v>
      </c>
      <c r="D367" s="1685">
        <f t="shared" si="28"/>
        <v>0</v>
      </c>
      <c r="E367" s="1685">
        <f t="shared" si="28"/>
        <v>32980</v>
      </c>
      <c r="F367" s="1685">
        <f t="shared" si="28"/>
        <v>0</v>
      </c>
      <c r="G367" s="1685">
        <f t="shared" si="28"/>
        <v>0</v>
      </c>
      <c r="H367" s="1685">
        <f t="shared" si="28"/>
        <v>0</v>
      </c>
      <c r="I367" s="1685">
        <f t="shared" si="28"/>
        <v>0</v>
      </c>
      <c r="J367" s="1685">
        <f t="shared" si="28"/>
        <v>0</v>
      </c>
      <c r="K367" s="1685">
        <f t="shared" si="28"/>
        <v>32980</v>
      </c>
      <c r="L367" s="1685">
        <f t="shared" si="28"/>
        <v>79000</v>
      </c>
    </row>
    <row r="368" spans="1:14" ht="13.5" thickTop="1" x14ac:dyDescent="0.2">
      <c r="A368" s="2185" t="s">
        <v>1053</v>
      </c>
      <c r="B368" s="2186"/>
      <c r="C368" s="654"/>
      <c r="D368" s="654"/>
      <c r="E368" s="627"/>
      <c r="F368" s="627"/>
      <c r="G368" s="627"/>
      <c r="H368" s="627"/>
      <c r="I368" s="627"/>
      <c r="J368" s="624"/>
      <c r="K368" s="1686">
        <f>'Revenues 9-14'!K275-'Expenditures 15-22'!K367</f>
        <v>69759</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25"/>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http://schemas.microsoft.com/sharepoint/v3"/>
    <ds:schemaRef ds:uri="http://purl.org/dc/terms/"/>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http://purl.org/dc/dcmitype/"/>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 (3)</vt:lpstr>
      <vt:lpstr> SEFA</vt:lpstr>
      <vt:lpstr> SEFA (2)</vt:lpstr>
      <vt:lpstr>SEFA NOTES</vt:lpstr>
      <vt:lpstr>SF&amp;QC Sec-1</vt:lpstr>
      <vt:lpstr>SF&amp;QC Sec-2</vt:lpstr>
      <vt:lpstr>SF&amp;QC Sec-2 (1)</vt:lpstr>
      <vt:lpstr>SF&amp;QC Sec-2 (2)</vt:lpstr>
      <vt:lpstr>SF&amp;QC Sec-3 (2)</vt:lpstr>
      <vt:lpstr>SSPAF</vt:lpstr>
      <vt:lpstr>' SEFA'!Print_Area</vt:lpstr>
      <vt:lpstr>' SEFA (2)'!Print_Area</vt:lpstr>
      <vt:lpstr>' SEFA (3)'!Print_Area</vt:lpstr>
      <vt:lpstr>'SEFA NOTES'!Print_Area</vt:lpstr>
      <vt:lpstr>'SEFA Reconcile'!Print_Area</vt:lpstr>
      <vt:lpstr>'SF&amp;QC Sec-1'!Print_Area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2018-11-15T01:33:43Z</cp:lastPrinted>
  <dcterms:created xsi:type="dcterms:W3CDTF">2003-10-29T19:06:34Z</dcterms:created>
  <dcterms:modified xsi:type="dcterms:W3CDTF">2018-11-28T16:22:06Z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