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65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5" i="170"/>
  <c r="C18" i="170" s="1"/>
  <c r="C21" i="170" s="1"/>
  <c r="C24" i="170" s="1"/>
  <c r="C28" i="170" s="1"/>
  <c r="C13" i="170"/>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C201" i="5"/>
  <c r="C211" i="5"/>
  <c r="C216" i="5"/>
  <c r="C224" i="5"/>
  <c r="C228" i="5"/>
  <c r="C259" i="5"/>
  <c r="B7761" i="106"/>
  <c r="L127" i="29"/>
  <c r="L129" i="29" s="1"/>
  <c r="L139" i="29"/>
  <c r="L149" i="29"/>
  <c r="I7" i="145"/>
  <c r="I6" i="145"/>
  <c r="D78" i="36"/>
  <c r="K75" i="29"/>
  <c r="K130" i="29"/>
  <c r="K185" i="29"/>
  <c r="B2836" i="106" s="1"/>
  <c r="D2836" i="106" s="1"/>
  <c r="K122" i="29"/>
  <c r="F15" i="145" s="1"/>
  <c r="F19" i="145" s="1"/>
  <c r="K67" i="29"/>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B2976" i="106" s="1"/>
  <c r="D2976" i="106" s="1"/>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B3488" i="106" s="1"/>
  <c r="D3488" i="106" s="1"/>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D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c r="B5101" i="106"/>
  <c r="D5101" i="106" s="1"/>
  <c r="B5103" i="106"/>
  <c r="D5103" i="106" s="1"/>
  <c r="B5104" i="106"/>
  <c r="D5104" i="106"/>
  <c r="B5105" i="106"/>
  <c r="D5105" i="106"/>
  <c r="B5106" i="106"/>
  <c r="D5106" i="106"/>
  <c r="B5107" i="106"/>
  <c r="D5107" i="106"/>
  <c r="B5108" i="106"/>
  <c r="D5108" i="106"/>
  <c r="B5109" i="106"/>
  <c r="D5109" i="106"/>
  <c r="B5110" i="106"/>
  <c r="D5110" i="106"/>
  <c r="B5111" i="106"/>
  <c r="D5111" i="106"/>
  <c r="B5113" i="106"/>
  <c r="D5113" i="106"/>
  <c r="B5114" i="106"/>
  <c r="D5114" i="106"/>
  <c r="B5115" i="106"/>
  <c r="D5115" i="106"/>
  <c r="B5116" i="106"/>
  <c r="D5116" i="106"/>
  <c r="B5117" i="106"/>
  <c r="D5117" i="106"/>
  <c r="B5118" i="106"/>
  <c r="D5118" i="106" s="1"/>
  <c r="B5119" i="106"/>
  <c r="D5119" i="106" s="1"/>
  <c r="B5122" i="106"/>
  <c r="D5122" i="106"/>
  <c r="B5123" i="106"/>
  <c r="D5123" i="106"/>
  <c r="B5124" i="106"/>
  <c r="D5124" i="106"/>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s="1"/>
  <c r="D7209" i="106" s="1"/>
  <c r="B7210" i="106"/>
  <c r="D7210" i="106" s="1"/>
  <c r="K338" i="29"/>
  <c r="B7212" i="106"/>
  <c r="D7212" i="106" s="1"/>
  <c r="K339" i="29"/>
  <c r="B7213" i="106" s="1"/>
  <c r="D7213" i="106" s="1"/>
  <c r="H340" i="29"/>
  <c r="H342" i="29" s="1"/>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D724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4" i="36"/>
  <c r="D68" i="36"/>
  <c r="D69" i="36"/>
  <c r="D71" i="36"/>
  <c r="D72" i="36"/>
  <c r="D79" i="36"/>
  <c r="B77" i="127"/>
  <c r="B78" i="127"/>
  <c r="D26" i="108"/>
  <c r="E26" i="108"/>
  <c r="F26" i="108"/>
  <c r="G26" i="108"/>
  <c r="D27" i="108"/>
  <c r="E27" i="108"/>
  <c r="F27" i="108"/>
  <c r="G27" i="108"/>
  <c r="E28" i="108"/>
  <c r="F28" i="108"/>
  <c r="F31" i="108"/>
  <c r="F36" i="108"/>
  <c r="F37" i="108"/>
  <c r="G28" i="108"/>
  <c r="E29" i="108"/>
  <c r="G29"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C37" i="34"/>
  <c r="D37" i="34"/>
  <c r="F37" i="34"/>
  <c r="C38" i="34"/>
  <c r="D38" i="34"/>
  <c r="F38" i="34"/>
  <c r="C39" i="34"/>
  <c r="D39" i="34"/>
  <c r="C40" i="34"/>
  <c r="D40" i="34"/>
  <c r="C41" i="34"/>
  <c r="D41" i="34"/>
  <c r="C42" i="34"/>
  <c r="D42" i="34"/>
  <c r="F42" i="34"/>
  <c r="C43" i="34"/>
  <c r="D43" i="34"/>
  <c r="C44" i="34"/>
  <c r="D44" i="34"/>
  <c r="F44" i="34"/>
  <c r="C45" i="34"/>
  <c r="D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42" i="29" s="1"/>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B5096" i="106"/>
  <c r="D5096" i="106" s="1"/>
  <c r="C82" i="5"/>
  <c r="B5102" i="106" s="1"/>
  <c r="D5102" i="106" s="1"/>
  <c r="D82" i="5"/>
  <c r="B5348" i="106" s="1"/>
  <c r="D5348" i="106" s="1"/>
  <c r="C93" i="5"/>
  <c r="B5112" i="106" s="1"/>
  <c r="D5112" i="106" s="1"/>
  <c r="C108" i="5"/>
  <c r="B5120" i="106" s="1"/>
  <c r="D5120" i="106" s="1"/>
  <c r="D108" i="5"/>
  <c r="B5355" i="106" s="1"/>
  <c r="D5355" i="106" s="1"/>
  <c r="E108" i="5"/>
  <c r="B5526" i="106"/>
  <c r="D5526" i="106" s="1"/>
  <c r="F108" i="5"/>
  <c r="B5587" i="106"/>
  <c r="D5587" i="106" s="1"/>
  <c r="G108" i="5"/>
  <c r="B5737" i="106"/>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s="1"/>
  <c r="D5383" i="106" s="1"/>
  <c r="G140" i="5"/>
  <c r="B5752" i="106" s="1"/>
  <c r="D5752" i="106" s="1"/>
  <c r="G144" i="5"/>
  <c r="B5756" i="106" s="1"/>
  <c r="D5756" i="106" s="1"/>
  <c r="G154" i="5"/>
  <c r="C144" i="5"/>
  <c r="B5165" i="106" s="1"/>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I274" i="5" s="1"/>
  <c r="B4373" i="106"/>
  <c r="D4373" i="106" s="1"/>
  <c r="J178" i="5"/>
  <c r="B6400" i="106" s="1"/>
  <c r="D6400" i="106" s="1"/>
  <c r="K178" i="5"/>
  <c r="B4951" i="106" s="1"/>
  <c r="D4951" i="106" s="1"/>
  <c r="C184" i="5"/>
  <c r="B5232" i="106" s="1"/>
  <c r="D5232" i="106" s="1"/>
  <c r="D184" i="5"/>
  <c r="B5425" i="106"/>
  <c r="D5425" i="106" s="1"/>
  <c r="F184" i="5"/>
  <c r="B5658" i="106" s="1"/>
  <c r="D5658" i="106" s="1"/>
  <c r="G184" i="5"/>
  <c r="B5784" i="106" s="1"/>
  <c r="D5784" i="106" s="1"/>
  <c r="H184" i="5"/>
  <c r="B5908" i="106" s="1"/>
  <c r="D5908" i="106" s="1"/>
  <c r="K184" i="5"/>
  <c r="B6016" i="106" s="1"/>
  <c r="D6016" i="106" s="1"/>
  <c r="B4395" i="106"/>
  <c r="D4395" i="106" s="1"/>
  <c r="D191" i="5"/>
  <c r="F191" i="5"/>
  <c r="G191" i="5"/>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B4413" i="106"/>
  <c r="D4413" i="106" s="1"/>
  <c r="G216" i="5"/>
  <c r="B4414" i="106"/>
  <c r="D4414" i="106" s="1"/>
  <c r="B5286" i="106"/>
  <c r="D5286" i="106" s="1"/>
  <c r="D224" i="5"/>
  <c r="B5470" i="106" s="1"/>
  <c r="D5470" i="106" s="1"/>
  <c r="F224" i="5"/>
  <c r="B5703" i="106" s="1"/>
  <c r="D5703" i="106" s="1"/>
  <c r="G224" i="5"/>
  <c r="B5829" i="106" s="1"/>
  <c r="D5829" i="106" s="1"/>
  <c r="B5304" i="106"/>
  <c r="D5304" i="106" s="1"/>
  <c r="D228" i="5"/>
  <c r="B5488" i="106" s="1"/>
  <c r="D5488" i="106" s="1"/>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K259" i="5"/>
  <c r="K273" i="5" s="1"/>
  <c r="B4442" i="106" s="1"/>
  <c r="D4442" i="106" s="1"/>
  <c r="B7041" i="106"/>
  <c r="D7041" i="106" s="1"/>
  <c r="G14" i="4"/>
  <c r="B2609" i="106" s="1"/>
  <c r="D2609"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K28" i="118" s="1"/>
  <c r="O27" i="118" s="1"/>
  <c r="O29" i="118" s="1"/>
  <c r="H33" i="118"/>
  <c r="D11" i="37"/>
  <c r="D22" i="37"/>
  <c r="H22" i="37"/>
  <c r="J22" i="37"/>
  <c r="L22" i="37"/>
  <c r="D24" i="37"/>
  <c r="B4270" i="106" s="1"/>
  <c r="D4270" i="106" s="1"/>
  <c r="L5" i="11"/>
  <c r="B2056" i="106" s="1"/>
  <c r="D2056" i="106" s="1"/>
  <c r="D5" i="7"/>
  <c r="B1761" i="106" s="1"/>
  <c r="D1761" i="106" s="1"/>
  <c r="D9" i="7"/>
  <c r="B1767" i="106" s="1"/>
  <c r="D1767" i="106" s="1"/>
  <c r="F136" i="34"/>
  <c r="B5599" i="106"/>
  <c r="D5599" i="106" s="1"/>
  <c r="C172" i="5"/>
  <c r="B5214" i="106" s="1"/>
  <c r="D5214" i="106" s="1"/>
  <c r="D7" i="7"/>
  <c r="B1763" i="106" s="1"/>
  <c r="D1763" i="106" s="1"/>
  <c r="B1746" i="106"/>
  <c r="D1746" i="106" s="1"/>
  <c r="D17" i="7"/>
  <c r="B4104" i="106" s="1"/>
  <c r="D4104" i="106" s="1"/>
  <c r="D12" i="7"/>
  <c r="B1769" i="106" s="1"/>
  <c r="D1769" i="106" s="1"/>
  <c r="H173" i="5" l="1"/>
  <c r="B5906" i="106" s="1"/>
  <c r="D5906" i="106" s="1"/>
  <c r="F127" i="34"/>
  <c r="D4" i="7"/>
  <c r="B1760" i="106" s="1"/>
  <c r="D1760" i="106" s="1"/>
  <c r="G5" i="4"/>
  <c r="B3409" i="106" s="1"/>
  <c r="D3409" i="106" s="1"/>
  <c r="F131" i="34"/>
  <c r="F128" i="34"/>
  <c r="G109" i="5"/>
  <c r="B6024" i="106" s="1"/>
  <c r="D6024" i="106" s="1"/>
  <c r="L367" i="29"/>
  <c r="F36" i="34"/>
  <c r="K41" i="3"/>
  <c r="H76" i="4"/>
  <c r="B3298" i="106" s="1"/>
  <c r="D3298" i="106" s="1"/>
  <c r="I24" i="12"/>
  <c r="K285" i="29"/>
  <c r="G4" i="4"/>
  <c r="B2603" i="106" s="1"/>
  <c r="D2603" i="106" s="1"/>
  <c r="D5" i="4"/>
  <c r="B3406" i="106" s="1"/>
  <c r="D3406" i="106" s="1"/>
  <c r="J274" i="5"/>
  <c r="B7054" i="106" s="1"/>
  <c r="D7054" i="106" s="1"/>
  <c r="I173" i="5"/>
  <c r="B4216" i="106" s="1"/>
  <c r="D4216" i="106" s="1"/>
  <c r="F66" i="34"/>
  <c r="D11" i="7"/>
  <c r="B1768" i="106" s="1"/>
  <c r="D1768" i="106" s="1"/>
  <c r="H6" i="4"/>
  <c r="B2656" i="106" s="1"/>
  <c r="D2656" i="106" s="1"/>
  <c r="H109" i="5"/>
  <c r="B6025" i="106" s="1"/>
  <c r="D6025" i="106" s="1"/>
  <c r="F111" i="34"/>
  <c r="D13" i="7"/>
  <c r="B3726" i="106" s="1"/>
  <c r="D3726" i="106" s="1"/>
  <c r="B4396" i="106"/>
  <c r="D4396" i="106" s="1"/>
  <c r="E109" i="5"/>
  <c r="E4" i="4" s="1"/>
  <c r="B2630" i="106" s="1"/>
  <c r="D2630" i="106" s="1"/>
  <c r="L312" i="29"/>
  <c r="F77" i="4"/>
  <c r="B3255" i="106" s="1"/>
  <c r="D3255" i="106" s="1"/>
  <c r="B3254" i="106"/>
  <c r="D3254" i="106" s="1"/>
  <c r="B3621" i="106"/>
  <c r="D3621" i="106" s="1"/>
  <c r="C367" i="29"/>
  <c r="F106" i="34"/>
  <c r="G172" i="5"/>
  <c r="B7235" i="106"/>
  <c r="D7235" i="106" s="1"/>
  <c r="B3649" i="106"/>
  <c r="D3649" i="106" s="1"/>
  <c r="G367" i="29"/>
  <c r="B3650" i="106" s="1"/>
  <c r="D3650" i="106" s="1"/>
  <c r="D15" i="7"/>
  <c r="B1772" i="106" s="1"/>
  <c r="D1772" i="106" s="1"/>
  <c r="D109" i="5"/>
  <c r="B5356" i="106" s="1"/>
  <c r="D5356" i="106" s="1"/>
  <c r="K274" i="5"/>
  <c r="K7" i="4" s="1"/>
  <c r="B3718" i="106" s="1"/>
  <c r="D3718" i="106" s="1"/>
  <c r="F130" i="34"/>
  <c r="B1995" i="106"/>
  <c r="D1995" i="106" s="1"/>
  <c r="G210" i="29"/>
  <c r="E174" i="29"/>
  <c r="B1309" i="106" s="1"/>
  <c r="D1309" i="106" s="1"/>
  <c r="C129" i="29"/>
  <c r="B1225" i="106" s="1"/>
  <c r="D1225" i="106" s="1"/>
  <c r="K24" i="12"/>
  <c r="D6103" i="106"/>
  <c r="L13" i="11"/>
  <c r="B2060" i="106" s="1"/>
  <c r="D2060" i="106" s="1"/>
  <c r="K350" i="29"/>
  <c r="C342" i="29"/>
  <c r="B7216" i="106" s="1"/>
  <c r="D7216" i="106" s="1"/>
  <c r="H4" i="4"/>
  <c r="B2655" i="106" s="1"/>
  <c r="D2655" i="106" s="1"/>
  <c r="B1410" i="106"/>
  <c r="D1410" i="106" s="1"/>
  <c r="K184" i="29"/>
  <c r="F13" i="4" s="1"/>
  <c r="B2596" i="106" s="1"/>
  <c r="D2596" i="106" s="1"/>
  <c r="B1329" i="106"/>
  <c r="D1329" i="106" s="1"/>
  <c r="F61" i="34"/>
  <c r="D4" i="4"/>
  <c r="B2564" i="106" s="1"/>
  <c r="D2564" i="106" s="1"/>
  <c r="F41" i="34"/>
  <c r="F35" i="34"/>
  <c r="F45" i="34"/>
  <c r="C173" i="5"/>
  <c r="B5223" i="106" s="1"/>
  <c r="D5223" i="106" s="1"/>
  <c r="C109" i="5"/>
  <c r="B5121" i="106" s="1"/>
  <c r="D5121" i="106" s="1"/>
  <c r="C41" i="3"/>
  <c r="B93" i="106" s="1"/>
  <c r="D93" i="106" s="1"/>
  <c r="H295" i="29"/>
  <c r="B1454" i="106" s="1"/>
  <c r="D1454" i="106" s="1"/>
  <c r="B4156" i="106"/>
  <c r="D4156" i="106" s="1"/>
  <c r="H172" i="29"/>
  <c r="H174" i="29"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B5653" i="106" s="1"/>
  <c r="D5653" i="106" s="1"/>
  <c r="D18" i="7"/>
  <c r="B4105" i="106" s="1"/>
  <c r="D4105" i="106" s="1"/>
  <c r="C6" i="4"/>
  <c r="B2553" i="106" s="1"/>
  <c r="D2553" i="106" s="1"/>
  <c r="F105" i="34"/>
  <c r="F107" i="34"/>
  <c r="F109" i="5"/>
  <c r="F275" i="5" s="1"/>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D44" i="36"/>
  <c r="F274" i="5"/>
  <c r="E273" i="5"/>
  <c r="B6835" i="106"/>
  <c r="D6835" i="106" s="1"/>
  <c r="G273" i="5"/>
  <c r="B4398" i="106"/>
  <c r="D4398" i="106" s="1"/>
  <c r="B5537" i="106"/>
  <c r="D5537" i="106" s="1"/>
  <c r="E173" i="5"/>
  <c r="I109" i="5"/>
  <c r="B5527" i="106"/>
  <c r="D5527" i="106" s="1"/>
  <c r="L279" i="29"/>
  <c r="L295" i="29" s="1"/>
  <c r="L74" i="29"/>
  <c r="K33" i="29"/>
  <c r="B720" i="106"/>
  <c r="D720" i="106" s="1"/>
  <c r="B7618" i="106"/>
  <c r="L14" i="11"/>
  <c r="B7623" i="106" s="1"/>
  <c r="D7252" i="106"/>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318" i="106"/>
  <c r="D1318"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B5914" i="106"/>
  <c r="D5914" i="106" s="1"/>
  <c r="B2657" i="106"/>
  <c r="D2657" i="106" s="1"/>
  <c r="D274" i="5"/>
  <c r="B7270" i="106"/>
  <c r="F73" i="34" l="1"/>
  <c r="G15" i="4"/>
  <c r="B6032" i="106" s="1"/>
  <c r="D6032" i="106" s="1"/>
  <c r="J7" i="4"/>
  <c r="B6222" i="106" s="1"/>
  <c r="D6222" i="106" s="1"/>
  <c r="H275" i="5"/>
  <c r="B1328" i="106"/>
  <c r="D1328" i="106" s="1"/>
  <c r="H77" i="4"/>
  <c r="B3299" i="106" s="1"/>
  <c r="D3299" i="106" s="1"/>
  <c r="L114" i="29"/>
  <c r="B6022" i="106"/>
  <c r="D6022" i="106" s="1"/>
  <c r="B3724" i="106"/>
  <c r="D3724" i="106" s="1"/>
  <c r="B1996" i="106"/>
  <c r="D1996" i="106" s="1"/>
  <c r="I26" i="12"/>
  <c r="B7741" i="106" s="1"/>
  <c r="D7741" i="106" s="1"/>
  <c r="B3568" i="106"/>
  <c r="D3568" i="106" s="1"/>
  <c r="D52" i="36"/>
  <c r="B7733" i="106"/>
  <c r="D7733" i="106" s="1"/>
  <c r="K26" i="12"/>
  <c r="B7743" i="106" s="1"/>
  <c r="D7743" i="106" s="1"/>
  <c r="G173" i="5"/>
  <c r="B5770" i="106"/>
  <c r="D5770" i="106" s="1"/>
  <c r="D19" i="7"/>
  <c r="B1775" i="106" s="1"/>
  <c r="D1775" i="106" s="1"/>
  <c r="B3628" i="106"/>
  <c r="D3628" i="106" s="1"/>
  <c r="D7253" i="106"/>
  <c r="C151" i="29"/>
  <c r="B1226" i="106" s="1"/>
  <c r="D1226" i="106" s="1"/>
  <c r="H367" i="29"/>
  <c r="B3660" i="106" s="1"/>
  <c r="D3660" i="106" s="1"/>
  <c r="B1365" i="106"/>
  <c r="D1365" i="106" s="1"/>
  <c r="F65" i="34"/>
  <c r="L16" i="11"/>
  <c r="B2061" i="106" s="1"/>
  <c r="D2061" i="106" s="1"/>
  <c r="B2031" i="106"/>
  <c r="D2031" i="106" s="1"/>
  <c r="B3670" i="106"/>
  <c r="D3670" i="106" s="1"/>
  <c r="K352" i="29"/>
  <c r="K342" i="29"/>
  <c r="F13" i="34" s="1"/>
  <c r="H8" i="4"/>
  <c r="B2658" i="106" s="1"/>
  <c r="D2658" i="106" s="1"/>
  <c r="C114" i="29"/>
  <c r="B757" i="106" s="1"/>
  <c r="D757" i="106" s="1"/>
  <c r="C4" i="4"/>
  <c r="B2551" i="106" s="1"/>
  <c r="D255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D275" i="5" s="1"/>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5720" i="106"/>
  <c r="D5720" i="106" s="1"/>
  <c r="J8" i="4"/>
  <c r="H10" i="4"/>
  <c r="B4127" i="106" s="1"/>
  <c r="D4127" i="106" s="1"/>
  <c r="D7" i="4"/>
  <c r="B5507" i="106"/>
  <c r="D5507" i="106" s="1"/>
  <c r="B7298" i="106"/>
  <c r="B7299" i="106"/>
  <c r="B7224" i="106" l="1"/>
  <c r="D7224" i="106" s="1"/>
  <c r="J17" i="4"/>
  <c r="F8" i="4"/>
  <c r="F10" i="4" s="1"/>
  <c r="B4125" i="106" s="1"/>
  <c r="D4125" i="106" s="1"/>
  <c r="B5778" i="106"/>
  <c r="D5778" i="106" s="1"/>
  <c r="G6" i="4"/>
  <c r="B2604" i="106" s="1"/>
  <c r="D2604" i="106" s="1"/>
  <c r="K13" i="4"/>
  <c r="B3572" i="106" s="1"/>
  <c r="D3572" i="106" s="1"/>
  <c r="B3672" i="106"/>
  <c r="D3672" i="106" s="1"/>
  <c r="K367" i="29"/>
  <c r="B3678" i="106" s="1"/>
  <c r="D3678" i="106" s="1"/>
  <c r="G41" i="108"/>
  <c r="G44" i="108" s="1"/>
  <c r="G45" i="108" s="1"/>
  <c r="E41" i="108"/>
  <c r="E44" i="108" s="1"/>
  <c r="E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B2595" i="106"/>
  <c r="D2595" i="106" s="1"/>
  <c r="H37" i="37"/>
  <c r="B285" i="106"/>
  <c r="D285" i="106" s="1"/>
  <c r="N37" i="3"/>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B2567" i="106"/>
  <c r="D2567" i="106" s="1"/>
  <c r="D8" i="4" l="1"/>
  <c r="C8" i="146" s="1"/>
  <c r="K368" i="29"/>
  <c r="B3681" i="106" s="1"/>
  <c r="D3681" i="106" s="1"/>
  <c r="F76" i="34"/>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c r="B4123" i="106" s="1"/>
  <c r="D4123" i="106" s="1"/>
  <c r="B2568" i="106" l="1"/>
  <c r="D2568" i="106" s="1"/>
  <c r="H13" i="118"/>
  <c r="D20" i="4"/>
  <c r="B2574" i="106" s="1"/>
  <c r="D2574" i="106" s="1"/>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F8" i="146"/>
  <c r="F179" i="34" l="1"/>
  <c r="F79" i="34"/>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<sst xmlns="http://schemas.openxmlformats.org/spreadsheetml/2006/main" count="5054" uniqueCount="2124">
  <si>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</si>
  <si>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</si>
  <si>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</si>
  <si>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</si>
  <si>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</si>
  <si>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</si>
  <si>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</si>
  <si>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</si>
  <si>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</si>
  <si>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</si>
  <si>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</si>
  <si>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</si>
  <si>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</si>
  <si>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</si>
  <si>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</si>
  <si>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</si>
  <si>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</si>
  <si>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</si>
  <si>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</si>
  <si>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</si>
  <si>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</si>
  <si>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</si>
  <si>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</si>
  <si>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</si>
  <si>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</si>
  <si>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</si>
  <si>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</si>
  <si>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</si>
  <si>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</si>
  <si>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</si>
  <si>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</si>
  <si>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</si>
  <si>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</si>
  <si>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</si>
  <si>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</si>
  <si>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</si>
  <si>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</si>
  <si>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</si>
  <si>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</si>
  <si>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</si>
  <si>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</si>
  <si>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</si>
  <si>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</si>
  <si>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</si>
  <si>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</si>
  <si>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</si>
  <si>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</si>
  <si>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</si>
  <si>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</si>
  <si>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</si>
  <si>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</si>
  <si>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</si>
  <si>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</si>
  <si>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</si>
  <si>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</si>
  <si>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</si>
  <si>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</si>
  <si>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</si>
  <si>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</si>
  <si>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</si>
  <si>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</si>
  <si>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</si>
  <si>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</si>
  <si>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</si>
  <si>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</si>
  <si>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</si>
  <si>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</si>
  <si>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</si>
  <si>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</si>
  <si>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</si>
  <si>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</si>
  <si>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</si>
  <si>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</si>
  <si>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</si>
  <si>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</si>
  <si>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</si>
  <si>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</si>
  <si>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</si>
  <si>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</si>
  <si>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</si>
  <si>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</si>
  <si>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</si>
  <si>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</si>
  <si>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</si>
  <si>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</si>
  <si>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</si>
  <si>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</si>
  <si>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</si>
  <si>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</si>
  <si>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</si>
  <si>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</si>
  <si>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</si>
  <si>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</si>
  <si>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</si>
  <si>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</si>
  <si>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</si>
  <si>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</si>
  <si>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</si>
  <si>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</si>
  <si>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</si>
  <si>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</si>
  <si>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</si>
  <si>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</si>
  <si>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</si>
  <si>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</si>
  <si>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</si>
  <si>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</si>
  <si>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</si>
  <si>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</si>
  <si>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</si>
  <si>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</si>
  <si>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</si>
  <si>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</si>
  <si>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</si>
  <si>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</si>
  <si>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</si>
  <si>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</si>
  <si>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</si>
  <si>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</si>
  <si>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</si>
  <si>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</si>
  <si>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</si>
  <si>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</si>
  <si>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</si>
  <si>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</si>
  <si>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</si>
  <si>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</si>
  <si>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</si>
  <si>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</si>
  <si>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</si>
  <si>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</si>
  <si>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</si>
  <si>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</si>
  <si>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</si>
  <si>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</si>
  <si>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</si>
  <si>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</si>
  <si>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</si>
  <si>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</si>
  <si>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</si>
  <si>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</si>
  <si>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</si>
  <si>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</si>
  <si>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</si>
  <si>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</si>
  <si>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</si>
  <si>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</si>
  <si>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</si>
  <si>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</si>
  <si>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</si>
  <si>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</si>
  <si>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</si>
  <si>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</si>
  <si>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</si>
  <si>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</si>
  <si>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</si>
  <si>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</si>
  <si>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</si>
  <si>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</si>
  <si>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</si>
  <si>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</si>
  <si>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</si>
  <si>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</si>
  <si>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</si>
  <si>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</si>
  <si>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</si>
  <si>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</si>
  <si>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</si>
  <si>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</si>
  <si>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</si>
  <si>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</si>
  <si>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</si>
  <si>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</si>
  <si>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</si>
  <si>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</si>
  <si>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</si>
  <si>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</si>
  <si>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</si>
  <si>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</si>
  <si>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</si>
  <si>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</si>
  <si>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</si>
  <si>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</si>
  <si>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</si>
  <si>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</si>
  <si>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</si>
  <si>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</si>
  <si>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</si>
  <si>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</si>
  <si>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</si>
  <si>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</si>
  <si>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</si>
  <si>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</si>
  <si>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</si>
  <si>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</si>
  <si>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</si>
  <si>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</si>
  <si>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</si>
  <si>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</si>
  <si>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</si>
  <si>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</si>
  <si>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</si>
  <si>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</si>
  <si>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</si>
  <si>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</si>
  <si>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</si>
  <si>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</si>
  <si>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</si>
  <si>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</si>
  <si>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</si>
  <si>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</si>
  <si>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</si>
  <si>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</si>
  <si>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</si>
  <si>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</si>
  <si>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</si>
  <si>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</si>
  <si>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</si>
  <si>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</si>
  <si>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</si>
  <si>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</si>
  <si>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</si>
  <si>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</si>
  <si>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</si>
  <si>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</si>
  <si>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</si>
  <si>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</si>
  <si>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</si>
  <si>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</si>
  <si>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</si>
  <si>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</si>
  <si>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</si>
  <si>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</si>
  <si>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</si>
  <si>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</si>
  <si>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</si>
  <si>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</si>
  <si>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</si>
  <si>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</si>
  <si>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</si>
  <si>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</si>
  <si>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</si>
  <si>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</si>
  <si>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</si>
  <si>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</si>
  <si>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</si>
  <si>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</si>
  <si>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</si>
  <si>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</si>
  <si>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</si>
  <si>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</si>
  <si>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</si>
  <si>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</si>
  <si>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</si>
  <si>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</si>
  <si>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</si>
  <si>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</si>
  <si>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</si>
  <si>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</si>
  <si>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</si>
  <si>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</si>
  <si>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</si>
  <si>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</si>
  <si>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</si>
  <si>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</si>
  <si>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</si>
  <si>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</si>
  <si>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</si>
  <si>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</si>
  <si>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</si>
  <si>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</si>
  <si>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</si>
  <si>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</si>
  <si>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</si>
  <si>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</si>
  <si>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</si>
  <si>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</si>
  <si>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</si>
  <si>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</si>
  <si>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</si>
  <si>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</si>
  <si>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</si>
  <si>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</si>
  <si>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</si>
  <si>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</si>
  <si>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</si>
  <si>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</si>
  <si>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</si>
  <si>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</si>
  <si>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</si>
  <si>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</si>
  <si>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</si>
  <si>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</si>
  <si>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</si>
  <si>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</si>
  <si>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</si>
  <si>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</si>
  <si>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</si>
  <si>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</si>
  <si>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</si>
  <si>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</si>
  <si>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</si>
  <si>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</si>
  <si>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</si>
  <si>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</si>
  <si>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</si>
  <si>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</si>
  <si>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</si>
  <si>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</si>
  <si>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</si>
  <si>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</si>
  <si>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</si>
  <si>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</si>
  <si>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</si>
  <si>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</si>
  <si>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</si>
  <si>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</si>
  <si>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</si>
  <si>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</si>
  <si>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</si>
  <si>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</si>
  <si>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</si>
  <si>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</si>
  <si>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</si>
  <si>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</si>
  <si>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</si>
  <si>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</si>
  <si>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</si>
  <si>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</si>
  <si>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</si>
  <si>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</si>
  <si>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</si>
  <si>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</si>
  <si>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</si>
  <si>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</si>
  <si>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</si>
  <si>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</si>
  <si>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</si>
  <si>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</si>
  <si>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</si>
  <si>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</si>
  <si>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</si>
  <si>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</si>
  <si>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</si>
  <si>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</si>
  <si>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</si>
  <si>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</si>
  <si>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</si>
  <si>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</si>
  <si>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</si>
  <si>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</si>
  <si>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</si>
  <si>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</si>
  <si>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</si>
  <si>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</si>
  <si>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</si>
  <si>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</si>
  <si>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</si>
  <si>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</si>
  <si>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</si>
  <si>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</si>
  <si>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</si>
  <si>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</si>
  <si>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</si>
  <si>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</si>
  <si>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</si>
  <si>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</si>
  <si>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</si>
  <si>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</si>
  <si>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</si>
  <si>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</si>
  <si>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</si>
  <si>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</si>
  <si>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</si>
  <si>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</si>
  <si>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</si>
  <si>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</si>
  <si>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</si>
  <si>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</si>
  <si>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</si>
  <si>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</si>
  <si>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</si>
  <si>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</si>
  <si>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</si>
  <si>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</si>
  <si>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</si>
  <si>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</si>
  <si>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</si>
  <si>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</si>
  <si>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</si>
  <si>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</si>
  <si>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</si>
  <si>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</si>
  <si>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</si>
  <si>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</si>
  <si>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</si>
  <si>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</si>
  <si>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</si>
  <si>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</si>
  <si>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</si>
  <si>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</si>
  <si>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</si>
  <si>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</si>
  <si>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</si>
  <si>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</si>
  <si>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</si>
  <si>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</si>
  <si>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</si>
  <si>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</si>
  <si>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</si>
  <si>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</si>
  <si>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</si>
  <si>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</si>
  <si>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</si>
  <si>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</si>
  <si>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</si>
  <si>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</si>
  <si>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</si>
  <si>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</si>
  <si>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</si>
  <si>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</si>
  <si>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</si>
  <si>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</si>
  <si>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</si>
  <si>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</si>
  <si>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</si>
  <si>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</si>
  <si>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</si>
  <si>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</si>
  <si>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</si>
  <si>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</si>
  <si>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</si>
  <si>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</si>
  <si>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</si>
  <si>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</si>
  <si>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</si>
  <si>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</si>
  <si>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</si>
  <si>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</si>
  <si>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</si>
  <si>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</si>
  <si>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</si>
  <si>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</si>
  <si>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</si>
  <si>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</si>
  <si>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</si>
  <si>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</si>
  <si>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</si>
  <si>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</si>
  <si>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</si>
  <si>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</si>
  <si>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</si>
  <si>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</si>
  <si>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</si>
  <si>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</si>
  <si>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</si>
  <si>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</si>
  <si>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</si>
  <si>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</si>
  <si>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</si>
  <si>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</si>
  <si>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</si>
  <si>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</si>
  <si>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</si>
  <si>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</si>
  <si>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</si>
  <si>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</si>
  <si>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</si>
  <si>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</si>
  <si>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</si>
  <si>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</si>
  <si>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</si>
  <si>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</si>
  <si>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</si>
  <si>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</si>
  <si>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</si>
  <si>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</si>
  <si>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</si>
  <si>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</si>
  <si>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</si>
  <si>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</si>
  <si>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</si>
  <si>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</si>
  <si>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</si>
  <si>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</si>
  <si>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</si>
  <si>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</si>
  <si>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</si>
  <si>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</si>
  <si>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</si>
  <si>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</si>
  <si>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</si>
  <si>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</si>
  <si>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</si>
  <si>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</si>
  <si>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</si>
  <si>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</si>
  <si>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</si>
  <si>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</si>
  <si>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</si>
  <si>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</si>
  <si>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</si>
  <si>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</si>
  <si>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</si>
  <si>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</si>
  <si>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</si>
  <si>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</si>
  <si>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</si>
  <si>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</si>
  <si>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</si>
  <si>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</si>
  <si>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</si>
  <si>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</si>
  <si>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</si>
  <si>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</si>
  <si>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</si>
  <si>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</si>
  <si>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</si>
  <si>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</si>
  <si>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</si>
  <si>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</si>
  <si>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</si>
  <si>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</si>
  <si>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</si>
  <si>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</si>
  <si>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</si>
  <si>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</si>
  <si>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</si>
  <si>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</si>
  <si>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</si>
  <si>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</si>
  <si>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</si>
  <si>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</si>
  <si>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</si>
  <si>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</si>
  <si>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</si>
  <si>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</si>
  <si>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</si>
  <si>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</si>
  <si>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</si>
  <si>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</si>
  <si>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</si>
  <si>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</si>
  <si>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</si>
  <si>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</si>
  <si>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</si>
  <si>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</si>
  <si>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</si>
  <si>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</si>
  <si>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</si>
  <si>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</si>
  <si>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</si>
  <si>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</si>
  <si>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</si>
  <si>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</si>
  <si>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</si>
  <si>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</si>
  <si>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</si>
  <si>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</si>
  <si>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</si>
  <si>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</si>
  <si>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</si>
  <si>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</si>
  <si>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</si>
  <si>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</si>
  <si>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</si>
  <si>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</si>
  <si>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</si>
  <si>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</si>
  <si>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</si>
  <si>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</si>
  <si>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</si>
  <si>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</si>
  <si>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</si>
  <si>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</si>
  <si>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</si>
  <si>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</si>
  <si>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</si>
  <si>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</si>
  <si>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</si>
  <si>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</si>
  <si>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</si>
  <si>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</si>
  <si>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</si>
  <si>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</si>
  <si>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</si>
  <si>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</si>
  <si>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</si>
  <si>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</si>
  <si>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</si>
  <si>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</si>
  <si>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</si>
  <si>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</si>
  <si>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</si>
  <si>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</si>
  <si>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</si>
  <si>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</si>
  <si>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</si>
  <si>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</si>
  <si>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</si>
  <si>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</si>
  <si>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</si>
  <si>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</si>
  <si>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</si>
  <si>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</si>
  <si>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</si>
  <si>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</si>
  <si>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</si>
  <si>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</si>
  <si>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</si>
  <si>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</si>
  <si>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</si>
  <si>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</si>
  <si>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</si>
  <si>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</si>
  <si>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</si>
  <si>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</si>
  <si>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</si>
  <si>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</si>
  <si>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</si>
  <si>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</si>
  <si>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</si>
  <si>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</si>
  <si>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</si>
  <si>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</si>
  <si>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</si>
  <si>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</si>
  <si>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</si>
  <si>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</si>
  <si>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</si>
  <si>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</si>
  <si>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</si>
  <si>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</si>
  <si>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</si>
  <si>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</si>
  <si>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</si>
  <si>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</si>
  <si>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</si>
  <si>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</si>
  <si>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</si>
  <si>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</si>
  <si>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</si>
  <si>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</si>
  <si>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</si>
  <si>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</si>
  <si>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</si>
  <si>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</si>
  <si>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</si>
  <si>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</si>
  <si>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</si>
  <si>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</si>
  <si>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</si>
  <si>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</si>
  <si>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</si>
  <si>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</si>
  <si>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</si>
  <si>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</si>
  <si>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</si>
  <si>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</si>
  <si>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</si>
  <si>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</si>
  <si>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</si>
  <si>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</si>
  <si>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</si>
  <si>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</si>
  <si>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</si>
  <si>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</si>
  <si>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</si>
  <si>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</si>
  <si>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</si>
  <si>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</si>
  <si>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</si>
  <si>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</si>
  <si>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</si>
  <si>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</si>
  <si>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</si>
  <si>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</si>
  <si>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</si>
  <si>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</si>
  <si>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</si>
  <si>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</si>
  <si>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</si>
  <si>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</si>
  <si>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</si>
  <si>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</si>
  <si>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</si>
  <si>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</si>
  <si>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</si>
  <si>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</si>
  <si>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</si>
  <si>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</si>
  <si>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</si>
  <si>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</si>
  <si>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</si>
  <si>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</si>
  <si>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</si>
  <si>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</si>
  <si>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</si>
  <si>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</si>
  <si>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</si>
  <si>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</si>
  <si>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</si>
  <si>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</si>
  <si>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</si>
  <si>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</si>
  <si>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</si>
  <si>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</si>
  <si>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</si>
  <si>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</si>
  <si>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</si>
  <si>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</si>
  <si>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</si>
  <si>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</si>
  <si>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</si>
  <si>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</si>
  <si>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</si>
  <si>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</si>
  <si>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</si>
  <si>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</si>
  <si>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</si>
  <si>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</si>
  <si>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</si>
  <si>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</si>
  <si>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</si>
  <si>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</si>
  <si>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</si>
  <si>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</si>
  <si>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</si>
  <si>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</si>
  <si>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</si>
  <si>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</si>
  <si>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</si>
  <si>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</si>
  <si>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</si>
  <si>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</si>
  <si>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</si>
  <si>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</si>
  <si>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</si>
  <si>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</si>
  <si>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</si>
  <si>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</si>
  <si>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</si>
  <si>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</si>
  <si>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</si>
  <si>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</si>
  <si>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</si>
  <si>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</si>
  <si>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</si>
  <si>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</si>
  <si>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</si>
  <si>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</si>
  <si>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</si>
  <si>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</si>
  <si>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</si>
  <si>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</si>
  <si>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</si>
  <si>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</si>
  <si>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</si>
  <si>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</si>
  <si>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</si>
  <si>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</si>
  <si>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</si>
  <si>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</si>
  <si>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</si>
  <si>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</si>
  <si>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</si>
  <si>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</si>
  <si>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</si>
  <si>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</si>
  <si>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</si>
  <si>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</si>
  <si>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</si>
  <si>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</si>
  <si>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</si>
  <si>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</si>
  <si>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</si>
  <si>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</si>
  <si>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</si>
  <si>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</si>
  <si>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</si>
  <si>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</si>
  <si>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</si>
  <si>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</si>
  <si>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</si>
  <si>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</si>
  <si>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</si>
  <si>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</si>
  <si>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</si>
  <si>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</si>
  <si>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</si>
  <si>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</si>
  <si>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</si>
  <si>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</si>
  <si>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</si>
  <si>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</si>
  <si>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</si>
  <si>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</si>
  <si>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</si>
  <si>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</si>
  <si>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</si>
  <si>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</si>
  <si>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</si>
  <si>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</si>
  <si>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</si>
  <si>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</si>
  <si>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</si>
  <si>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</si>
  <si>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</si>
  <si>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</si>
  <si>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</si>
  <si>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</si>
  <si>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</si>
  <si>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</si>
  <si>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</si>
  <si>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</si>
  <si>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</si>
  <si>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</si>
  <si>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</si>
  <si>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</si>
  <si>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</si>
  <si>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</si>
  <si>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</si>
  <si>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</si>
  <si>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</si>
  <si>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</si>
  <si>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</si>
  <si>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</si>
  <si>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</si>
  <si>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</si>
  <si>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</si>
  <si>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</si>
  <si>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</si>
  <si>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</si>
  <si>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</si>
  <si>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</si>
  <si>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</si>
  <si>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</si>
  <si>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</si>
  <si>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</si>
  <si>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</si>
  <si>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</si>
  <si>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</si>
  <si>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</si>
  <si>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</si>
  <si>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</si>
  <si>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</si>
  <si>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</si>
  <si>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</si>
  <si>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</si>
  <si>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</si>
  <si>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</si>
  <si>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</si>
  <si>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</si>
  <si>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</si>
  <si>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</si>
  <si>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</si>
  <si>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</si>
  <si>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</si>
  <si>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</si>
  <si>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</si>
  <si>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</si>
  <si>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</si>
  <si>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</si>
  <si>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</si>
  <si>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</si>
  <si>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</si>
  <si>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</si>
  <si>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</si>
  <si>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</si>
  <si>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</si>
  <si>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</si>
  <si>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</si>
  <si>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</si>
  <si>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</si>
  <si>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</si>
  <si>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</si>
  <si>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</si>
  <si>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</si>
  <si>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</si>
  <si>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</si>
  <si>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</si>
  <si>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</si>
  <si>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</si>
  <si>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</si>
  <si>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</si>
  <si>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</si>
  <si>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</si>
  <si>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</si>
  <si>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</si>
  <si>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</si>
  <si>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</si>
  <si>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</si>
  <si>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</si>
  <si>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</si>
  <si>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</si>
  <si>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</si>
  <si>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</si>
  <si>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</si>
  <si>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</si>
  <si>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</si>
  <si>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</si>
  <si>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</si>
  <si>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</si>
  <si>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</si>
  <si>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</si>
  <si>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</si>
  <si>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</si>
  <si>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</si>
  <si>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</si>
  <si>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</si>
  <si>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</si>
  <si>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</si>
  <si>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</si>
  <si>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</si>
  <si>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</si>
  <si>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</si>
  <si>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</si>
  <si>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</si>
  <si>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</si>
  <si>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</si>
  <si>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</si>
  <si>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</si>
  <si>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</si>
  <si>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</si>
  <si>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</si>
  <si>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</si>
  <si>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</si>
  <si>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</si>
  <si>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</si>
  <si>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</si>
  <si>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</si>
  <si>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</si>
  <si>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</si>
  <si>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</si>
  <si>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</si>
  <si>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</si>
  <si>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</si>
  <si>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</si>
  <si>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</si>
  <si>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</si>
  <si>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</si>
  <si>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</si>
  <si>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</si>
  <si>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</si>
  <si>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</si>
  <si>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</si>
  <si>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</si>
  <si>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</si>
  <si>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</si>
  <si>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</si>
  <si>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</si>
  <si>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</si>
  <si>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</si>
  <si>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</si>
  <si>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</si>
  <si>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</si>
  <si>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</si>
  <si>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</si>
  <si>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</si>
  <si>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</si>
  <si>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</si>
  <si>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</si>
  <si>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</si>
  <si>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</si>
  <si>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</si>
  <si>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</si>
  <si>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</si>
  <si>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</si>
  <si>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</si>
  <si>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</si>
  <si>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</si>
  <si>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</si>
  <si>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</si>
  <si>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</si>
  <si>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</si>
  <si>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</si>
  <si>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</si>
  <si>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</si>
  <si>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</si>
  <si>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</si>
  <si>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</si>
  <si>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</si>
  <si>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</si>
  <si>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</si>
  <si>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</si>
  <si>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</si>
  <si>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</si>
  <si>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</si>
  <si>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</si>
  <si>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</si>
  <si>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</si>
  <si>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</si>
  <si>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</si>
  <si>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</si>
  <si>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</si>
  <si>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</si>
  <si>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</si>
  <si>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</si>
  <si>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</si>
  <si>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</si>
  <si>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</si>
  <si>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</si>
  <si>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</si>
  <si>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</si>
  <si>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</si>
  <si>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</si>
  <si>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</si>
  <si>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</si>
  <si>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</si>
  <si>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</si>
  <si>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</si>
  <si>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</si>
  <si>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</si>
  <si>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</si>
  <si>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</si>
  <si>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</si>
  <si>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</si>
  <si>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</si>
  <si>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</si>
  <si>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</si>
  <si>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</si>
  <si>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</si>
  <si>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</si>
  <si>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</si>
  <si>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</si>
  <si>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</si>
  <si>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</si>
  <si>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</si>
  <si>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</si>
  <si>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</si>
  <si>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</si>
  <si>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</si>
  <si>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</si>
  <si>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</si>
  <si>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</si>
  <si>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</si>
  <si>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</si>
  <si>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</si>
  <si>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</si>
  <si>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</si>
  <si>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</si>
  <si>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</si>
  <si>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</si>
  <si>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</si>
  <si>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</si>
  <si>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</si>
  <si>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</si>
  <si>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</si>
  <si>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</si>
  <si>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</si>
  <si>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</si>
  <si>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</si>
  <si>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</si>
  <si>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</si>
  <si>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</si>
  <si>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</si>
  <si>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</si>
  <si>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</si>
  <si>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</si>
  <si>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</si>
  <si>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</si>
  <si>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</si>
  <si>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</si>
  <si>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</si>
  <si>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</si>
  <si>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</si>
  <si>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</si>
  <si>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</si>
  <si>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</si>
  <si>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</si>
  <si>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</si>
  <si>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</si>
  <si>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</si>
  <si>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</si>
  <si>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</si>
  <si>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</si>
  <si>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</si>
  <si>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</si>
  <si>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</si>
  <si>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</si>
  <si>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</si>
  <si>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</si>
  <si>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</si>
  <si>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</si>
  <si>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</si>
  <si>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</si>
  <si>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</si>
  <si>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</si>
  <si>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</si>
  <si>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</si>
  <si>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</si>
  <si>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</si>
  <si>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</si>
  <si>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</si>
  <si>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</si>
  <si>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</si>
  <si>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</si>
  <si>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</si>
  <si>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</si>
  <si>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</si>
  <si>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</si>
  <si>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</si>
  <si>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</si>
  <si>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</si>
  <si>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</si>
  <si>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</si>
  <si>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</si>
  <si>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</si>
  <si>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</si>
  <si>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</si>
  <si>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</si>
  <si>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</si>
  <si>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</si>
  <si>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</si>
  <si>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</si>
  <si>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</si>
  <si>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</si>
  <si>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</si>
  <si>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</si>
  <si>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</si>
  <si>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</si>
  <si>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</si>
  <si>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</si>
  <si>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</si>
  <si>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</si>
  <si>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</si>
  <si>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</si>
  <si>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</si>
  <si>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</si>
  <si>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</si>
  <si>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</si>
  <si>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</si>
  <si>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</si>
  <si>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</si>
  <si>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</si>
  <si>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</si>
  <si>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</si>
  <si>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</si>
  <si>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</si>
  <si>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</si>
  <si>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</si>
  <si>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</si>
  <si>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</si>
  <si>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</si>
  <si>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</si>
  <si>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</si>
  <si>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</si>
  <si>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</si>
  <si>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</si>
  <si>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</si>
  <si>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</si>
  <si>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</si>
  <si>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</si>
  <si>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</si>
  <si>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</si>
  <si>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</si>
  <si>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</si>
  <si>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</si>
  <si>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</si>
  <si>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</si>
  <si>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</si>
  <si>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</si>
  <si>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</si>
  <si>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</si>
  <si>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</si>
  <si>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</si>
  <si>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</si>
  <si>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</si>
  <si>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</si>
  <si>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</si>
  <si>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</si>
  <si>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</si>
  <si>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</si>
  <si>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</si>
  <si>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</si>
  <si>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</si>
  <si>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</si>
  <si>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</si>
  <si>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</si>
  <si>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</si>
  <si>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</si>
  <si>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</si>
  <si>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</si>
  <si>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</si>
  <si>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</si>
  <si>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</si>
  <si>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</si>
  <si>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</si>
  <si>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</si>
  <si>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</si>
  <si>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</si>
  <si>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</si>
  <si>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</si>
  <si>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</si>
  <si>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</si>
  <si>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</si>
  <si>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</si>
  <si>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</si>
  <si>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</si>
  <si>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</si>
  <si>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</si>
  <si>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</si>
  <si>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</si>
  <si>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</si>
  <si>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</si>
  <si>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</si>
  <si>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</si>
  <si>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</si>
  <si>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</si>
  <si>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</si>
  <si>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</si>
  <si>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</si>
  <si>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</si>
  <si>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</si>
  <si>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</si>
  <si>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</si>
  <si>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</si>
  <si>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</si>
  <si>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</si>
  <si>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</si>
  <si>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</si>
  <si>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</si>
  <si>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</si>
  <si>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</si>
  <si>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</si>
  <si>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</si>
  <si>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</si>
  <si>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</si>
  <si>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</si>
  <si>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</si>
  <si>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</si>
  <si>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</si>
  <si>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</si>
  <si>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</si>
  <si>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</si>
  <si>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</si>
  <si>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</si>
  <si>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</si>
  <si>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</si>
  <si>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</si>
  <si>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</si>
  <si>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</si>
  <si>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</si>
  <si>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</si>
  <si>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</si>
  <si>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</si>
  <si>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</si>
  <si>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</si>
  <si>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</si>
  <si>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</si>
  <si>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</si>
  <si>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</si>
  <si>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</si>
  <si>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</si>
  <si>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</si>
  <si>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</si>
  <si>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</si>
  <si>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</si>
  <si>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</si>
  <si>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</si>
  <si>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</si>
  <si>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</si>
  <si>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</si>
  <si>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</si>
  <si>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</si>
  <si>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</si>
  <si>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</si>
  <si>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</si>
  <si>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</si>
  <si>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</si>
  <si>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</si>
  <si>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</si>
  <si>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</si>
  <si>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</si>
  <si>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</si>
  <si>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</si>
  <si>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</si>
  <si>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</si>
  <si>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</si>
  <si>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</si>
  <si>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</si>
  <si>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</si>
  <si>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</si>
  <si>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</si>
  <si>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</si>
  <si>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</si>
  <si>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</si>
  <si>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</si>
  <si>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</si>
  <si>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</si>
  <si>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</si>
  <si>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</si>
  <si>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</si>
  <si>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</si>
  <si>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</si>
  <si>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</si>
  <si>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</si>
  <si>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</si>
  <si>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</si>
  <si>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</si>
  <si>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</si>
  <si>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</si>
  <si>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</si>
  <si>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</si>
  <si>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</si>
  <si>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</si>
  <si>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</si>
  <si>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</si>
  <si>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</si>
  <si>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</si>
  <si>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</si>
  <si>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</si>
  <si>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</si>
  <si>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</si>
  <si>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</si>
  <si>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</si>
  <si>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</si>
  <si>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</si>
  <si>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</si>
  <si>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</si>
  <si>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</si>
  <si>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</si>
  <si>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</si>
  <si>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</si>
  <si>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</si>
  <si>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</si>
  <si>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</si>
  <si>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</si>
  <si>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</si>
  <si>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</si>
  <si>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</si>
  <si>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</si>
  <si>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</si>
  <si>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</si>
  <si>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</si>
  <si>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</si>
  <si>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</si>
  <si>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</si>
  <si>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</si>
  <si>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</si>
  <si>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</si>
  <si>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</si>
  <si>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</si>
  <si>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</si>
  <si>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</si>
  <si>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</si>
  <si>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</si>
  <si>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</si>
  <si>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</si>
  <si>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</si>
  <si>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</si>
  <si>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</si>
  <si>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</si>
  <si>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</si>
  <si>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</si>
  <si>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</si>
  <si>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</si>
  <si>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</si>
  <si>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</si>
  <si>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</si>
  <si>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</si>
  <si>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</si>
  <si>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</si>
  <si>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</si>
  <si>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</si>
  <si>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</si>
  <si>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</si>
  <si>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</si>
  <si>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</si>
  <si>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</si>
  <si>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</si>
  <si>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</si>
  <si>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</si>
  <si>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</si>
  <si>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</si>
  <si>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</si>
  <si>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</si>
  <si>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</si>
  <si>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</si>
  <si>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</si>
  <si>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</si>
  <si>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</si>
  <si>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</si>
  <si>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</si>
  <si>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</si>
  <si>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</si>
  <si>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</si>
  <si>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</si>
  <si>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</si>
  <si>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</si>
  <si>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</si>
  <si>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</si>
  <si>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</si>
  <si>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</si>
  <si>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</si>
  <si>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</si>
  <si>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</si>
  <si>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</si>
  <si>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</si>
  <si>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</si>
  <si>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</si>
  <si>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</si>
  <si>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</si>
  <si>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</si>
  <si>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</si>
  <si>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</si>
  <si>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</si>
  <si>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</si>
  <si>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</si>
  <si>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</si>
  <si>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</si>
  <si>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</si>
  <si>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</si>
  <si>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</si>
  <si>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</si>
  <si>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</si>
  <si>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</si>
  <si>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</si>
  <si>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</si>
  <si>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</si>
  <si>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</si>
  <si>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</si>
  <si>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</si>
  <si>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</si>
  <si>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</si>
  <si>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</si>
  <si>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</si>
  <si>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</si>
  <si>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</si>
  <si>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</si>
  <si>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</si>
  <si>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</si>
  <si>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</si>
  <si>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</si>
  <si>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</si>
  <si>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</si>
  <si>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</si>
  <si>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</si>
  <si>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</si>
  <si>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</si>
  <si>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</si>
  <si>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</si>
  <si>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</si>
  <si>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</si>
  <si>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</si>
  <si>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</si>
  <si>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</si>
  <si>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</si>
  <si>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</si>
  <si>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</si>
  <si>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</si>
  <si>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</si>
  <si>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</si>
  <si>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</si>
  <si>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</si>
  <si>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</si>
  <si>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</si>
  <si>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</si>
  <si>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</si>
  <si>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</si>
  <si>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</si>
  <si>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</si>
  <si>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</si>
  <si>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</si>
  <si>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</si>
  <si>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</si>
  <si>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</si>
  <si>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</si>
  <si>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</si>
  <si>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</si>
  <si>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</si>
  <si>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</si>
  <si>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</si>
  <si>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</si>
  <si>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</si>
  <si>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</si>
  <si>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</si>
  <si>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</si>
  <si>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</si>
  <si>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</si>
  <si>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</si>
  <si>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</si>
  <si>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</si>
  <si>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</si>
  <si>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</si>
  <si>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</si>
  <si>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</si>
  <si>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</si>
  <si>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</si>
  <si>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</si>
  <si>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</si>
  <si>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</si>
  <si>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</si>
  <si>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</si>
  <si>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</si>
  <si>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</si>
  <si>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</si>
  <si>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</si>
  <si>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</si>
  <si>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</si>
  <si>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</si>
  <si>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</si>
  <si>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</si>
  <si>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</si>
  <si>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</si>
  <si>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</si>
  <si>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</si>
  <si>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</si>
  <si>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</si>
  <si>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</si>
  <si>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</si>
  <si>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</si>
  <si>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</si>
  <si>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</si>
  <si>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</si>
  <si>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</si>
  <si>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</si>
  <si>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</si>
  <si>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</si>
  <si>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</si>
  <si>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</si>
  <si>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</si>
  <si>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</si>
  <si>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</si>
  <si>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</si>
  <si>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</si>
  <si>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</si>
  <si>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</si>
  <si>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</si>
  <si>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</si>
  <si>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</si>
  <si>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</si>
  <si>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</si>
  <si>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</si>
  <si>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</si>
  <si>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</si>
  <si>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</si>
  <si>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</si>
  <si>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</si>
  <si>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</si>
  <si>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</si>
  <si>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</si>
  <si>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</si>
  <si>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</si>
  <si>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</si>
  <si>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</si>
  <si>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</si>
  <si>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</si>
  <si>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</si>
  <si>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</si>
  <si>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</si>
  <si>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</si>
  <si>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</si>
  <si>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</si>
  <si>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</si>
  <si>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</si>
  <si>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</si>
  <si>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</si>
  <si>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</si>
  <si>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</si>
  <si>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</si>
  <si>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</si>
  <si>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</si>
  <si>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</si>
  <si>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</si>
  <si>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</si>
  <si>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</si>
  <si>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</si>
  <si>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</si>
  <si>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</si>
  <si>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</si>
  <si>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</si>
  <si>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</si>
  <si>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</si>
  <si>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</si>
  <si>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</si>
  <si>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</si>
  <si>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</si>
  <si>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</si>
  <si>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</si>
  <si>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</si>
  <si>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</si>
  <si>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</si>
  <si>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</si>
  <si>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</si>
  <si>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</si>
  <si>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</si>
  <si>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</si>
  <si>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</si>
  <si>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</si>
  <si>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</si>
  <si>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</si>
  <si>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</si>
  <si>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</si>
  <si>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</si>
  <si>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</si>
  <si>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</si>
  <si>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</si>
  <si>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</si>
  <si>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</si>
  <si>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</si>
  <si>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</si>
  <si>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</si>
  <si>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</si>
  <si>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</si>
  <si>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</si>
  <si>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</si>
  <si>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</si>
  <si>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</si>
  <si>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</si>
  <si>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</si>
  <si>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</si>
  <si>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</si>
  <si>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</si>
  <si>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</si>
  <si>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</si>
  <si>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</si>
  <si>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</si>
  <si>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</si>
  <si>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</si>
  <si>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</si>
  <si>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</si>
  <si>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</si>
  <si>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</si>
  <si>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</si>
  <si>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</si>
  <si>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</si>
  <si>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</si>
  <si>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</si>
  <si>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</si>
  <si>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</si>
  <si>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</si>
  <si>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</si>
  <si>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</si>
  <si>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</si>
  <si>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</si>
  <si>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</si>
  <si>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</si>
  <si>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</si>
  <si>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</si>
  <si>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</si>
  <si>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</si>
  <si>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</si>
  <si>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</si>
  <si>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</si>
  <si>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</si>
  <si>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</si>
  <si>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</si>
  <si>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</si>
  <si>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</si>
  <si>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</si>
  <si>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</si>
  <si>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</si>
  <si>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</si>
  <si>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</si>
  <si>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</si>
  <si>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</si>
  <si>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</si>
  <si>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</si>
  <si>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</si>
  <si>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</si>
  <si>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</si>
  <si>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</si>
  <si>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</si>
  <si>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</si>
  <si>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</si>
  <si>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</si>
  <si>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</si>
  <si>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</si>
  <si>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</si>
  <si>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</si>
  <si>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</si>
  <si>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</si>
  <si>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</si>
  <si>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</si>
  <si>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</si>
  <si>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</si>
  <si>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</si>
  <si>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</si>
  <si>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</si>
  <si>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</si>
  <si>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</si>
  <si>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</si>
  <si>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</si>
  <si>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</si>
  <si>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</si>
  <si>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</si>
  <si>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</si>
  <si>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</si>
  <si>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</si>
  <si>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</si>
  <si>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</si>
  <si>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</si>
  <si>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</si>
  <si>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</si>
  <si>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</si>
  <si>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</si>
  <si>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</si>
  <si>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</si>
  <si>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</si>
  <si>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</si>
  <si>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</si>
  <si>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</si>
  <si>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</si>
  <si>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</si>
  <si>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</si>
  <si>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</si>
  <si>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</si>
  <si>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</si>
  <si>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</si>
  <si>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</si>
  <si>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</si>
  <si>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</si>
  <si>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</si>
  <si>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</si>
  <si>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</si>
  <si>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</si>
  <si>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</si>
  <si>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</si>
  <si>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</si>
  <si>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</si>
  <si>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</si>
  <si>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</si>
  <si>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</si>
  <si>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</si>
  <si>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</si>
  <si>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</si>
  <si>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</si>
  <si>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</si>
  <si>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</si>
  <si>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</si>
  <si>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</si>
  <si>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</si>
  <si>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</si>
  <si>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</si>
  <si>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</si>
  <si>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</si>
  <si>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</si>
  <si>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</si>
  <si>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</si>
  <si>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</si>
  <si>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</si>
  <si>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</si>
  <si>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</si>
  <si>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</si>
  <si>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</si>
  <si>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</si>
  <si>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</si>
  <si>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</si>
  <si>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</si>
  <si>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</si>
  <si>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</si>
  <si>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</si>
  <si>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</si>
  <si>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</si>
  <si>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</si>
  <si>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</si>
  <si>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</si>
  <si>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</si>
  <si>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</si>
  <si>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</si>
  <si>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</si>
  <si>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</si>
  <si>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</si>
  <si>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</si>
  <si>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</si>
  <si>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</si>
  <si>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</si>
  <si>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</si>
  <si>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</si>
  <si>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</si>
  <si>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</si>
  <si>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</si>
  <si>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</si>
  <si>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</si>
  <si>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</si>
  <si>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</si>
  <si>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</si>
  <si>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</si>
  <si>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</si>
  <si>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</si>
  <si>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</si>
  <si>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</si>
  <si>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</si>
  <si>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</si>
  <si>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</si>
  <si>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</si>
  <si>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</si>
  <si>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</si>
  <si>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</si>
  <si>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</si>
  <si>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</si>
  <si>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</si>
  <si>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</si>
  <si>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</si>
  <si>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</si>
  <si>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</si>
  <si>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</si>
  <si>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</si>
  <si>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</si>
  <si>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</si>
  <si>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</si>
  <si>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</si>
  <si>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</si>
  <si>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</si>
  <si>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</si>
  <si>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</si>
  <si>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</si>
  <si>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</si>
  <si>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</si>
  <si>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</si>
  <si>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</si>
  <si>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</si>
  <si>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</si>
  <si>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</si>
  <si>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</si>
  <si>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</si>
  <si>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</si>
  <si>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</si>
  <si>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</si>
  <si>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</si>
  <si>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</si>
  <si>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</si>
  <si>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</si>
  <si>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</si>
  <si>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</si>
  <si>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</si>
  <si>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</si>
  <si>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</si>
  <si>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</si>
  <si>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</si>
  <si>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</si>
  <si>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</si>
  <si>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</si>
  <si>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</si>
  <si>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</si>
  <si>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</si>
  <si>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</si>
  <si>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</si>
  <si>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</si>
  <si>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</si>
  <si>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</si>
  <si>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</si>
  <si>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</si>
  <si>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</si>
  <si>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</si>
  <si>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</si>
  <si>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</si>
  <si>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</si>
  <si>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</si>
  <si>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</si>
  <si>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</si>
  <si>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</si>
  <si>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</si>
  <si>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</si>
  <si>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</si>
  <si>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</si>
  <si>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</si>
  <si>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</si>
  <si>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</si>
  <si>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</si>
  <si>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</si>
  <si>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</si>
  <si>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</si>
  <si>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</si>
  <si>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</si>
  <si>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</si>
  <si>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</si>
  <si>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</si>
  <si>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</si>
  <si>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</si>
  <si>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</si>
  <si>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</si>
  <si>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</si>
  <si>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</si>
  <si>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</si>
  <si>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</si>
  <si>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</si>
  <si>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</si>
  <si>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</si>
  <si>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</si>
  <si>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</si>
  <si>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</si>
  <si>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</si>
  <si>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</si>
  <si>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</si>
  <si>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</si>
  <si>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</si>
  <si>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</si>
  <si>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</si>
  <si>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</si>
  <si>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</si>
  <si>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</si>
  <si>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</si>
  <si>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</si>
  <si>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</si>
  <si>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</si>
  <si>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</si>
  <si>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</si>
  <si>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</si>
  <si>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</si>
  <si>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</si>
  <si>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</si>
  <si>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</si>
  <si>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</si>
  <si>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</si>
  <si>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</si>
  <si>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</si>
  <si>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</si>
  <si>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</si>
  <si>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</si>
  <si>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</si>
  <si>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</si>
  <si>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</si>
  <si>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</si>
  <si>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</si>
  <si>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</si>
  <si>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</si>
  <si>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</si>
  <si>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</si>
  <si>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</si>
  <si>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</si>
  <si>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</si>
  <si>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</si>
  <si>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</si>
  <si>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</si>
  <si>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</si>
  <si>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</si>
  <si>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</si>
  <si>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</si>
  <si>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</si>
  <si>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</si>
  <si>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</si>
  <si>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</si>
  <si>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</si>
  <si>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</si>
  <si>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</si>
  <si>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</si>
  <si>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</si>
  <si>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</si>
  <si>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</si>
  <si>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</si>
  <si>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</si>
  <si>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</si>
  <si>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</si>
  <si>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</si>
  <si>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</si>
  <si>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</si>
  <si>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</si>
  <si>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</si>
  <si>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</si>
  <si>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</si>
  <si>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</si>
  <si>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</si>
  <si>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</si>
  <si>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</si>
  <si>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</si>
  <si>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</si>
  <si>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</si>
  <si>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</si>
  <si>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</si>
  <si>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</si>
  <si>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</si>
  <si>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</si>
  <si>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</si>
  <si>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</si>
  <si>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</si>
  <si>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</si>
  <si>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</si>
  <si>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</si>
  <si>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</si>
  <si>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</si>
  <si>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</si>
  <si>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</si>
  <si>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</si>
  <si>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</si>
  <si>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</si>
  <si>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</si>
  <si>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</si>
  <si>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</si>
  <si>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</si>
  <si>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</si>
  <si>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</si>
  <si>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</si>
  <si>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</si>
  <si>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</si>
  <si>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</si>
  <si>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</si>
  <si>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</si>
  <si>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</si>
  <si>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</si>
  <si>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</si>
  <si>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</si>
  <si>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</si>
  <si>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</si>
  <si>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</si>
  <si>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</si>
  <si>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</si>
  <si>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</si>
  <si>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</si>
  <si>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</si>
  <si>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</si>
  <si>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</si>
  <si>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</si>
  <si>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</si>
  <si>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</si>
  <si>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</si>
  <si>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</si>
  <si>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</si>
  <si>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</si>
  <si>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</si>
  <si>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</si>
  <si>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</si>
  <si>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</si>
  <si>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</si>
  <si>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</si>
  <si>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</si>
  <si>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</si>
  <si>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</si>
  <si>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</si>
  <si>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</si>
  <si>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</si>
  <si>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</si>
  <si>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</si>
  <si>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</si>
  <si>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</si>
  <si>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</si>
  <si>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</si>
  <si>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</si>
  <si>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</si>
  <si>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</si>
  <si>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</si>
  <si>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</si>
  <si>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</si>
  <si>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</si>
  <si>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</si>
  <si>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</si>
  <si>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</si>
  <si>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</si>
  <si>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</si>
  <si>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</si>
  <si>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</si>
  <si>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</si>
  <si>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</si>
  <si>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</si>
  <si>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</si>
  <si>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</si>
  <si>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</si>
  <si>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</si>
  <si>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</si>
  <si>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</si>
  <si>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</si>
  <si>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</si>
  <si>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</si>
  <si>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</si>
  <si>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</si>
  <si>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</si>
  <si>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</si>
  <si>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</si>
  <si>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</si>
  <si>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</si>
  <si>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</si>
  <si>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</si>
  <si>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</si>
  <si>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</si>
  <si>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</si>
  <si>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</si>
  <si>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</si>
  <si>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</si>
  <si>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</si>
  <si>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</si>
  <si>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</si>
  <si>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</si>
  <si>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</si>
  <si>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</si>
  <si>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</si>
  <si>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</si>
  <si>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</si>
  <si>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DOUGLAS</t>
  </si>
  <si>
    <t>409 SOUTH PRAIRIE STREET</t>
  </si>
  <si>
    <t>TUSCOLA</t>
  </si>
  <si>
    <t>MICHAEL SMITH</t>
  </si>
  <si>
    <t>micsmith@tuscola.k12.il.us</t>
  </si>
  <si>
    <t>217-253-4241</t>
  </si>
  <si>
    <t>217-253-4522</t>
  </si>
  <si>
    <t>RUSSELL LEIGH &amp; ASSOCIATIES</t>
  </si>
  <si>
    <t>RUSS LEIGH</t>
  </si>
  <si>
    <t>228 E MAIN ST</t>
  </si>
  <si>
    <t>HOOPESTON</t>
  </si>
  <si>
    <t>IL</t>
  </si>
  <si>
    <t>217-283-9336</t>
  </si>
  <si>
    <t>217-283-9736</t>
  </si>
  <si>
    <t>065.018319</t>
  </si>
  <si>
    <t>admin@russleigh.com</t>
  </si>
  <si>
    <t>General Obligation Life Safety Bonds, Series 2009</t>
  </si>
  <si>
    <t>General Obligation Refunding Bonds, Series 2010</t>
  </si>
  <si>
    <t>General Obligation Refunding Bonds, Series 2012</t>
  </si>
  <si>
    <t>Eastern Illinois Area of Special Education</t>
  </si>
  <si>
    <t>Page 10 - Acct 1790 - Other District Activity Revenue</t>
  </si>
  <si>
    <t>Col 10 - Educational</t>
  </si>
  <si>
    <t>Concessions - $501</t>
  </si>
  <si>
    <t>Page 11 - Acct 1993 - Other Local Fees</t>
  </si>
  <si>
    <t>School Supplies - $1,559</t>
  </si>
  <si>
    <t>Page 11 - Acct 1999 - Other Local Revenues</t>
  </si>
  <si>
    <t>E-Rate - $14,844</t>
  </si>
  <si>
    <t>Refunds &amp; Reimbursements - $174,528</t>
  </si>
  <si>
    <t>Col 20 - Operations &amp; Maintenance</t>
  </si>
  <si>
    <t>Refunds &amp; Reimbursements - $1,184</t>
  </si>
  <si>
    <t>Page 11 - Acct 3299 - CTE - Other</t>
  </si>
  <si>
    <t>CTEI Grant - $16,530</t>
  </si>
  <si>
    <t>Page 12 - Acct 3999 - Other Restricted Revenue from State Sources</t>
  </si>
  <si>
    <t>Library Grant - $845</t>
  </si>
  <si>
    <t>Page 15 - Acct 2190 - Other Support Services - Pupils</t>
  </si>
  <si>
    <t>Computer Technology Expenses - $186,937</t>
  </si>
  <si>
    <t>Page 16 - Funct 2900 - Other Support Services</t>
  </si>
  <si>
    <t>Purchased Services - Employee Bonds - $1,524</t>
  </si>
  <si>
    <t>Page 18 - Acct 5400-600</t>
  </si>
  <si>
    <t>Bond Agent Fees - $1,500</t>
  </si>
  <si>
    <t>Page 19 - Funct 2190 - Other Support Services - Pupils</t>
  </si>
  <si>
    <t>Computer Technology Benefits - $6,299</t>
  </si>
  <si>
    <t>AUDITCHECK Tab</t>
  </si>
  <si>
    <t>#13 - No contracts greater than $25,000 in the current year</t>
  </si>
  <si>
    <t>No applicable contracts</t>
  </si>
  <si>
    <t>Tuscola CUSD 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</si>
</sst>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6">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64" fillId="0" borderId="0" xfId="0" applyFont="1"/>
    <xf numFmtId="0" fontId="73" fillId="0" borderId="0" xfId="0" applyFont="1"/>
    <xf numFmtId="0" fontId="1" fillId="0" borderId="158" xfId="17" applyFont="1" applyBorder="1" applyAlignment="1" applyProtection="1">
      <alignment horizontal="left" vertical="top" wrapText="1"/>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quotePrefix="1"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3" fillId="13" borderId="13" xfId="0" applyNumberFormat="1" applyFont="1" applyFill="1" applyBorder="1" applyAlignment="1" applyProtection="1">
      <alignment horizontal="center" vertical="center"/>
    </xf>
    <xf numFmtId="0" fontId="55" fillId="13"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3"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914400</xdr:colOff>
          <xdr:row>8</xdr:row>
          <xdr:rowOff>38100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5" t="s">
        <v>425</v>
      </c>
      <c r="J1" s="2036"/>
      <c r="K1" s="2036"/>
      <c r="L1" s="2036"/>
      <c r="M1" s="2036"/>
      <c r="N1" s="2036"/>
      <c r="O1" s="2036"/>
      <c r="P1" s="2036"/>
      <c r="Q1" s="2036"/>
      <c r="R1" s="2036"/>
      <c r="S1" s="2036"/>
    </row>
    <row r="2" spans="1:28" ht="12" customHeight="1" x14ac:dyDescent="0.2">
      <c r="A2" s="47" t="s">
        <v>1684</v>
      </c>
      <c r="D2" s="48"/>
      <c r="I2" s="2037" t="s">
        <v>1036</v>
      </c>
      <c r="J2" s="2036"/>
      <c r="K2" s="2036"/>
      <c r="L2" s="2036"/>
      <c r="M2" s="2036"/>
      <c r="N2" s="2036"/>
      <c r="O2" s="2036"/>
      <c r="P2" s="2036"/>
      <c r="Q2" s="2036"/>
      <c r="R2" s="2036"/>
      <c r="S2" s="2036"/>
    </row>
    <row r="3" spans="1:28" ht="12" customHeight="1" x14ac:dyDescent="0.2">
      <c r="A3" s="155" t="s">
        <v>1685</v>
      </c>
      <c r="B3" s="156"/>
      <c r="C3" s="156"/>
      <c r="D3" s="157"/>
      <c r="I3" s="2037" t="s">
        <v>54</v>
      </c>
      <c r="J3" s="2036"/>
      <c r="K3" s="2036"/>
      <c r="L3" s="2036"/>
      <c r="M3" s="2036"/>
      <c r="N3" s="2036"/>
      <c r="O3" s="2036"/>
      <c r="P3" s="2036"/>
      <c r="Q3" s="2036"/>
      <c r="R3" s="2036"/>
      <c r="S3" s="2036"/>
    </row>
    <row r="4" spans="1:28" ht="12" customHeight="1" x14ac:dyDescent="0.2">
      <c r="A4" s="37"/>
      <c r="I4" s="2037" t="s">
        <v>545</v>
      </c>
      <c r="J4" s="2036"/>
      <c r="K4" s="2036"/>
      <c r="L4" s="2036"/>
      <c r="M4" s="2036"/>
      <c r="N4" s="2036"/>
      <c r="O4" s="2036"/>
      <c r="P4" s="2036"/>
      <c r="Q4" s="2036"/>
      <c r="R4" s="2036"/>
      <c r="S4" s="2036"/>
    </row>
    <row r="5" spans="1:28" ht="14.1" customHeight="1" x14ac:dyDescent="0.2">
      <c r="B5" s="104" t="s">
        <v>2077</v>
      </c>
      <c r="C5" s="26" t="s">
        <v>966</v>
      </c>
      <c r="D5" s="84"/>
      <c r="E5" s="84"/>
      <c r="H5" s="38"/>
      <c r="I5" s="2044" t="s">
        <v>701</v>
      </c>
      <c r="J5" s="1988"/>
      <c r="K5" s="1988"/>
      <c r="L5" s="1988"/>
      <c r="M5" s="1988"/>
      <c r="N5" s="1988"/>
      <c r="O5" s="1988"/>
      <c r="P5" s="1988"/>
      <c r="Q5" s="1988"/>
      <c r="R5" s="1988"/>
      <c r="S5" s="1988"/>
    </row>
    <row r="6" spans="1:28" ht="14.1" customHeight="1" x14ac:dyDescent="0.2">
      <c r="B6" s="104"/>
      <c r="C6" s="26" t="s">
        <v>967</v>
      </c>
      <c r="D6" s="84"/>
      <c r="E6" s="84"/>
      <c r="I6" s="2043" t="s">
        <v>938</v>
      </c>
      <c r="J6" s="1988"/>
      <c r="K6" s="1988"/>
      <c r="L6" s="1988"/>
      <c r="M6" s="1988"/>
      <c r="N6" s="1988"/>
      <c r="O6" s="1988"/>
      <c r="P6" s="1988"/>
      <c r="Q6" s="1988"/>
      <c r="R6" s="1988"/>
      <c r="S6" s="1988"/>
    </row>
    <row r="7" spans="1:28" ht="12.2" customHeight="1" x14ac:dyDescent="0.2">
      <c r="I7" s="2038">
        <v>43281</v>
      </c>
      <c r="J7" s="2039"/>
      <c r="K7" s="2039"/>
      <c r="L7" s="2039"/>
      <c r="M7" s="2039"/>
      <c r="N7" s="2039"/>
      <c r="O7" s="2039"/>
      <c r="P7" s="2039"/>
      <c r="Q7" s="2039"/>
      <c r="R7" s="2039"/>
      <c r="S7" s="2039"/>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40" t="s">
        <v>695</v>
      </c>
      <c r="J9" s="2041"/>
      <c r="K9" s="2041"/>
      <c r="L9" s="2041"/>
      <c r="M9" s="2041"/>
      <c r="N9" s="2041"/>
      <c r="O9" s="2041"/>
      <c r="P9" s="2041"/>
      <c r="Q9" s="2041"/>
      <c r="R9" s="2041"/>
      <c r="S9" s="2042"/>
      <c r="T9" s="1984" t="s">
        <v>554</v>
      </c>
      <c r="U9" s="1985"/>
      <c r="V9" s="1985"/>
      <c r="W9" s="1985"/>
      <c r="X9" s="1985"/>
      <c r="Y9" s="1985"/>
      <c r="Z9" s="1985"/>
      <c r="AA9" s="1986"/>
    </row>
    <row r="10" spans="1:28" ht="13.5" customHeight="1" x14ac:dyDescent="0.2">
      <c r="A10" s="1993" t="s">
        <v>696</v>
      </c>
      <c r="B10" s="1994"/>
      <c r="C10" s="1994"/>
      <c r="D10" s="1994"/>
      <c r="E10" s="1994"/>
      <c r="F10" s="1994"/>
      <c r="G10" s="1994"/>
      <c r="H10" s="1995"/>
      <c r="I10" s="29"/>
      <c r="J10" s="30"/>
      <c r="K10" s="28"/>
      <c r="R10" s="30"/>
      <c r="S10" s="30"/>
      <c r="T10" s="1987"/>
      <c r="U10" s="1988"/>
      <c r="V10" s="1988"/>
      <c r="W10" s="1988"/>
      <c r="X10" s="1988"/>
      <c r="Y10" s="1988"/>
      <c r="Z10" s="1988"/>
      <c r="AA10" s="1989"/>
    </row>
    <row r="11" spans="1:28" ht="14.25" customHeight="1" x14ac:dyDescent="0.2">
      <c r="A11" s="1996" t="s">
        <v>1012</v>
      </c>
      <c r="B11" s="1997"/>
      <c r="C11" s="1997"/>
      <c r="D11" s="1997"/>
      <c r="E11" s="1997"/>
      <c r="F11" s="1997"/>
      <c r="G11" s="1997"/>
      <c r="H11" s="1998"/>
      <c r="I11" s="27"/>
      <c r="J11" s="74"/>
      <c r="K11" s="27"/>
      <c r="O11" s="148" t="s">
        <v>2077</v>
      </c>
      <c r="P11" s="100" t="s">
        <v>210</v>
      </c>
      <c r="Q11" s="30"/>
      <c r="R11" s="28"/>
      <c r="S11" s="27"/>
      <c r="T11" s="1990"/>
      <c r="U11" s="1991"/>
      <c r="V11" s="1991"/>
      <c r="W11" s="1991"/>
      <c r="X11" s="1991"/>
      <c r="Y11" s="1991"/>
      <c r="Z11" s="1991"/>
      <c r="AA11" s="1992"/>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4">
        <v>11021301026</v>
      </c>
      <c r="B13" s="2005"/>
      <c r="C13" s="2005"/>
      <c r="D13" s="2005"/>
      <c r="E13" s="2005"/>
      <c r="F13" s="2005"/>
      <c r="G13" s="2005"/>
      <c r="H13" s="2006"/>
      <c r="I13" s="31"/>
      <c r="J13" s="30"/>
      <c r="K13" s="28"/>
      <c r="L13" s="30"/>
      <c r="M13" s="30"/>
      <c r="N13" s="30"/>
      <c r="O13" s="30"/>
      <c r="P13" s="30"/>
      <c r="Q13" s="30"/>
      <c r="R13" s="30"/>
      <c r="S13" s="30"/>
      <c r="T13" s="2009" t="s">
        <v>2085</v>
      </c>
      <c r="U13" s="2010"/>
      <c r="V13" s="2010"/>
      <c r="W13" s="2010"/>
      <c r="X13" s="2010"/>
      <c r="Y13" s="2011"/>
      <c r="Z13" s="2011"/>
      <c r="AA13" s="2012"/>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2" t="s">
        <v>2078</v>
      </c>
      <c r="B15" s="2007"/>
      <c r="C15" s="2007"/>
      <c r="D15" s="2007"/>
      <c r="E15" s="2007"/>
      <c r="F15" s="2007"/>
      <c r="G15" s="2007"/>
      <c r="H15" s="2008"/>
      <c r="T15" s="1970" t="s">
        <v>2086</v>
      </c>
      <c r="U15" s="1971"/>
      <c r="V15" s="1971"/>
      <c r="W15" s="1971"/>
      <c r="X15" s="1971"/>
      <c r="Y15" s="2013"/>
      <c r="Z15" s="2013"/>
      <c r="AA15" s="2014"/>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2032" t="s">
        <v>2123</v>
      </c>
      <c r="B17" s="2033"/>
      <c r="C17" s="2033"/>
      <c r="D17" s="2033"/>
      <c r="E17" s="2033"/>
      <c r="F17" s="2033"/>
      <c r="G17" s="2033"/>
      <c r="H17" s="2034"/>
      <c r="T17" s="2019" t="s">
        <v>2087</v>
      </c>
      <c r="U17" s="2020"/>
      <c r="V17" s="2020"/>
      <c r="W17" s="2020"/>
      <c r="X17" s="2020"/>
      <c r="Y17" s="2020"/>
      <c r="Z17" s="2020"/>
      <c r="AA17" s="2021"/>
    </row>
    <row r="18" spans="1:27" ht="13.5" customHeight="1" x14ac:dyDescent="0.2">
      <c r="A18" s="85" t="s">
        <v>551</v>
      </c>
      <c r="B18" s="76"/>
      <c r="C18" s="72"/>
      <c r="D18" s="76"/>
      <c r="E18" s="76"/>
      <c r="F18" s="76"/>
      <c r="G18" s="76"/>
      <c r="H18" s="56"/>
      <c r="I18" s="2029" t="s">
        <v>697</v>
      </c>
      <c r="J18" s="2030"/>
      <c r="K18" s="2030"/>
      <c r="L18" s="2030"/>
      <c r="M18" s="2030"/>
      <c r="N18" s="2030"/>
      <c r="O18" s="2030"/>
      <c r="P18" s="2030"/>
      <c r="Q18" s="2030"/>
      <c r="R18" s="2030"/>
      <c r="S18" s="2031"/>
      <c r="T18" s="85" t="s">
        <v>735</v>
      </c>
      <c r="U18" s="51"/>
      <c r="V18" s="72"/>
      <c r="W18" s="50"/>
      <c r="X18" s="85" t="s">
        <v>284</v>
      </c>
      <c r="Y18" s="81"/>
      <c r="Z18" s="159" t="s">
        <v>698</v>
      </c>
      <c r="AA18" s="46"/>
    </row>
    <row r="19" spans="1:27" ht="13.5" customHeight="1" x14ac:dyDescent="0.2">
      <c r="A19" s="2002" t="s">
        <v>2079</v>
      </c>
      <c r="B19" s="2003"/>
      <c r="C19" s="2003"/>
      <c r="D19" s="2003"/>
      <c r="E19" s="2003"/>
      <c r="F19" s="2003"/>
      <c r="G19" s="2003"/>
      <c r="H19" s="2001"/>
      <c r="I19" s="30"/>
      <c r="J19" s="99"/>
      <c r="K19" s="40"/>
      <c r="L19" s="38"/>
      <c r="M19" s="112" t="s">
        <v>333</v>
      </c>
      <c r="P19" s="27"/>
      <c r="Q19" s="27"/>
      <c r="R19" s="27"/>
      <c r="S19" s="31"/>
      <c r="T19" s="2002" t="s">
        <v>2088</v>
      </c>
      <c r="U19" s="2000"/>
      <c r="V19" s="2000"/>
      <c r="W19" s="2001"/>
      <c r="X19" s="2017" t="s">
        <v>2089</v>
      </c>
      <c r="Y19" s="2018"/>
      <c r="Z19" s="2015">
        <v>60942</v>
      </c>
      <c r="AA19" s="2016"/>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9" t="s">
        <v>2080</v>
      </c>
      <c r="B21" s="2000"/>
      <c r="C21" s="2000"/>
      <c r="D21" s="2000"/>
      <c r="E21" s="2000"/>
      <c r="F21" s="2000"/>
      <c r="G21" s="2000"/>
      <c r="H21" s="2001"/>
      <c r="I21" s="2025" t="s">
        <v>699</v>
      </c>
      <c r="J21" s="1988"/>
      <c r="K21" s="1988"/>
      <c r="L21" s="1988"/>
      <c r="M21" s="1988"/>
      <c r="N21" s="1988"/>
      <c r="O21" s="1988"/>
      <c r="P21" s="1988"/>
      <c r="Q21" s="1988"/>
      <c r="R21" s="1988"/>
      <c r="S21" s="1989"/>
      <c r="T21" s="1967" t="s">
        <v>2090</v>
      </c>
      <c r="U21" s="1968"/>
      <c r="V21" s="1968"/>
      <c r="W21" s="1968"/>
      <c r="X21" s="1981" t="s">
        <v>2091</v>
      </c>
      <c r="Y21" s="1982"/>
      <c r="Z21" s="1982"/>
      <c r="AA21" s="1983"/>
    </row>
    <row r="22" spans="1:27" ht="13.5" customHeight="1" x14ac:dyDescent="0.2">
      <c r="A22" s="87" t="s">
        <v>552</v>
      </c>
      <c r="B22" s="59"/>
      <c r="C22" s="59"/>
      <c r="D22" s="59"/>
      <c r="E22" s="59"/>
      <c r="F22" s="59"/>
      <c r="G22" s="59"/>
      <c r="H22" s="60"/>
      <c r="I22" s="2026" t="s">
        <v>1504</v>
      </c>
      <c r="J22" s="2027"/>
      <c r="K22" s="2027"/>
      <c r="L22" s="2027"/>
      <c r="M22" s="2027"/>
      <c r="N22" s="2027"/>
      <c r="O22" s="2027"/>
      <c r="P22" s="2027"/>
      <c r="Q22" s="2027"/>
      <c r="R22" s="2027"/>
      <c r="S22" s="2028"/>
      <c r="T22" s="85" t="s">
        <v>1596</v>
      </c>
      <c r="U22" s="51"/>
      <c r="V22" s="72"/>
      <c r="W22" s="51"/>
      <c r="X22" s="160" t="s">
        <v>1385</v>
      </c>
      <c r="Z22" s="45"/>
      <c r="AA22" s="46"/>
    </row>
    <row r="23" spans="1:27" ht="13.5" customHeight="1" x14ac:dyDescent="0.2">
      <c r="A23" s="2022"/>
      <c r="B23" s="2023"/>
      <c r="C23" s="2023"/>
      <c r="D23" s="2023"/>
      <c r="E23" s="2023"/>
      <c r="F23" s="2023"/>
      <c r="G23" s="2023"/>
      <c r="H23" s="2024"/>
      <c r="T23" s="1962" t="s">
        <v>2092</v>
      </c>
      <c r="U23" s="1963"/>
      <c r="V23" s="1963"/>
      <c r="W23" s="1963"/>
      <c r="X23" s="1978">
        <v>44469</v>
      </c>
      <c r="Y23" s="1979"/>
      <c r="Z23" s="1979"/>
      <c r="AA23" s="1980"/>
    </row>
    <row r="24" spans="1:27" ht="14.1" customHeight="1" x14ac:dyDescent="0.2">
      <c r="A24" s="88" t="s">
        <v>698</v>
      </c>
      <c r="B24" s="49"/>
      <c r="C24" s="49"/>
      <c r="D24" s="49"/>
      <c r="E24" s="49"/>
      <c r="F24" s="49"/>
      <c r="G24" s="49"/>
      <c r="H24" s="61"/>
      <c r="J24" s="2065">
        <f>IF(B5="x",IF(AUDITCHECK!D29="AFR form Incomplete.","",IF(AUDITCHECK!D29="Deficit reduction plan is required.","School District must complete a deficit reduction plan in the 2018-2019 Budget",)),"")</f>
        <v>0</v>
      </c>
      <c r="K24" s="2065"/>
      <c r="L24" s="2065"/>
      <c r="M24" s="2065"/>
      <c r="N24" s="2065"/>
      <c r="O24" s="2065"/>
      <c r="P24" s="2065"/>
      <c r="Q24" s="2065"/>
      <c r="R24" s="2065"/>
      <c r="S24" s="2066"/>
      <c r="T24" s="105" t="s">
        <v>552</v>
      </c>
      <c r="U24" s="106"/>
      <c r="V24" s="106"/>
      <c r="W24" s="106"/>
      <c r="X24" s="107"/>
      <c r="Y24" s="107"/>
      <c r="Z24" s="107"/>
      <c r="AA24" s="108"/>
    </row>
    <row r="25" spans="1:27" ht="14.1" customHeight="1" x14ac:dyDescent="0.2">
      <c r="A25" s="1999">
        <v>61953</v>
      </c>
      <c r="B25" s="2000"/>
      <c r="C25" s="2000"/>
      <c r="D25" s="2000"/>
      <c r="E25" s="2000"/>
      <c r="F25" s="2000"/>
      <c r="G25" s="2000"/>
      <c r="H25" s="2001"/>
      <c r="I25" s="113"/>
      <c r="J25" s="2067"/>
      <c r="K25" s="2067"/>
      <c r="L25" s="2067"/>
      <c r="M25" s="2067"/>
      <c r="N25" s="2067"/>
      <c r="O25" s="2067"/>
      <c r="P25" s="2067"/>
      <c r="Q25" s="2067"/>
      <c r="R25" s="2067"/>
      <c r="S25" s="2068"/>
      <c r="T25" s="1959" t="s">
        <v>2093</v>
      </c>
      <c r="U25" s="1960"/>
      <c r="V25" s="1960"/>
      <c r="W25" s="1960"/>
      <c r="X25" s="1960"/>
      <c r="Y25" s="1960"/>
      <c r="Z25" s="1960"/>
      <c r="AA25" s="1961"/>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8" t="s">
        <v>1591</v>
      </c>
      <c r="J27" s="2030"/>
      <c r="K27" s="2030"/>
      <c r="L27" s="2030"/>
      <c r="M27" s="2030"/>
      <c r="N27" s="2030"/>
      <c r="O27" s="2030"/>
      <c r="P27" s="2030"/>
      <c r="Q27" s="2030"/>
      <c r="R27" s="2030"/>
      <c r="S27" s="2031"/>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2077</v>
      </c>
      <c r="M29" s="40" t="s">
        <v>101</v>
      </c>
      <c r="N29" s="32" t="s">
        <v>1604</v>
      </c>
      <c r="O29" s="32"/>
      <c r="P29" s="32"/>
      <c r="Q29" s="32"/>
      <c r="R29" s="32"/>
      <c r="S29" s="123"/>
      <c r="T29" s="6"/>
      <c r="U29" s="6"/>
      <c r="V29" s="6"/>
      <c r="W29" s="6"/>
      <c r="X29" s="6"/>
      <c r="Y29" s="6"/>
      <c r="Z29" s="6"/>
      <c r="AA29" s="132"/>
    </row>
    <row r="30" spans="1:27" ht="13.5" customHeight="1" x14ac:dyDescent="0.2">
      <c r="A30" s="153"/>
      <c r="B30" s="136" t="s">
        <v>2077</v>
      </c>
      <c r="C30" s="124" t="s">
        <v>1226</v>
      </c>
      <c r="D30" s="28"/>
      <c r="E30" s="28"/>
      <c r="F30" s="140"/>
      <c r="G30" s="114"/>
      <c r="H30" s="114"/>
      <c r="I30" s="54"/>
      <c r="J30" s="102"/>
      <c r="K30" s="28" t="s">
        <v>597</v>
      </c>
      <c r="L30" s="148" t="s">
        <v>2077</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2077</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2077</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3"/>
      <c r="Q35" s="2000"/>
      <c r="R35" s="2000"/>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2032" t="s">
        <v>2081</v>
      </c>
      <c r="B38" s="2033"/>
      <c r="C38" s="2033"/>
      <c r="D38" s="2033"/>
      <c r="E38" s="2033"/>
      <c r="F38" s="2000"/>
      <c r="G38" s="2000"/>
      <c r="H38" s="2001"/>
      <c r="I38" s="2052"/>
      <c r="J38" s="1971"/>
      <c r="K38" s="1971"/>
      <c r="L38" s="1971"/>
      <c r="M38" s="1971"/>
      <c r="N38" s="1971"/>
      <c r="O38" s="1971"/>
      <c r="P38" s="1972"/>
      <c r="Q38" s="1972"/>
      <c r="R38" s="1972"/>
      <c r="S38" s="1973"/>
      <c r="T38" s="1970"/>
      <c r="U38" s="1971"/>
      <c r="V38" s="1971"/>
      <c r="W38" s="1971"/>
      <c r="X38" s="1972"/>
      <c r="Y38" s="1972"/>
      <c r="Z38" s="1972"/>
      <c r="AA38" s="1973"/>
    </row>
    <row r="39" spans="1:27" ht="12" customHeight="1" x14ac:dyDescent="0.2">
      <c r="A39" s="2056" t="s">
        <v>552</v>
      </c>
      <c r="B39" s="2057"/>
      <c r="C39" s="72"/>
      <c r="D39" s="69"/>
      <c r="E39" s="69"/>
      <c r="F39" s="79"/>
      <c r="G39" s="69"/>
      <c r="H39" s="56"/>
      <c r="I39" s="2056" t="s">
        <v>552</v>
      </c>
      <c r="J39" s="2057"/>
      <c r="K39" s="2057"/>
      <c r="L39" s="2057"/>
      <c r="M39" s="2057"/>
      <c r="N39" s="67"/>
      <c r="O39" s="72"/>
      <c r="P39" s="72"/>
      <c r="Q39" s="78"/>
      <c r="R39" s="72"/>
      <c r="S39" s="56"/>
      <c r="T39" s="72" t="s">
        <v>552</v>
      </c>
      <c r="U39" s="51"/>
      <c r="V39" s="72"/>
      <c r="W39" s="50"/>
      <c r="X39" s="78"/>
      <c r="Y39" s="45"/>
      <c r="Z39" s="45"/>
      <c r="AA39" s="46"/>
    </row>
    <row r="40" spans="1:27" ht="13.5" customHeight="1" x14ac:dyDescent="0.2">
      <c r="A40" s="2059" t="s">
        <v>2082</v>
      </c>
      <c r="B40" s="2060"/>
      <c r="C40" s="2061"/>
      <c r="D40" s="2061"/>
      <c r="E40" s="2061"/>
      <c r="F40" s="2062"/>
      <c r="G40" s="2062"/>
      <c r="H40" s="2063"/>
      <c r="I40" s="1974"/>
      <c r="J40" s="1976"/>
      <c r="K40" s="1976"/>
      <c r="L40" s="1976"/>
      <c r="M40" s="1976"/>
      <c r="N40" s="1976"/>
      <c r="O40" s="1976"/>
      <c r="P40" s="1976"/>
      <c r="Q40" s="1976"/>
      <c r="R40" s="1976"/>
      <c r="S40" s="1977"/>
      <c r="T40" s="1974"/>
      <c r="U40" s="1975"/>
      <c r="V40" s="1976"/>
      <c r="W40" s="1976"/>
      <c r="X40" s="1976"/>
      <c r="Y40" s="1976"/>
      <c r="Z40" s="1976"/>
      <c r="AA40" s="1977"/>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9" t="s">
        <v>2083</v>
      </c>
      <c r="B42" s="2050"/>
      <c r="C42" s="2051"/>
      <c r="D42" s="2064" t="s">
        <v>2084</v>
      </c>
      <c r="E42" s="2050"/>
      <c r="F42" s="2050"/>
      <c r="G42" s="2050"/>
      <c r="H42" s="2051"/>
      <c r="I42" s="1969"/>
      <c r="J42" s="1965"/>
      <c r="K42" s="1965"/>
      <c r="L42" s="1965"/>
      <c r="M42" s="1965"/>
      <c r="N42" s="1965"/>
      <c r="O42" s="1966"/>
      <c r="P42" s="1964"/>
      <c r="Q42" s="1965"/>
      <c r="R42" s="1965"/>
      <c r="S42" s="1966"/>
      <c r="T42" s="1969"/>
      <c r="U42" s="1965"/>
      <c r="V42" s="1965"/>
      <c r="W42" s="1966"/>
      <c r="X42" s="1964"/>
      <c r="Y42" s="1965"/>
      <c r="Z42" s="1965"/>
      <c r="AA42" s="1966"/>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3"/>
      <c r="B44" s="2054"/>
      <c r="C44" s="2054"/>
      <c r="D44" s="2054"/>
      <c r="E44" s="2054"/>
      <c r="F44" s="2054"/>
      <c r="G44" s="2054"/>
      <c r="H44" s="2055"/>
      <c r="I44" s="2045"/>
      <c r="J44" s="2047"/>
      <c r="K44" s="2047"/>
      <c r="L44" s="2047"/>
      <c r="M44" s="2047"/>
      <c r="N44" s="2047"/>
      <c r="O44" s="2047"/>
      <c r="P44" s="2047"/>
      <c r="Q44" s="2047"/>
      <c r="R44" s="2047"/>
      <c r="S44" s="2048"/>
      <c r="T44" s="2045"/>
      <c r="U44" s="2046"/>
      <c r="V44" s="2046"/>
      <c r="W44" s="2046"/>
      <c r="X44" s="2046"/>
      <c r="Y44" s="2046"/>
      <c r="Z44" s="2047"/>
      <c r="AA44" s="2048"/>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sqref="A1:M1"/>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2" t="s">
        <v>1905</v>
      </c>
      <c r="B2" s="1550" t="s">
        <v>2035</v>
      </c>
      <c r="C2" s="715" t="s">
        <v>1910</v>
      </c>
      <c r="D2" s="715" t="s">
        <v>1911</v>
      </c>
      <c r="E2" s="715" t="s">
        <v>1912</v>
      </c>
      <c r="F2" s="715" t="s">
        <v>1913</v>
      </c>
    </row>
    <row r="3" spans="1:6" ht="12" customHeight="1" x14ac:dyDescent="0.2">
      <c r="A3" s="2203"/>
      <c r="B3" s="1547"/>
      <c r="C3" s="1548"/>
      <c r="D3" s="1549" t="s">
        <v>274</v>
      </c>
      <c r="E3" s="1548"/>
      <c r="F3" s="1549" t="s">
        <v>275</v>
      </c>
    </row>
    <row r="4" spans="1:6" ht="13.7" customHeight="1" x14ac:dyDescent="0.2">
      <c r="A4" s="716" t="s">
        <v>1217</v>
      </c>
      <c r="B4" s="1771">
        <f>'Revenues 9-14'!C5</f>
        <v>3269373</v>
      </c>
      <c r="C4" s="1546">
        <v>65426</v>
      </c>
      <c r="D4" s="1774">
        <f>B4-C4</f>
        <v>3203947</v>
      </c>
      <c r="E4" s="1546">
        <v>3349757</v>
      </c>
      <c r="F4" s="1774">
        <f>E4-C4</f>
        <v>3284331</v>
      </c>
    </row>
    <row r="5" spans="1:6" ht="13.7" customHeight="1" x14ac:dyDescent="0.2">
      <c r="A5" s="716" t="s">
        <v>925</v>
      </c>
      <c r="B5" s="1772">
        <f>'Revenues 9-14'!D5</f>
        <v>594474</v>
      </c>
      <c r="C5" s="585">
        <v>11893</v>
      </c>
      <c r="D5" s="1775">
        <f t="shared" ref="D5:D18" si="0">B5-C5</f>
        <v>582581</v>
      </c>
      <c r="E5" s="585">
        <v>609047</v>
      </c>
      <c r="F5" s="1775">
        <f>E5-C5</f>
        <v>597154</v>
      </c>
    </row>
    <row r="6" spans="1:6" ht="13.7" customHeight="1" x14ac:dyDescent="0.2">
      <c r="A6" s="716" t="s">
        <v>431</v>
      </c>
      <c r="B6" s="1772">
        <f>'Revenues 9-14'!E5</f>
        <v>904338</v>
      </c>
      <c r="C6" s="585">
        <v>18461</v>
      </c>
      <c r="D6" s="1775">
        <f t="shared" si="0"/>
        <v>885877</v>
      </c>
      <c r="E6" s="585">
        <v>926238</v>
      </c>
      <c r="F6" s="1775">
        <f t="shared" ref="F6:F18" si="1">E6-C6</f>
        <v>907777</v>
      </c>
    </row>
    <row r="7" spans="1:6" ht="13.7" customHeight="1" x14ac:dyDescent="0.2">
      <c r="A7" s="716" t="s">
        <v>157</v>
      </c>
      <c r="B7" s="1772">
        <f>'Revenues 9-14'!F5</f>
        <v>237787</v>
      </c>
      <c r="C7" s="585">
        <v>4753</v>
      </c>
      <c r="D7" s="1775">
        <f t="shared" si="0"/>
        <v>233034</v>
      </c>
      <c r="E7" s="585">
        <v>243619</v>
      </c>
      <c r="F7" s="1775">
        <f t="shared" si="1"/>
        <v>238866</v>
      </c>
    </row>
    <row r="8" spans="1:6" ht="13.7" customHeight="1" x14ac:dyDescent="0.2">
      <c r="A8" s="716" t="s">
        <v>1241</v>
      </c>
      <c r="B8" s="1772">
        <f>'Revenues 9-14'!G5</f>
        <v>79903</v>
      </c>
      <c r="C8" s="585">
        <v>1604</v>
      </c>
      <c r="D8" s="1775">
        <f t="shared" si="0"/>
        <v>78299</v>
      </c>
      <c r="E8" s="585">
        <v>81003</v>
      </c>
      <c r="F8" s="1775">
        <f t="shared" si="1"/>
        <v>79399</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59453</v>
      </c>
      <c r="C10" s="585">
        <v>1194</v>
      </c>
      <c r="D10" s="1775">
        <f t="shared" si="0"/>
        <v>58259</v>
      </c>
      <c r="E10" s="585">
        <v>60905</v>
      </c>
      <c r="F10" s="1775">
        <f t="shared" si="1"/>
        <v>59711</v>
      </c>
    </row>
    <row r="11" spans="1:6" x14ac:dyDescent="0.2">
      <c r="A11" s="716" t="s">
        <v>429</v>
      </c>
      <c r="B11" s="1772">
        <f>'Revenues 9-14'!J5</f>
        <v>399721</v>
      </c>
      <c r="C11" s="585">
        <v>8206</v>
      </c>
      <c r="D11" s="1775">
        <f t="shared" si="0"/>
        <v>391515</v>
      </c>
      <c r="E11" s="585">
        <v>414030</v>
      </c>
      <c r="F11" s="1775">
        <f t="shared" si="1"/>
        <v>405824</v>
      </c>
    </row>
    <row r="12" spans="1:6" ht="13.7" customHeight="1" x14ac:dyDescent="0.2">
      <c r="A12" s="716" t="s">
        <v>159</v>
      </c>
      <c r="B12" s="1772">
        <f>'Revenues 9-14'!K5</f>
        <v>59453</v>
      </c>
      <c r="C12" s="585">
        <v>1194</v>
      </c>
      <c r="D12" s="1775">
        <f t="shared" si="0"/>
        <v>58259</v>
      </c>
      <c r="E12" s="585">
        <v>60905</v>
      </c>
      <c r="F12" s="1775">
        <f t="shared" si="1"/>
        <v>59711</v>
      </c>
    </row>
    <row r="13" spans="1:6" ht="13.7" customHeight="1" x14ac:dyDescent="0.2">
      <c r="A13" s="716" t="s">
        <v>993</v>
      </c>
      <c r="B13" s="1772">
        <f>SUM('Revenues 9-14'!C6:D6)</f>
        <v>59456</v>
      </c>
      <c r="C13" s="585">
        <v>1206</v>
      </c>
      <c r="D13" s="1775">
        <f t="shared" si="0"/>
        <v>58250</v>
      </c>
      <c r="E13" s="585">
        <v>60905</v>
      </c>
      <c r="F13" s="1775">
        <f t="shared" si="1"/>
        <v>59699</v>
      </c>
    </row>
    <row r="14" spans="1:6" ht="13.7" customHeight="1" x14ac:dyDescent="0.2">
      <c r="A14" s="716" t="s">
        <v>430</v>
      </c>
      <c r="B14" s="1772">
        <f>SUM('Revenues 9-14'!C7:D7,'Revenues 9-14'!F7:H7)</f>
        <v>47558</v>
      </c>
      <c r="C14" s="585">
        <v>948</v>
      </c>
      <c r="D14" s="1775">
        <f t="shared" si="0"/>
        <v>46610</v>
      </c>
      <c r="E14" s="585">
        <v>48724</v>
      </c>
      <c r="F14" s="1775">
        <f t="shared" si="1"/>
        <v>47776</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108909</v>
      </c>
      <c r="C16" s="585">
        <v>2177</v>
      </c>
      <c r="D16" s="1775">
        <f t="shared" si="0"/>
        <v>106732</v>
      </c>
      <c r="E16" s="585">
        <v>110115</v>
      </c>
      <c r="F16" s="1775">
        <f t="shared" si="1"/>
        <v>107938</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5820425</v>
      </c>
      <c r="C19" s="1773">
        <f>SUM(C4:C18)</f>
        <v>117062</v>
      </c>
      <c r="D19" s="1773">
        <f>SUM(D4:D18)</f>
        <v>5703363</v>
      </c>
      <c r="E19" s="1773">
        <f>SUM(E4:E18)</f>
        <v>5965248</v>
      </c>
      <c r="F19" s="1773">
        <f>SUM(F4:F18)</f>
        <v>5848186</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sqref="A1:M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8" t="s">
        <v>650</v>
      </c>
      <c r="B1" s="2209"/>
      <c r="C1" s="722"/>
    </row>
    <row r="2" spans="1:7" ht="33.75" x14ac:dyDescent="0.2">
      <c r="A2" s="2217" t="s">
        <v>1905</v>
      </c>
      <c r="B2" s="2218"/>
      <c r="C2" s="1909" t="s">
        <v>2036</v>
      </c>
      <c r="D2" s="724" t="s">
        <v>2043</v>
      </c>
      <c r="E2" s="724" t="s">
        <v>2044</v>
      </c>
      <c r="F2" s="1909" t="s">
        <v>2037</v>
      </c>
    </row>
    <row r="3" spans="1:7" ht="15.75" customHeight="1" x14ac:dyDescent="0.2">
      <c r="A3" s="2221" t="s">
        <v>1176</v>
      </c>
      <c r="B3" s="2222"/>
      <c r="C3" s="2210"/>
      <c r="D3" s="2211"/>
      <c r="E3" s="2211"/>
      <c r="F3" s="2212"/>
    </row>
    <row r="4" spans="1:7" ht="12.75" customHeight="1" thickBot="1" x14ac:dyDescent="0.25">
      <c r="A4" s="2219" t="s">
        <v>651</v>
      </c>
      <c r="B4" s="2220"/>
      <c r="C4" s="581"/>
      <c r="D4" s="581"/>
      <c r="E4" s="581"/>
      <c r="F4" s="1777">
        <f>SUM(C4+D4)-E4</f>
        <v>0</v>
      </c>
    </row>
    <row r="5" spans="1:7" ht="15.75" customHeight="1" thickTop="1" x14ac:dyDescent="0.2">
      <c r="A5" s="2204" t="s">
        <v>1172</v>
      </c>
      <c r="B5" s="2205"/>
      <c r="C5" s="2213"/>
      <c r="D5" s="2214"/>
      <c r="E5" s="2214"/>
      <c r="F5" s="2215"/>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6" t="s">
        <v>652</v>
      </c>
      <c r="B15" s="2207"/>
      <c r="C15" s="1777">
        <f>SUM(C6:C14)</f>
        <v>0</v>
      </c>
      <c r="D15" s="1777">
        <f>SUM(D6:D14)</f>
        <v>0</v>
      </c>
      <c r="E15" s="1777">
        <f>SUM(E6:E14)</f>
        <v>0</v>
      </c>
      <c r="F15" s="1777">
        <f>SUM(F6:F14)</f>
        <v>0</v>
      </c>
      <c r="G15" s="552"/>
    </row>
    <row r="16" spans="1:7" s="202" customFormat="1" ht="15.75" customHeight="1" thickTop="1" x14ac:dyDescent="0.2">
      <c r="A16" s="2216" t="s">
        <v>1173</v>
      </c>
      <c r="B16" s="2205"/>
      <c r="C16" s="2213"/>
      <c r="D16" s="2214"/>
      <c r="E16" s="2214"/>
      <c r="F16" s="2215"/>
    </row>
    <row r="17" spans="1:11" ht="12.75" customHeight="1" thickBot="1" x14ac:dyDescent="0.25">
      <c r="A17" s="2229" t="s">
        <v>66</v>
      </c>
      <c r="B17" s="2230"/>
      <c r="C17" s="727"/>
      <c r="D17" s="585"/>
      <c r="E17" s="727"/>
      <c r="F17" s="1777">
        <f>SUM(C17+D17)-E17</f>
        <v>0</v>
      </c>
    </row>
    <row r="18" spans="1:11" ht="12.75" customHeight="1" thickTop="1" thickBot="1" x14ac:dyDescent="0.25">
      <c r="A18" s="2229" t="s">
        <v>6</v>
      </c>
      <c r="B18" s="2230"/>
      <c r="C18" s="727"/>
      <c r="D18" s="585"/>
      <c r="E18" s="727"/>
      <c r="F18" s="1777">
        <f>SUM(C18+D18)-E18</f>
        <v>0</v>
      </c>
    </row>
    <row r="19" spans="1:11" ht="12.75" customHeight="1" thickTop="1" thickBot="1" x14ac:dyDescent="0.25">
      <c r="A19" s="2229" t="s">
        <v>406</v>
      </c>
      <c r="B19" s="2230"/>
      <c r="C19" s="727"/>
      <c r="D19" s="585"/>
      <c r="E19" s="727"/>
      <c r="F19" s="1777">
        <f>SUM(C19+D19)-E19</f>
        <v>0</v>
      </c>
    </row>
    <row r="20" spans="1:11" ht="12.75" customHeight="1" thickTop="1" thickBot="1" x14ac:dyDescent="0.25">
      <c r="A20" s="2229" t="s">
        <v>468</v>
      </c>
      <c r="B20" s="2230"/>
      <c r="C20" s="727"/>
      <c r="D20" s="585"/>
      <c r="E20" s="727"/>
      <c r="F20" s="1777">
        <f>SUM(C20+D20)-E20</f>
        <v>0</v>
      </c>
    </row>
    <row r="21" spans="1:11" ht="14.25" thickTop="1" thickBot="1" x14ac:dyDescent="0.25">
      <c r="A21" s="2206" t="s">
        <v>653</v>
      </c>
      <c r="B21" s="2207"/>
      <c r="C21" s="1777">
        <f>SUM(C17:C20)</f>
        <v>0</v>
      </c>
      <c r="D21" s="1777">
        <f>SUM(D17:D20)</f>
        <v>0</v>
      </c>
      <c r="E21" s="1777">
        <f>SUM(E17:E20)</f>
        <v>0</v>
      </c>
      <c r="F21" s="1777">
        <f>SUM(F17:F20)</f>
        <v>0</v>
      </c>
      <c r="G21" s="552"/>
    </row>
    <row r="22" spans="1:11" ht="15.75" customHeight="1" thickTop="1" x14ac:dyDescent="0.2">
      <c r="A22" s="2231" t="s">
        <v>1174</v>
      </c>
      <c r="B22" s="2205"/>
      <c r="C22" s="2213"/>
      <c r="D22" s="2214"/>
      <c r="E22" s="2214"/>
      <c r="F22" s="2215"/>
    </row>
    <row r="23" spans="1:11" ht="13.5" thickBot="1" x14ac:dyDescent="0.25">
      <c r="A23" s="2219" t="s">
        <v>654</v>
      </c>
      <c r="B23" s="2220"/>
      <c r="C23" s="581"/>
      <c r="D23" s="581"/>
      <c r="E23" s="581"/>
      <c r="F23" s="1777">
        <f>SUM(C23+D23)-E23</f>
        <v>0</v>
      </c>
      <c r="G23" s="552"/>
    </row>
    <row r="24" spans="1:11" ht="15.75" customHeight="1" thickTop="1" x14ac:dyDescent="0.2">
      <c r="A24" s="2231" t="s">
        <v>1175</v>
      </c>
      <c r="B24" s="2205"/>
      <c r="C24" s="2213"/>
      <c r="D24" s="2214"/>
      <c r="E24" s="2214"/>
      <c r="F24" s="2215"/>
    </row>
    <row r="25" spans="1:11" ht="13.5" thickBot="1" x14ac:dyDescent="0.25">
      <c r="A25" s="2219" t="s">
        <v>655</v>
      </c>
      <c r="B25" s="2220"/>
      <c r="C25" s="581"/>
      <c r="D25" s="581"/>
      <c r="E25" s="581"/>
      <c r="F25" s="1777">
        <f>SUM(C25+D25)-E25</f>
        <v>0</v>
      </c>
      <c r="G25" s="552"/>
    </row>
    <row r="26" spans="1:11" ht="15.75" customHeight="1" thickTop="1" x14ac:dyDescent="0.2">
      <c r="A26" s="2204" t="s">
        <v>678</v>
      </c>
      <c r="B26" s="2205"/>
      <c r="C26" s="728"/>
      <c r="D26" s="728"/>
      <c r="E26" s="728"/>
      <c r="F26" s="729"/>
    </row>
    <row r="27" spans="1:11" ht="13.5" thickBot="1" x14ac:dyDescent="0.25">
      <c r="A27" s="2206" t="s">
        <v>1130</v>
      </c>
      <c r="B27" s="2207"/>
      <c r="C27" s="585"/>
      <c r="D27" s="585"/>
      <c r="E27" s="585"/>
      <c r="F27" s="1777">
        <f>SUM(C27+D27)-E27</f>
        <v>0</v>
      </c>
      <c r="G27" s="552"/>
    </row>
    <row r="28" spans="1:11" ht="7.5" customHeight="1" thickTop="1" x14ac:dyDescent="0.2">
      <c r="A28" s="594"/>
    </row>
    <row r="29" spans="1:11" ht="23.25" customHeight="1" x14ac:dyDescent="0.2">
      <c r="A29" s="2232" t="s">
        <v>603</v>
      </c>
      <c r="B29" s="2209"/>
      <c r="C29" s="730"/>
      <c r="D29" s="730"/>
      <c r="E29" s="730"/>
      <c r="F29" s="730"/>
      <c r="G29" s="730"/>
      <c r="H29" s="730"/>
      <c r="I29" s="730"/>
      <c r="J29" s="730"/>
    </row>
    <row r="30" spans="1:11" ht="33.75" x14ac:dyDescent="0.2">
      <c r="A30" s="1551" t="s">
        <v>1131</v>
      </c>
      <c r="B30" s="731" t="s">
        <v>1186</v>
      </c>
      <c r="C30" s="1910" t="s">
        <v>604</v>
      </c>
      <c r="D30" s="1910" t="s">
        <v>1772</v>
      </c>
      <c r="E30" s="1910" t="s">
        <v>2038</v>
      </c>
      <c r="F30" s="1910" t="s">
        <v>2039</v>
      </c>
      <c r="G30" s="1910" t="s">
        <v>2042</v>
      </c>
      <c r="H30" s="1910" t="s">
        <v>2040</v>
      </c>
      <c r="I30" s="1910" t="s">
        <v>2041</v>
      </c>
      <c r="J30" s="1911" t="s">
        <v>2</v>
      </c>
      <c r="K30" s="732"/>
    </row>
    <row r="31" spans="1:11" ht="12" customHeight="1" x14ac:dyDescent="0.2">
      <c r="A31" s="733" t="s">
        <v>2094</v>
      </c>
      <c r="B31" s="734">
        <v>40057</v>
      </c>
      <c r="C31" s="735">
        <v>1615000</v>
      </c>
      <c r="D31" s="736">
        <v>4</v>
      </c>
      <c r="E31" s="735">
        <v>1615000</v>
      </c>
      <c r="F31" s="735"/>
      <c r="G31" s="735"/>
      <c r="H31" s="735"/>
      <c r="I31" s="1778">
        <f>((E31+F31)-H31)+G31</f>
        <v>1615000</v>
      </c>
      <c r="J31" s="735">
        <v>1508012</v>
      </c>
      <c r="K31" s="737"/>
    </row>
    <row r="32" spans="1:11" ht="12" customHeight="1" x14ac:dyDescent="0.2">
      <c r="A32" s="733" t="s">
        <v>2095</v>
      </c>
      <c r="B32" s="734">
        <v>40452</v>
      </c>
      <c r="C32" s="735">
        <v>280000</v>
      </c>
      <c r="D32" s="736">
        <v>3</v>
      </c>
      <c r="E32" s="735">
        <v>115000</v>
      </c>
      <c r="F32" s="735"/>
      <c r="G32" s="735"/>
      <c r="H32" s="735">
        <v>35000</v>
      </c>
      <c r="I32" s="1778">
        <f>((E32+F32)-H32)+G32</f>
        <v>80000</v>
      </c>
      <c r="J32" s="735">
        <v>80000</v>
      </c>
      <c r="K32" s="737"/>
    </row>
    <row r="33" spans="1:11" ht="12" customHeight="1" x14ac:dyDescent="0.2">
      <c r="A33" s="733" t="s">
        <v>2096</v>
      </c>
      <c r="B33" s="734">
        <v>41183</v>
      </c>
      <c r="C33" s="735">
        <v>4470000</v>
      </c>
      <c r="D33" s="736">
        <v>3</v>
      </c>
      <c r="E33" s="735">
        <v>1835000</v>
      </c>
      <c r="F33" s="735"/>
      <c r="G33" s="735"/>
      <c r="H33" s="735">
        <v>755000</v>
      </c>
      <c r="I33" s="1778">
        <f t="shared" ref="I33:I48" si="1">((E33+F33)-H33)+G33</f>
        <v>1080000</v>
      </c>
      <c r="J33" s="735">
        <v>1080000</v>
      </c>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6365000</v>
      </c>
      <c r="D49" s="746"/>
      <c r="E49" s="1778">
        <f t="shared" ref="E49:J49" si="2">SUM(E31:E48)</f>
        <v>3565000</v>
      </c>
      <c r="F49" s="1778">
        <f t="shared" si="2"/>
        <v>0</v>
      </c>
      <c r="G49" s="1778">
        <f t="shared" si="2"/>
        <v>0</v>
      </c>
      <c r="H49" s="1778">
        <f t="shared" si="2"/>
        <v>790000</v>
      </c>
      <c r="I49" s="1778">
        <f t="shared" si="2"/>
        <v>2775000</v>
      </c>
      <c r="J49" s="1778">
        <f t="shared" si="2"/>
        <v>2668012</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23" t="s">
        <v>605</v>
      </c>
      <c r="C52" s="2224"/>
      <c r="D52" s="2224"/>
      <c r="E52" s="750" t="s">
        <v>900</v>
      </c>
      <c r="F52" s="2225"/>
      <c r="G52" s="2226"/>
      <c r="H52" s="737"/>
      <c r="I52" s="737"/>
      <c r="J52" s="747"/>
    </row>
    <row r="53" spans="1:11" ht="11.25" customHeight="1" x14ac:dyDescent="0.2">
      <c r="A53" s="751" t="s">
        <v>969</v>
      </c>
      <c r="B53" s="752" t="s">
        <v>1008</v>
      </c>
      <c r="C53" s="747"/>
      <c r="D53" s="738"/>
      <c r="E53" s="750" t="s">
        <v>518</v>
      </c>
      <c r="F53" s="2227"/>
      <c r="G53" s="2228"/>
      <c r="H53" s="737"/>
      <c r="I53" s="737"/>
      <c r="J53" s="747"/>
    </row>
    <row r="54" spans="1:11" ht="11.25" customHeight="1" x14ac:dyDescent="0.2">
      <c r="A54" s="753" t="s">
        <v>970</v>
      </c>
      <c r="B54" s="748" t="s">
        <v>1009</v>
      </c>
      <c r="C54" s="747"/>
      <c r="D54" s="738"/>
      <c r="E54" s="750" t="s">
        <v>519</v>
      </c>
      <c r="F54" s="2227"/>
      <c r="G54" s="2228"/>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sqref="A1:M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7" t="s">
        <v>911</v>
      </c>
      <c r="B1" s="2258"/>
      <c r="C1" s="2258"/>
      <c r="D1" s="2258"/>
      <c r="E1" s="2258"/>
      <c r="F1" s="2258"/>
      <c r="G1" s="2259"/>
      <c r="H1" s="1552"/>
      <c r="I1" s="761"/>
      <c r="J1" s="433"/>
    </row>
    <row r="2" spans="1:11" ht="26.25" x14ac:dyDescent="0.2">
      <c r="A2" s="2236" t="s">
        <v>1776</v>
      </c>
      <c r="B2" s="2237"/>
      <c r="C2" s="2237"/>
      <c r="D2" s="2237"/>
      <c r="E2" s="2238"/>
      <c r="F2" s="762" t="s">
        <v>960</v>
      </c>
      <c r="G2" s="763" t="s">
        <v>1773</v>
      </c>
      <c r="H2" s="763" t="s">
        <v>430</v>
      </c>
      <c r="I2" s="763" t="s">
        <v>1220</v>
      </c>
      <c r="J2" s="763" t="s">
        <v>1919</v>
      </c>
      <c r="K2" s="763" t="s">
        <v>140</v>
      </c>
    </row>
    <row r="3" spans="1:11" x14ac:dyDescent="0.2">
      <c r="A3" s="2239" t="s">
        <v>1698</v>
      </c>
      <c r="B3" s="2240"/>
      <c r="C3" s="2240"/>
      <c r="D3" s="2240"/>
      <c r="E3" s="2241"/>
      <c r="F3" s="764"/>
      <c r="G3" s="765"/>
      <c r="H3" s="765"/>
      <c r="I3" s="765"/>
      <c r="J3" s="766">
        <v>443826</v>
      </c>
      <c r="K3" s="766"/>
    </row>
    <row r="4" spans="1:11" x14ac:dyDescent="0.2">
      <c r="A4" s="2242" t="s">
        <v>387</v>
      </c>
      <c r="B4" s="2243"/>
      <c r="C4" s="2243"/>
      <c r="D4" s="2243"/>
      <c r="E4" s="2224"/>
      <c r="F4" s="767"/>
      <c r="G4" s="768"/>
      <c r="H4" s="769"/>
      <c r="I4" s="768"/>
      <c r="J4" s="770"/>
      <c r="K4" s="770"/>
    </row>
    <row r="5" spans="1:11" x14ac:dyDescent="0.2">
      <c r="A5" s="2260" t="s">
        <v>1129</v>
      </c>
      <c r="B5" s="2233"/>
      <c r="C5" s="2233"/>
      <c r="D5" s="2233"/>
      <c r="E5" s="2261"/>
      <c r="F5" s="771" t="s">
        <v>903</v>
      </c>
      <c r="G5" s="772"/>
      <c r="H5" s="765">
        <v>47558</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v>3446</v>
      </c>
    </row>
    <row r="8" spans="1:11" x14ac:dyDescent="0.2">
      <c r="A8" s="779" t="s">
        <v>363</v>
      </c>
      <c r="B8" s="780"/>
      <c r="C8" s="780"/>
      <c r="D8" s="780"/>
      <c r="E8" s="781"/>
      <c r="F8" s="771" t="s">
        <v>906</v>
      </c>
      <c r="G8" s="783"/>
      <c r="H8" s="783"/>
      <c r="I8" s="783"/>
      <c r="J8" s="766">
        <v>659557</v>
      </c>
      <c r="K8" s="770"/>
    </row>
    <row r="9" spans="1:11" x14ac:dyDescent="0.2">
      <c r="A9" s="779" t="s">
        <v>140</v>
      </c>
      <c r="B9" s="780"/>
      <c r="C9" s="780"/>
      <c r="D9" s="780"/>
      <c r="E9" s="781"/>
      <c r="F9" s="778" t="s">
        <v>908</v>
      </c>
      <c r="G9" s="783"/>
      <c r="H9" s="772"/>
      <c r="I9" s="772"/>
      <c r="J9" s="782"/>
      <c r="K9" s="766">
        <v>14606</v>
      </c>
    </row>
    <row r="10" spans="1:11" x14ac:dyDescent="0.2">
      <c r="A10" s="2260" t="s">
        <v>1920</v>
      </c>
      <c r="B10" s="2233"/>
      <c r="C10" s="2233"/>
      <c r="D10" s="2233"/>
      <c r="E10" s="2262"/>
      <c r="F10" s="784" t="s">
        <v>917</v>
      </c>
      <c r="G10" s="783"/>
      <c r="H10" s="785"/>
      <c r="I10" s="765"/>
      <c r="J10" s="766"/>
      <c r="K10" s="766"/>
    </row>
    <row r="11" spans="1:11" x14ac:dyDescent="0.2">
      <c r="A11" s="2260" t="s">
        <v>162</v>
      </c>
      <c r="B11" s="2233"/>
      <c r="C11" s="2233"/>
      <c r="D11" s="2233"/>
      <c r="E11" s="2261"/>
      <c r="F11" s="771" t="s">
        <v>907</v>
      </c>
      <c r="G11" s="772"/>
      <c r="H11" s="765"/>
      <c r="I11" s="765"/>
      <c r="J11" s="766"/>
      <c r="K11" s="774"/>
    </row>
    <row r="12" spans="1:11" ht="13.5" thickBot="1" x14ac:dyDescent="0.25">
      <c r="A12" s="2250" t="s">
        <v>961</v>
      </c>
      <c r="B12" s="2251"/>
      <c r="C12" s="2251"/>
      <c r="D12" s="2251"/>
      <c r="E12" s="2252"/>
      <c r="F12" s="1779"/>
      <c r="G12" s="1780">
        <f>SUM(G5:G11)</f>
        <v>0</v>
      </c>
      <c r="H12" s="1780">
        <f>SUM(H5:H11)</f>
        <v>47558</v>
      </c>
      <c r="I12" s="1780">
        <f>SUM(I5:I11)</f>
        <v>0</v>
      </c>
      <c r="J12" s="1780">
        <f>SUM(J5:J11)</f>
        <v>659557</v>
      </c>
      <c r="K12" s="1780">
        <f>SUM(K5:K11)</f>
        <v>18052</v>
      </c>
    </row>
    <row r="13" spans="1:11" ht="13.5" thickTop="1" x14ac:dyDescent="0.2">
      <c r="A13" s="2244" t="s">
        <v>388</v>
      </c>
      <c r="B13" s="2245"/>
      <c r="C13" s="2245"/>
      <c r="D13" s="2245"/>
      <c r="E13" s="2246"/>
      <c r="F13" s="786"/>
      <c r="G13" s="787"/>
      <c r="H13" s="788"/>
      <c r="I13" s="789"/>
      <c r="J13" s="789"/>
      <c r="K13" s="789"/>
    </row>
    <row r="14" spans="1:11" x14ac:dyDescent="0.2">
      <c r="A14" s="2266" t="s">
        <v>476</v>
      </c>
      <c r="B14" s="2266"/>
      <c r="C14" s="2266"/>
      <c r="D14" s="2266"/>
      <c r="E14" s="2267"/>
      <c r="F14" s="790" t="s">
        <v>909</v>
      </c>
      <c r="G14" s="783"/>
      <c r="H14" s="765">
        <v>47558</v>
      </c>
      <c r="I14" s="772"/>
      <c r="J14" s="774"/>
      <c r="K14" s="766">
        <v>18052</v>
      </c>
    </row>
    <row r="15" spans="1:11" x14ac:dyDescent="0.2">
      <c r="A15" s="2233" t="s">
        <v>4</v>
      </c>
      <c r="B15" s="2233"/>
      <c r="C15" s="2233"/>
      <c r="D15" s="2233"/>
      <c r="E15" s="2261"/>
      <c r="F15" s="790" t="s">
        <v>910</v>
      </c>
      <c r="G15" s="772"/>
      <c r="H15" s="765"/>
      <c r="I15" s="765"/>
      <c r="J15" s="766">
        <v>590710</v>
      </c>
      <c r="K15" s="766"/>
    </row>
    <row r="16" spans="1:11" x14ac:dyDescent="0.2">
      <c r="A16" s="2233" t="s">
        <v>316</v>
      </c>
      <c r="B16" s="2233"/>
      <c r="C16" s="2233"/>
      <c r="D16" s="2233"/>
      <c r="E16" s="2261"/>
      <c r="F16" s="790" t="s">
        <v>980</v>
      </c>
      <c r="G16" s="773"/>
      <c r="H16" s="768"/>
      <c r="I16" s="768"/>
      <c r="J16" s="770"/>
      <c r="K16" s="770"/>
    </row>
    <row r="17" spans="1:11" x14ac:dyDescent="0.2">
      <c r="A17" s="2255" t="s">
        <v>992</v>
      </c>
      <c r="B17" s="2255"/>
      <c r="C17" s="2255"/>
      <c r="D17" s="2255"/>
      <c r="E17" s="2256"/>
      <c r="F17" s="791"/>
      <c r="G17" s="792"/>
      <c r="H17" s="793"/>
      <c r="I17" s="793"/>
      <c r="J17" s="794"/>
      <c r="K17" s="795"/>
    </row>
    <row r="18" spans="1:11" x14ac:dyDescent="0.2">
      <c r="A18" s="2247" t="s">
        <v>386</v>
      </c>
      <c r="B18" s="2248"/>
      <c r="C18" s="2248"/>
      <c r="D18" s="2248"/>
      <c r="E18" s="2249"/>
      <c r="F18" s="790" t="s">
        <v>989</v>
      </c>
      <c r="G18" s="783"/>
      <c r="H18" s="783"/>
      <c r="I18" s="783"/>
      <c r="J18" s="766"/>
      <c r="K18" s="796"/>
    </row>
    <row r="19" spans="1:11" ht="21.75" customHeight="1" x14ac:dyDescent="0.2">
      <c r="A19" s="2268" t="s">
        <v>1916</v>
      </c>
      <c r="B19" s="2268"/>
      <c r="C19" s="2268"/>
      <c r="D19" s="2268"/>
      <c r="E19" s="2269"/>
      <c r="F19" s="790" t="s">
        <v>990</v>
      </c>
      <c r="G19" s="783"/>
      <c r="H19" s="783"/>
      <c r="I19" s="783"/>
      <c r="J19" s="766"/>
      <c r="K19" s="796"/>
    </row>
    <row r="20" spans="1:11" x14ac:dyDescent="0.2">
      <c r="A20" s="2247" t="s">
        <v>1921</v>
      </c>
      <c r="B20" s="2248"/>
      <c r="C20" s="2248"/>
      <c r="D20" s="2248"/>
      <c r="E20" s="2249"/>
      <c r="F20" s="790" t="s">
        <v>991</v>
      </c>
      <c r="G20" s="783"/>
      <c r="H20" s="783"/>
      <c r="I20" s="783"/>
      <c r="J20" s="766"/>
      <c r="K20" s="796"/>
    </row>
    <row r="21" spans="1:11" ht="13.5" thickBot="1" x14ac:dyDescent="0.25">
      <c r="A21" s="2253" t="s">
        <v>659</v>
      </c>
      <c r="B21" s="2253"/>
      <c r="C21" s="2253"/>
      <c r="D21" s="2253"/>
      <c r="E21" s="2253"/>
      <c r="F21" s="1781"/>
      <c r="G21" s="793"/>
      <c r="H21" s="797"/>
      <c r="I21" s="797"/>
      <c r="J21" s="1782">
        <f>SUM(J18:J20)</f>
        <v>0</v>
      </c>
      <c r="K21" s="794"/>
    </row>
    <row r="22" spans="1:11" ht="13.5" thickTop="1" x14ac:dyDescent="0.2">
      <c r="A22" s="2233" t="s">
        <v>1922</v>
      </c>
      <c r="B22" s="2233"/>
      <c r="C22" s="2233"/>
      <c r="D22" s="2233"/>
      <c r="E22" s="2261"/>
      <c r="F22" s="790" t="s">
        <v>917</v>
      </c>
      <c r="G22" s="783"/>
      <c r="H22" s="765"/>
      <c r="I22" s="765"/>
      <c r="J22" s="798"/>
      <c r="K22" s="766"/>
    </row>
    <row r="23" spans="1:11" ht="13.5" thickBot="1" x14ac:dyDescent="0.25">
      <c r="A23" s="2254" t="s">
        <v>962</v>
      </c>
      <c r="B23" s="2253"/>
      <c r="C23" s="2253"/>
      <c r="D23" s="2253"/>
      <c r="E23" s="2253"/>
      <c r="F23" s="1783"/>
      <c r="G23" s="1780">
        <f>SUM(G14:G16,G21,G22)</f>
        <v>0</v>
      </c>
      <c r="H23" s="1780">
        <f>SUM(H14:H16,H21,H22)</f>
        <v>47558</v>
      </c>
      <c r="I23" s="1780">
        <f>SUM(I14:I16,I21,I22)</f>
        <v>0</v>
      </c>
      <c r="J23" s="1780">
        <f>SUM(J14:J16,J21,J22)</f>
        <v>590710</v>
      </c>
      <c r="K23" s="1780">
        <f>SUM(K14:K16,K21,K22)</f>
        <v>18052</v>
      </c>
    </row>
    <row r="24" spans="1:11" ht="14.25" thickTop="1" thickBot="1" x14ac:dyDescent="0.25">
      <c r="A24" s="2254" t="s">
        <v>2024</v>
      </c>
      <c r="B24" s="2253"/>
      <c r="C24" s="2253"/>
      <c r="D24" s="2253"/>
      <c r="E24" s="2253"/>
      <c r="F24" s="1784"/>
      <c r="G24" s="1785">
        <f>SUM(G3,G12)-G23</f>
        <v>0</v>
      </c>
      <c r="H24" s="1785">
        <f>SUM(H3,H12)-H23</f>
        <v>0</v>
      </c>
      <c r="I24" s="1785">
        <f>SUM(I3,I12)-I23</f>
        <v>0</v>
      </c>
      <c r="J24" s="1785">
        <f>SUM(J3,J12)-J23</f>
        <v>512673</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512673</v>
      </c>
      <c r="K26" s="1780">
        <f>K24-K25</f>
        <v>0</v>
      </c>
    </row>
    <row r="27" spans="1:11" ht="5.25" customHeight="1" thickTop="1" x14ac:dyDescent="0.2">
      <c r="I27" s="202"/>
      <c r="J27" s="202"/>
    </row>
    <row r="28" spans="1:11" ht="29.25" customHeight="1" x14ac:dyDescent="0.2">
      <c r="A28" s="1905" t="s">
        <v>2034</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63"/>
      <c r="I31" s="2264"/>
      <c r="J31" s="2264"/>
      <c r="K31" s="2264"/>
    </row>
    <row r="32" spans="1:11" x14ac:dyDescent="0.2">
      <c r="A32" s="810"/>
      <c r="B32" s="237"/>
      <c r="C32" s="237"/>
      <c r="D32" s="237"/>
      <c r="E32" s="806"/>
      <c r="F32" s="812" t="s">
        <v>561</v>
      </c>
      <c r="G32" s="765"/>
      <c r="H32" s="2265"/>
      <c r="I32" s="2264"/>
      <c r="J32" s="2264"/>
      <c r="K32" s="2264"/>
    </row>
    <row r="33" spans="1:11" ht="1.5" customHeight="1" x14ac:dyDescent="0.2">
      <c r="A33" s="813" t="s">
        <v>1231</v>
      </c>
      <c r="B33" s="364"/>
      <c r="C33" s="364"/>
      <c r="D33" s="364"/>
      <c r="E33" s="364"/>
      <c r="F33" s="364"/>
      <c r="G33" s="814"/>
      <c r="H33" s="2265"/>
      <c r="I33" s="2264"/>
      <c r="J33" s="2264"/>
      <c r="K33" s="2264"/>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3" t="s">
        <v>562</v>
      </c>
      <c r="B41" s="2234"/>
      <c r="C41" s="2234"/>
      <c r="D41" s="2234"/>
      <c r="E41" s="2234"/>
      <c r="F41" s="2235"/>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sqref="A1:M1"/>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2" t="s">
        <v>2033</v>
      </c>
      <c r="B1" s="2273"/>
      <c r="C1" s="2274"/>
      <c r="D1" s="827"/>
      <c r="E1" s="828"/>
      <c r="F1" s="828"/>
      <c r="G1" s="829"/>
      <c r="H1" s="830"/>
      <c r="I1" s="831"/>
      <c r="J1" s="2270"/>
      <c r="K1" s="2271"/>
      <c r="L1" s="2271"/>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508739</v>
      </c>
      <c r="D5" s="842"/>
      <c r="E5" s="842"/>
      <c r="F5" s="1782">
        <f>(C5+D5)-E5</f>
        <v>508739</v>
      </c>
      <c r="G5" s="838"/>
      <c r="H5" s="843"/>
      <c r="I5" s="843"/>
      <c r="J5" s="843"/>
      <c r="K5" s="794"/>
      <c r="L5" s="1791">
        <f>F5-K5</f>
        <v>508739</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16406267</v>
      </c>
      <c r="D8" s="845"/>
      <c r="E8" s="845"/>
      <c r="F8" s="1782">
        <f>(C8+D8)-E8</f>
        <v>16406267</v>
      </c>
      <c r="G8" s="844">
        <v>50</v>
      </c>
      <c r="H8" s="766">
        <v>8221907</v>
      </c>
      <c r="I8" s="766">
        <v>324212</v>
      </c>
      <c r="J8" s="766"/>
      <c r="K8" s="1791">
        <f>(H8+I8)-J8</f>
        <v>8546119</v>
      </c>
      <c r="L8" s="1791">
        <f>F8-K8</f>
        <v>7860148</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3155261</v>
      </c>
      <c r="D10" s="847">
        <v>503782</v>
      </c>
      <c r="E10" s="847"/>
      <c r="F10" s="1786">
        <f>(C10+D10)-E10</f>
        <v>3659043</v>
      </c>
      <c r="G10" s="844">
        <v>20</v>
      </c>
      <c r="H10" s="848">
        <v>551202</v>
      </c>
      <c r="I10" s="848">
        <v>182111</v>
      </c>
      <c r="J10" s="848"/>
      <c r="K10" s="1791">
        <f>(H10+I10)-J10</f>
        <v>733313</v>
      </c>
      <c r="L10" s="1791">
        <f>F10-K10</f>
        <v>2925730</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1688639</v>
      </c>
      <c r="D12" s="845">
        <v>61406</v>
      </c>
      <c r="E12" s="845"/>
      <c r="F12" s="1782">
        <f>(C12+D12)-E12</f>
        <v>1750045</v>
      </c>
      <c r="G12" s="844">
        <v>10</v>
      </c>
      <c r="H12" s="766">
        <v>1402653</v>
      </c>
      <c r="I12" s="766">
        <v>75793</v>
      </c>
      <c r="J12" s="766"/>
      <c r="K12" s="1791">
        <f>(H12+I12)-J12</f>
        <v>1478446</v>
      </c>
      <c r="L12" s="1791">
        <f>F12-K12</f>
        <v>271599</v>
      </c>
    </row>
    <row r="13" spans="1:14" ht="14.25" thickTop="1" thickBot="1" x14ac:dyDescent="0.25">
      <c r="A13" s="849" t="s">
        <v>1184</v>
      </c>
      <c r="B13" s="841">
        <v>252</v>
      </c>
      <c r="C13" s="845">
        <v>17104</v>
      </c>
      <c r="D13" s="845"/>
      <c r="E13" s="845"/>
      <c r="F13" s="1782">
        <f>(C13+D13)-E13</f>
        <v>17104</v>
      </c>
      <c r="G13" s="844">
        <v>5</v>
      </c>
      <c r="H13" s="766">
        <v>12214</v>
      </c>
      <c r="I13" s="766">
        <v>1000</v>
      </c>
      <c r="J13" s="766"/>
      <c r="K13" s="1791">
        <f>(H13+I13)-J13</f>
        <v>13214</v>
      </c>
      <c r="L13" s="1791">
        <f>F13-K13</f>
        <v>3890</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21776010</v>
      </c>
      <c r="D16" s="1782">
        <f>SUM(D3,D5:D6,D8:D10,D12:D15)</f>
        <v>565188</v>
      </c>
      <c r="E16" s="1782">
        <f>SUM(E3,E5:E6,E8:E10,E12:E15)</f>
        <v>0</v>
      </c>
      <c r="F16" s="1782">
        <f>SUM(F3,F5:F6,F8:F10,F12:F15)</f>
        <v>22341198</v>
      </c>
      <c r="G16" s="844"/>
      <c r="H16" s="1782">
        <f>SUM(H3,H6,H8:H10,H12:H14,)</f>
        <v>10187976</v>
      </c>
      <c r="I16" s="1782">
        <f>SUM(I3,I6,I8:I10,I12:I14,)</f>
        <v>583116</v>
      </c>
      <c r="J16" s="1782">
        <f>SUM(J3,J6,J8:J10,J12:J14,)</f>
        <v>0</v>
      </c>
      <c r="K16" s="1782">
        <f>(H16+I16)-J16</f>
        <v>10771092</v>
      </c>
      <c r="L16" s="1782">
        <f>F16-K16</f>
        <v>11570106</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583116</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sqref="A1:M1"/>
      <selection pane="bottomLeft" sqref="A1:M1"/>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8" t="s">
        <v>1699</v>
      </c>
      <c r="B1" s="2279"/>
      <c r="C1" s="2279"/>
      <c r="D1" s="2279"/>
      <c r="E1" s="2279"/>
      <c r="F1" s="2280"/>
      <c r="G1" s="856"/>
    </row>
    <row r="2" spans="1:7" ht="15" customHeight="1" thickBot="1" x14ac:dyDescent="0.25">
      <c r="A2" s="2281" t="s">
        <v>498</v>
      </c>
      <c r="B2" s="2282"/>
      <c r="C2" s="2282"/>
      <c r="D2" s="2282"/>
      <c r="E2" s="2282"/>
      <c r="F2" s="2283"/>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4"/>
      <c r="B5" s="2285"/>
      <c r="C5" s="2285"/>
      <c r="D5" s="2285"/>
      <c r="E5" s="2285"/>
      <c r="F5" s="2285"/>
    </row>
    <row r="6" spans="1:7" ht="13.5" customHeight="1" thickBot="1" x14ac:dyDescent="0.25">
      <c r="A6" s="2275" t="s">
        <v>1166</v>
      </c>
      <c r="B6" s="2276"/>
      <c r="C6" s="2276"/>
      <c r="D6" s="2276"/>
      <c r="E6" s="2276"/>
      <c r="F6" s="2277"/>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6957578</v>
      </c>
      <c r="G8" s="866"/>
    </row>
    <row r="9" spans="1:7" x14ac:dyDescent="0.2">
      <c r="A9" s="870" t="s">
        <v>480</v>
      </c>
      <c r="B9" s="871" t="s">
        <v>1988</v>
      </c>
      <c r="C9" s="872"/>
      <c r="D9" s="870" t="s">
        <v>522</v>
      </c>
      <c r="E9" s="869"/>
      <c r="F9" s="1935">
        <f>'Expenditures 15-22'!K151</f>
        <v>656050</v>
      </c>
      <c r="G9" s="873"/>
    </row>
    <row r="10" spans="1:7" x14ac:dyDescent="0.2">
      <c r="A10" s="870" t="s">
        <v>520</v>
      </c>
      <c r="B10" s="871" t="s">
        <v>1989</v>
      </c>
      <c r="C10" s="872"/>
      <c r="D10" s="870" t="s">
        <v>522</v>
      </c>
      <c r="E10" s="869"/>
      <c r="F10" s="1935">
        <f>'Expenditures 15-22'!K174</f>
        <v>906619</v>
      </c>
      <c r="G10" s="873"/>
    </row>
    <row r="11" spans="1:7" x14ac:dyDescent="0.2">
      <c r="A11" s="870" t="s">
        <v>481</v>
      </c>
      <c r="B11" s="871" t="s">
        <v>1990</v>
      </c>
      <c r="C11" s="872"/>
      <c r="D11" s="870" t="s">
        <v>522</v>
      </c>
      <c r="E11" s="869"/>
      <c r="F11" s="1935">
        <f>'Expenditures 15-22'!K210</f>
        <v>630652</v>
      </c>
      <c r="G11" s="873"/>
    </row>
    <row r="12" spans="1:7" x14ac:dyDescent="0.2">
      <c r="A12" s="870" t="s">
        <v>482</v>
      </c>
      <c r="B12" s="871" t="s">
        <v>1991</v>
      </c>
      <c r="C12" s="872"/>
      <c r="D12" s="870" t="s">
        <v>522</v>
      </c>
      <c r="E12" s="869"/>
      <c r="F12" s="1935">
        <f>'Expenditures 15-22'!K295</f>
        <v>194047</v>
      </c>
      <c r="G12" s="873"/>
    </row>
    <row r="13" spans="1:7" x14ac:dyDescent="0.2">
      <c r="A13" s="870" t="s">
        <v>108</v>
      </c>
      <c r="B13" s="871" t="s">
        <v>1992</v>
      </c>
      <c r="C13" s="872"/>
      <c r="D13" s="870" t="s">
        <v>522</v>
      </c>
      <c r="E13" s="869"/>
      <c r="F13" s="1935">
        <f>'Expenditures 15-22'!K342</f>
        <v>330508</v>
      </c>
      <c r="G13" s="874"/>
    </row>
    <row r="14" spans="1:7" ht="12" customHeight="1" thickBot="1" x14ac:dyDescent="0.25">
      <c r="A14" s="1792"/>
      <c r="B14" s="1793"/>
      <c r="C14" s="1794"/>
      <c r="D14" s="1795" t="s">
        <v>522</v>
      </c>
      <c r="E14" s="1796" t="s">
        <v>1015</v>
      </c>
      <c r="F14" s="1797">
        <f>SUM(F8:F13)</f>
        <v>9675454</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178752</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15-22'!G13,'Expenditures 15-22'!I11)</f>
        <v>-1500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15-22'!G14+'Expenditures 15-22'!I12)</f>
        <v>-4278</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9">
        <f>'Expenditures 15-22'!K102</f>
        <v>105504</v>
      </c>
      <c r="G53" s="866"/>
    </row>
    <row r="54" spans="1:7" x14ac:dyDescent="0.2">
      <c r="A54" s="870" t="s">
        <v>479</v>
      </c>
      <c r="B54" s="870" t="s">
        <v>1552</v>
      </c>
      <c r="C54" s="890" t="s">
        <v>1039</v>
      </c>
      <c r="D54" s="886" t="s">
        <v>1157</v>
      </c>
      <c r="E54" s="869"/>
      <c r="F54" s="1939">
        <f>'Expenditures 15-22'!G114</f>
        <v>61406</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1993</v>
      </c>
      <c r="C57" s="890">
        <f>'Expenditures 15-22'!B139</f>
        <v>4000</v>
      </c>
      <c r="D57" s="888" t="str">
        <f>'Expenditures 15-22'!A139</f>
        <v>Total Payments to Other Govt Units</v>
      </c>
      <c r="E57" s="869"/>
      <c r="F57" s="1939">
        <f>'Expenditures 15-22'!K139</f>
        <v>0</v>
      </c>
      <c r="G57" s="866"/>
    </row>
    <row r="58" spans="1:7" x14ac:dyDescent="0.2">
      <c r="A58" s="870" t="s">
        <v>480</v>
      </c>
      <c r="B58" s="870" t="s">
        <v>1994</v>
      </c>
      <c r="C58" s="887" t="s">
        <v>1039</v>
      </c>
      <c r="D58" s="886" t="s">
        <v>1157</v>
      </c>
      <c r="E58" s="869"/>
      <c r="F58" s="1941">
        <f>'Expenditures 15-22'!G151</f>
        <v>3532</v>
      </c>
      <c r="G58" s="866"/>
    </row>
    <row r="59" spans="1:7" x14ac:dyDescent="0.2">
      <c r="A59" s="894" t="s">
        <v>480</v>
      </c>
      <c r="B59" s="857" t="s">
        <v>1995</v>
      </c>
      <c r="C59" s="895" t="s">
        <v>1039</v>
      </c>
      <c r="D59" s="857" t="s">
        <v>309</v>
      </c>
      <c r="F59" s="1942">
        <f>'Expenditures 15-22'!I151</f>
        <v>0</v>
      </c>
      <c r="G59" s="866"/>
    </row>
    <row r="60" spans="1:7" x14ac:dyDescent="0.2">
      <c r="A60" s="894" t="s">
        <v>520</v>
      </c>
      <c r="B60" s="857" t="s">
        <v>1996</v>
      </c>
      <c r="C60" s="895">
        <v>4000</v>
      </c>
      <c r="D60" s="857" t="s">
        <v>330</v>
      </c>
      <c r="F60" s="1940">
        <f>'Expenditures 15-22'!K160</f>
        <v>0</v>
      </c>
      <c r="G60" s="866"/>
    </row>
    <row r="61" spans="1:7" x14ac:dyDescent="0.2">
      <c r="A61" s="896" t="s">
        <v>520</v>
      </c>
      <c r="B61" s="896" t="s">
        <v>1997</v>
      </c>
      <c r="C61" s="897" t="str">
        <f>'Expenditures 15-22'!B170</f>
        <v>5300</v>
      </c>
      <c r="D61" s="898" t="s">
        <v>329</v>
      </c>
      <c r="E61" s="880"/>
      <c r="F61" s="1939">
        <f>'Expenditures 15-22'!K170</f>
        <v>790000</v>
      </c>
      <c r="G61" s="866"/>
    </row>
    <row r="62" spans="1:7" x14ac:dyDescent="0.2">
      <c r="A62" s="870" t="s">
        <v>481</v>
      </c>
      <c r="B62" s="870" t="s">
        <v>1998</v>
      </c>
      <c r="C62" s="887">
        <f>'Expenditures 15-22'!B185</f>
        <v>3000</v>
      </c>
      <c r="D62" s="877" t="s">
        <v>469</v>
      </c>
      <c r="E62" s="869"/>
      <c r="F62" s="1939">
        <f>'Expenditures 15-22'!K185-SUM('Expenditures 15-22'!G185,'Expenditures 15-22'!I185)</f>
        <v>0</v>
      </c>
      <c r="G62" s="866"/>
    </row>
    <row r="63" spans="1:7" x14ac:dyDescent="0.2">
      <c r="A63" s="870" t="s">
        <v>481</v>
      </c>
      <c r="B63" s="870" t="s">
        <v>1999</v>
      </c>
      <c r="C63" s="887" t="str">
        <f>'Expenditures 15-22'!B196</f>
        <v>4000</v>
      </c>
      <c r="D63" s="888" t="str">
        <f>'Expenditures 15-22'!A196</f>
        <v>Total Payments to Other Govt Units</v>
      </c>
      <c r="E63" s="869"/>
      <c r="F63" s="1939">
        <f>'Expenditures 15-22'!K196</f>
        <v>0</v>
      </c>
      <c r="G63" s="866"/>
    </row>
    <row r="64" spans="1:7" x14ac:dyDescent="0.2">
      <c r="A64" s="896" t="s">
        <v>481</v>
      </c>
      <c r="B64" s="896" t="s">
        <v>2000</v>
      </c>
      <c r="C64" s="897" t="str">
        <f>'Expenditures 15-22'!B206</f>
        <v>5300</v>
      </c>
      <c r="D64" s="893" t="s">
        <v>329</v>
      </c>
      <c r="E64" s="869"/>
      <c r="F64" s="1939">
        <f>'Expenditures 15-22'!K206</f>
        <v>0</v>
      </c>
      <c r="G64" s="866"/>
    </row>
    <row r="65" spans="1:8" x14ac:dyDescent="0.2">
      <c r="A65" s="870" t="s">
        <v>481</v>
      </c>
      <c r="B65" s="870" t="s">
        <v>2001</v>
      </c>
      <c r="C65" s="887" t="s">
        <v>1039</v>
      </c>
      <c r="D65" s="886" t="s">
        <v>1157</v>
      </c>
      <c r="E65" s="869"/>
      <c r="F65" s="1939">
        <f>'Expenditures 15-22'!G210</f>
        <v>0</v>
      </c>
      <c r="G65" s="866"/>
    </row>
    <row r="66" spans="1:8" x14ac:dyDescent="0.2">
      <c r="A66" s="870" t="s">
        <v>481</v>
      </c>
      <c r="B66" s="870" t="s">
        <v>2002</v>
      </c>
      <c r="C66" s="887" t="s">
        <v>1039</v>
      </c>
      <c r="D66" s="886" t="s">
        <v>309</v>
      </c>
      <c r="E66" s="869"/>
      <c r="F66" s="1939">
        <f>'Expenditures 15-22'!I210</f>
        <v>0</v>
      </c>
      <c r="G66" s="866"/>
    </row>
    <row r="67" spans="1:8" x14ac:dyDescent="0.2">
      <c r="A67" s="870" t="s">
        <v>482</v>
      </c>
      <c r="B67" s="870" t="s">
        <v>2003</v>
      </c>
      <c r="C67" s="887" t="str">
        <f>'Expenditures 15-22'!B216</f>
        <v>1125</v>
      </c>
      <c r="D67" s="893" t="str">
        <f>'Expenditures 15-22'!A216</f>
        <v>Pre-K Programs</v>
      </c>
      <c r="E67" s="869"/>
      <c r="F67" s="1939">
        <f>'Expenditures 15-22'!K216</f>
        <v>8709</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2004</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2005</v>
      </c>
      <c r="C70" s="887">
        <f>'Expenditures 15-22'!B221</f>
        <v>1300</v>
      </c>
      <c r="D70" s="888" t="str">
        <f>'Expenditures 15-22'!A221</f>
        <v>Adult/Continuing Education Programs</v>
      </c>
      <c r="E70" s="869"/>
      <c r="F70" s="1939">
        <f>'Expenditures 15-22'!K221</f>
        <v>0</v>
      </c>
      <c r="G70" s="866"/>
    </row>
    <row r="71" spans="1:8" x14ac:dyDescent="0.2">
      <c r="A71" s="870" t="s">
        <v>482</v>
      </c>
      <c r="B71" s="870" t="s">
        <v>2006</v>
      </c>
      <c r="C71" s="887">
        <f>'Expenditures 15-22'!B224</f>
        <v>1600</v>
      </c>
      <c r="D71" s="888" t="str">
        <f>'Expenditures 15-22'!A224</f>
        <v>Summer School Programs</v>
      </c>
      <c r="E71" s="869"/>
      <c r="F71" s="1939">
        <f>'Expenditures 15-22'!K224</f>
        <v>0</v>
      </c>
      <c r="G71" s="866"/>
    </row>
    <row r="72" spans="1:8" x14ac:dyDescent="0.2">
      <c r="A72" s="870" t="s">
        <v>482</v>
      </c>
      <c r="B72" s="870" t="s">
        <v>2007</v>
      </c>
      <c r="C72" s="887">
        <f>'Expenditures 15-22'!B280</f>
        <v>3000</v>
      </c>
      <c r="D72" s="877" t="s">
        <v>469</v>
      </c>
      <c r="E72" s="869"/>
      <c r="F72" s="1939">
        <f>'Expenditures 15-22'!K280</f>
        <v>0</v>
      </c>
      <c r="G72" s="866"/>
    </row>
    <row r="73" spans="1:8" x14ac:dyDescent="0.2">
      <c r="A73" s="870" t="s">
        <v>482</v>
      </c>
      <c r="B73" s="870" t="s">
        <v>2008</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2009</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2010</v>
      </c>
      <c r="E76" s="1796" t="s">
        <v>1015</v>
      </c>
      <c r="F76" s="1800">
        <f>SUM(F18:F74)</f>
        <v>1142125</v>
      </c>
      <c r="G76" s="866"/>
    </row>
    <row r="77" spans="1:8" s="894" customFormat="1" ht="12" customHeight="1" thickTop="1" thickBot="1" x14ac:dyDescent="0.25">
      <c r="A77" s="1801"/>
      <c r="B77" s="1798"/>
      <c r="C77" s="1794"/>
      <c r="D77" s="1799" t="s">
        <v>2011</v>
      </c>
      <c r="E77" s="1796"/>
      <c r="F77" s="1802">
        <f>(F14-F76)</f>
        <v>8533329</v>
      </c>
      <c r="G77" s="870"/>
    </row>
    <row r="78" spans="1:8" s="894" customFormat="1" ht="12" customHeight="1" thickTop="1" x14ac:dyDescent="0.2">
      <c r="A78" s="1803"/>
      <c r="B78" s="1798"/>
      <c r="C78" s="1794"/>
      <c r="D78" s="1799" t="s">
        <v>2057</v>
      </c>
      <c r="E78" s="1796"/>
      <c r="F78" s="899">
        <v>882.21</v>
      </c>
      <c r="G78" s="900"/>
      <c r="H78" s="870"/>
    </row>
    <row r="79" spans="1:8" s="894" customFormat="1" ht="12" customHeight="1" thickBot="1" x14ac:dyDescent="0.25">
      <c r="A79" s="1804"/>
      <c r="B79" s="1798"/>
      <c r="C79" s="1794"/>
      <c r="D79" s="1799" t="s">
        <v>2012</v>
      </c>
      <c r="E79" s="1796" t="s">
        <v>1015</v>
      </c>
      <c r="F79" s="1805">
        <f>IF(F78&gt;0,F77/F78," Complete Line 78")</f>
        <v>9672.6731730540341</v>
      </c>
      <c r="G79" s="870"/>
    </row>
    <row r="80" spans="1:8" s="894" customFormat="1" ht="8.25" customHeight="1" thickTop="1" x14ac:dyDescent="0.2">
      <c r="A80" s="901"/>
      <c r="B80" s="870"/>
      <c r="C80" s="872"/>
      <c r="D80" s="902"/>
      <c r="E80" s="869"/>
      <c r="F80" s="903"/>
      <c r="G80" s="870"/>
    </row>
    <row r="81" spans="1:7" s="894" customFormat="1" ht="12" thickBot="1" x14ac:dyDescent="0.25">
      <c r="A81" s="2275" t="s">
        <v>1167</v>
      </c>
      <c r="B81" s="2276"/>
      <c r="C81" s="2276"/>
      <c r="D81" s="2276"/>
      <c r="E81" s="2276"/>
      <c r="F81" s="2277"/>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154077</v>
      </c>
      <c r="G94" s="913"/>
    </row>
    <row r="95" spans="1:7" x14ac:dyDescent="0.2">
      <c r="A95" s="909" t="s">
        <v>142</v>
      </c>
      <c r="B95" s="909" t="s">
        <v>177</v>
      </c>
      <c r="C95" s="911">
        <v>1700</v>
      </c>
      <c r="D95" s="919" t="str">
        <f>'Revenues 9-14'!A82</f>
        <v>Total District/School Activity Income</v>
      </c>
      <c r="E95" s="907"/>
      <c r="F95" s="1811">
        <f>SUM('Revenues 9-14'!C82,'Revenues 9-14'!D82)</f>
        <v>47273</v>
      </c>
      <c r="G95" s="913"/>
    </row>
    <row r="96" spans="1:7" x14ac:dyDescent="0.2">
      <c r="A96" s="909" t="s">
        <v>479</v>
      </c>
      <c r="B96" s="909" t="s">
        <v>178</v>
      </c>
      <c r="C96" s="911">
        <f>'Revenues 9-14'!B84</f>
        <v>1811</v>
      </c>
      <c r="D96" s="912" t="str">
        <f>'Revenues 9-14'!A84</f>
        <v>Rentals - Regular Textbooks</v>
      </c>
      <c r="E96" s="907"/>
      <c r="F96" s="1811">
        <f>'Revenues 9-14'!C84</f>
        <v>49166</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6215</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1559</v>
      </c>
      <c r="G104" s="913"/>
    </row>
    <row r="105" spans="1:7" x14ac:dyDescent="0.2">
      <c r="A105" s="909" t="s">
        <v>524</v>
      </c>
      <c r="B105" s="909" t="s">
        <v>842</v>
      </c>
      <c r="C105" s="914">
        <v>3100</v>
      </c>
      <c r="D105" s="920" t="str">
        <f>'Revenues 9-14'!A131</f>
        <v>Total Special Education</v>
      </c>
      <c r="E105" s="907"/>
      <c r="F105" s="1811">
        <f>SUM('Revenues 9-14'!C131:D131,'Revenues 9-14'!F131)</f>
        <v>123965</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18143</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2504</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14606</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448369</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845</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169517</v>
      </c>
      <c r="G129" s="931"/>
    </row>
    <row r="130" spans="1:7" x14ac:dyDescent="0.2">
      <c r="A130" s="928" t="s">
        <v>689</v>
      </c>
      <c r="B130" s="928" t="s">
        <v>804</v>
      </c>
      <c r="C130" s="933">
        <v>4300</v>
      </c>
      <c r="D130" s="934" t="str">
        <f>'Revenues 9-14'!A211</f>
        <v>Total Title I</v>
      </c>
      <c r="E130" s="907"/>
      <c r="F130" s="1811">
        <f>SUM('Revenues 9-14'!C211,'Revenues 9-14'!D211,'Revenues 9-14'!F211,'Revenues 9-14'!G211)</f>
        <v>63632</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44607</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17649</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77</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2056</v>
      </c>
      <c r="C175" s="1946">
        <v>3100</v>
      </c>
      <c r="D175" s="1947" t="s">
        <v>2059</v>
      </c>
      <c r="E175" s="907"/>
      <c r="F175" s="1931"/>
      <c r="G175" s="928"/>
    </row>
    <row r="176" spans="1:7" x14ac:dyDescent="0.2">
      <c r="A176" s="1944" t="s">
        <v>685</v>
      </c>
      <c r="B176" s="1945" t="s">
        <v>2056</v>
      </c>
      <c r="C176" s="1946">
        <v>3300</v>
      </c>
      <c r="D176" s="1947" t="s">
        <v>2060</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2013</v>
      </c>
      <c r="E178" s="1809" t="s">
        <v>1015</v>
      </c>
      <c r="F178" s="1810">
        <f>SUM(F84:F136,F161:F176)</f>
        <v>1162204</v>
      </c>
    </row>
    <row r="179" spans="1:7" ht="12" customHeight="1" x14ac:dyDescent="0.2">
      <c r="A179" s="1792"/>
      <c r="B179" s="1806"/>
      <c r="C179" s="1807"/>
      <c r="D179" s="1808" t="s">
        <v>2014</v>
      </c>
      <c r="E179" s="1809"/>
      <c r="F179" s="1811">
        <f>'PCTC-OEPP 27-28'!F77-F178</f>
        <v>7371125</v>
      </c>
    </row>
    <row r="180" spans="1:7" ht="12" customHeight="1" x14ac:dyDescent="0.2">
      <c r="A180" s="1792"/>
      <c r="B180" s="1806"/>
      <c r="C180" s="1807"/>
      <c r="D180" s="1808" t="s">
        <v>1924</v>
      </c>
      <c r="E180" s="1809"/>
      <c r="F180" s="1811">
        <f>'Cap Outlay Deprec 26'!I18</f>
        <v>583116</v>
      </c>
    </row>
    <row r="181" spans="1:7" ht="12" customHeight="1" x14ac:dyDescent="0.2">
      <c r="A181" s="1792"/>
      <c r="B181" s="1806"/>
      <c r="C181" s="1807"/>
      <c r="D181" s="1808" t="s">
        <v>2015</v>
      </c>
      <c r="E181" s="1809"/>
      <c r="F181" s="1811">
        <f>F179+F180</f>
        <v>7954241</v>
      </c>
    </row>
    <row r="182" spans="1:7" ht="12" customHeight="1" x14ac:dyDescent="0.2">
      <c r="A182" s="1792"/>
      <c r="B182" s="1812"/>
      <c r="C182" s="1807"/>
      <c r="D182" s="1808" t="str">
        <f>D78</f>
        <v>9 Month ADA from District Average Daily Attendance/Prior General State Aid Inquiry 2017-2018</v>
      </c>
      <c r="E182" s="1809"/>
      <c r="F182" s="1813">
        <f>'PCTC-OEPP 27-28'!F78</f>
        <v>882.21</v>
      </c>
      <c r="G182" s="931"/>
    </row>
    <row r="183" spans="1:7" ht="12" customHeight="1" thickBot="1" x14ac:dyDescent="0.25">
      <c r="A183" s="1792"/>
      <c r="B183" s="1812"/>
      <c r="C183" s="1807"/>
      <c r="D183" s="1808" t="s">
        <v>2016</v>
      </c>
      <c r="E183" s="1809" t="s">
        <v>1626</v>
      </c>
      <c r="F183" s="1814">
        <f>F181/F182</f>
        <v>9016.267101937181</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8" customFormat="1" ht="12.2" customHeight="1" x14ac:dyDescent="0.2">
      <c r="A186" s="1948" t="s">
        <v>2063</v>
      </c>
      <c r="B186" s="1949"/>
      <c r="C186" s="1950"/>
      <c r="D186" s="1949"/>
      <c r="E186" s="1950"/>
      <c r="F186" s="1949"/>
      <c r="G186" s="1949"/>
    </row>
    <row r="187" spans="1:7" s="1948" customFormat="1" ht="12.2" customHeight="1" x14ac:dyDescent="0.2">
      <c r="A187" s="1951" t="s">
        <v>2064</v>
      </c>
      <c r="C187" s="1950"/>
      <c r="D187" s="1949"/>
      <c r="E187" s="1950"/>
      <c r="F187" s="1949"/>
      <c r="G187" s="1949"/>
    </row>
    <row r="188" spans="1:7" ht="12" customHeight="1" x14ac:dyDescent="0.2">
      <c r="C188" s="950"/>
      <c r="D188" s="931"/>
      <c r="E188" s="950"/>
      <c r="F188" s="931"/>
      <c r="G188" s="931"/>
    </row>
    <row r="189" spans="1:7" x14ac:dyDescent="0.2">
      <c r="A189" s="1952" t="s">
        <v>2062</v>
      </c>
      <c r="B189" s="1953"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sqref="A1:M1"/>
      <selection pane="bottomLeft" activeCell="A17" sqref="A17"/>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9" t="s">
        <v>1925</v>
      </c>
      <c r="B4" s="2290"/>
      <c r="C4" s="2290"/>
      <c r="D4" s="2290"/>
      <c r="E4" s="2290"/>
      <c r="F4" s="2290"/>
      <c r="G4" s="2291"/>
    </row>
    <row r="5" spans="1:7" x14ac:dyDescent="0.25">
      <c r="A5" s="2292"/>
      <c r="B5" s="2293"/>
      <c r="C5" s="2293"/>
      <c r="D5" s="2293"/>
      <c r="E5" s="2293"/>
      <c r="F5" s="2293"/>
      <c r="G5" s="2294"/>
    </row>
    <row r="6" spans="1:7" ht="18.75" x14ac:dyDescent="0.25">
      <c r="A6" s="1556" t="s">
        <v>1926</v>
      </c>
      <c r="B6" s="1557"/>
      <c r="C6" s="1557"/>
      <c r="D6" s="1557"/>
      <c r="E6" s="1557"/>
      <c r="F6" s="1557"/>
      <c r="G6" s="1558"/>
    </row>
    <row r="7" spans="1:7" ht="30.75" customHeight="1" x14ac:dyDescent="0.25">
      <c r="A7" s="2295" t="s">
        <v>2073</v>
      </c>
      <c r="B7" s="2296"/>
      <c r="C7" s="2296"/>
      <c r="D7" s="2296"/>
      <c r="E7" s="2296"/>
      <c r="F7" s="2296"/>
      <c r="G7" s="2297"/>
    </row>
    <row r="8" spans="1:7" ht="15.75" customHeight="1" x14ac:dyDescent="0.25">
      <c r="A8" s="2298" t="s">
        <v>2022</v>
      </c>
      <c r="B8" s="2299"/>
      <c r="C8" s="2299"/>
      <c r="D8" s="2299"/>
      <c r="E8" s="2299"/>
      <c r="F8" s="2299"/>
      <c r="G8" s="2300"/>
    </row>
    <row r="9" spans="1:7" ht="35.25" customHeight="1" x14ac:dyDescent="0.25">
      <c r="A9" s="2295" t="s">
        <v>2076</v>
      </c>
      <c r="B9" s="2296"/>
      <c r="C9" s="2296"/>
      <c r="D9" s="2296"/>
      <c r="E9" s="2296"/>
      <c r="F9" s="2296"/>
      <c r="G9" s="2297"/>
    </row>
    <row r="10" spans="1:7" ht="15" customHeight="1" x14ac:dyDescent="0.25">
      <c r="A10" s="1559" t="s">
        <v>1927</v>
      </c>
      <c r="B10" s="1560"/>
      <c r="C10" s="1560"/>
      <c r="D10" s="1560"/>
      <c r="E10" s="1560"/>
      <c r="F10" s="1560"/>
      <c r="G10" s="1561"/>
    </row>
    <row r="11" spans="1:7" ht="17.25" customHeight="1" x14ac:dyDescent="0.25">
      <c r="A11" s="2295" t="s">
        <v>2075</v>
      </c>
      <c r="B11" s="2296"/>
      <c r="C11" s="2296"/>
      <c r="D11" s="2296"/>
      <c r="E11" s="2296"/>
      <c r="F11" s="2296"/>
      <c r="G11" s="2297"/>
    </row>
    <row r="12" spans="1:7" ht="15" customHeight="1" x14ac:dyDescent="0.25">
      <c r="A12" s="1559" t="s">
        <v>1932</v>
      </c>
      <c r="B12" s="1560"/>
      <c r="C12" s="1560"/>
      <c r="D12" s="1560"/>
      <c r="E12" s="1560"/>
      <c r="F12" s="1560"/>
      <c r="G12" s="1561"/>
    </row>
    <row r="13" spans="1:7" ht="32.25" customHeight="1" x14ac:dyDescent="0.25">
      <c r="A13" s="2286" t="s">
        <v>1933</v>
      </c>
      <c r="B13" s="2287"/>
      <c r="C13" s="2287"/>
      <c r="D13" s="2287"/>
      <c r="E13" s="2287"/>
      <c r="F13" s="2287"/>
      <c r="G13" s="2288"/>
    </row>
    <row r="14" spans="1:7" x14ac:dyDescent="0.25">
      <c r="A14" s="1683" t="s">
        <v>1941</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1942</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8" t="s">
        <v>2122</v>
      </c>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sqref="A1:M1"/>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01" t="s">
        <v>1778</v>
      </c>
      <c r="B5" s="2302"/>
      <c r="C5" s="2302"/>
      <c r="D5" s="2302"/>
      <c r="E5" s="2302"/>
      <c r="F5" s="2302"/>
      <c r="G5" s="2303"/>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c r="F10" s="975"/>
      <c r="G10" s="976"/>
      <c r="H10" s="162"/>
      <c r="I10" s="162"/>
    </row>
    <row r="11" spans="1:9" s="669" customFormat="1" ht="22.5" customHeight="1" x14ac:dyDescent="0.2">
      <c r="A11" s="2306" t="s">
        <v>1944</v>
      </c>
      <c r="B11" s="2307"/>
      <c r="C11" s="2307"/>
      <c r="D11" s="2308"/>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5355068</v>
      </c>
      <c r="F19" s="1822"/>
      <c r="G19" s="1824">
        <f>'Expenditures 15-22'!K33-SUM('Expenditures 15-22'!G33,'Expenditures 15-22'!I33)+'Expenditures 15-22'!D229</f>
        <v>5355068</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609085</v>
      </c>
      <c r="F21" s="1825"/>
      <c r="G21" s="1828">
        <f>'Expenditures 15-22'!K42-SUM('Expenditures 15-22'!G42,'Expenditures 15-22'!I42)+'Expenditures 15-22'!K120-SUM('Expenditures 15-22'!G120,'Expenditures 15-22'!I120)+'Expenditures 15-22'!K180-SUM('Expenditures 15-22'!G180,'Expenditures 15-22'!I180)+'Expenditures 15-22'!D238</f>
        <v>609085</v>
      </c>
      <c r="H21" s="988"/>
      <c r="I21" s="162"/>
    </row>
    <row r="22" spans="1:9" s="669" customFormat="1" ht="12" customHeight="1" x14ac:dyDescent="0.2">
      <c r="A22" s="995" t="s">
        <v>585</v>
      </c>
      <c r="B22" s="996"/>
      <c r="C22" s="994">
        <v>2200</v>
      </c>
      <c r="D22" s="1825"/>
      <c r="E22" s="1827">
        <f>'Expenditures 15-22'!K47-SUM('Expenditures 15-22'!G47,'Expenditures 15-22'!I47)+'Expenditures 15-22'!D243</f>
        <v>155279</v>
      </c>
      <c r="F22" s="1825"/>
      <c r="G22" s="1828">
        <f>'Expenditures 15-22'!K47-SUM('Expenditures 15-22'!G47,'Expenditures 15-22'!I47)+'Expenditures 15-22'!D243</f>
        <v>155279</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485422</v>
      </c>
      <c r="F23" s="1825"/>
      <c r="G23" s="1827">
        <f>'Expenditures 15-22'!K53-SUM('Expenditures 15-22'!G53,'Expenditures 15-22'!I53)+'Expenditures 15-22'!D257+'Expenditures 15-22'!K330-SUM('Expenditures 15-22'!G330,'Expenditures 15-22'!I330)</f>
        <v>485422</v>
      </c>
      <c r="H23" s="988"/>
      <c r="I23" s="162"/>
    </row>
    <row r="24" spans="1:9" s="669" customFormat="1" ht="12" customHeight="1" x14ac:dyDescent="0.2">
      <c r="A24" s="995" t="s">
        <v>587</v>
      </c>
      <c r="B24" s="996"/>
      <c r="C24" s="994">
        <v>2400</v>
      </c>
      <c r="D24" s="1825"/>
      <c r="E24" s="1827">
        <f>'Expenditures 15-22'!K57-SUM('Expenditures 15-22'!G57,'Expenditures 15-22'!I57)+'Expenditures 15-22'!D261</f>
        <v>368302</v>
      </c>
      <c r="F24" s="1825"/>
      <c r="G24" s="1828">
        <f>'Expenditures 15-22'!K57-SUM('Expenditures 15-22'!G57,'Expenditures 15-22'!I57)+'Expenditures 15-22'!D261</f>
        <v>368302</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78628</v>
      </c>
      <c r="E27" s="1827">
        <f>E8</f>
        <v>0</v>
      </c>
      <c r="F27" s="1827">
        <f>'Expenditures 15-22'!K60-SUM('Expenditures 15-22'!G60,'Expenditures 15-22'!I60)+'Expenditures 15-22'!D264-E8</f>
        <v>78628</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683743</v>
      </c>
      <c r="F28" s="1829">
        <f>'Expenditures 15-22'!K61-SUM('Expenditures 15-22'!G61,'Expenditures 15-22'!I61)+'Expenditures 15-22'!K124-SUM('Expenditures 15-22'!G124,'Expenditures 15-22'!I124)+'Expenditures 15-22'!D266-E9</f>
        <v>683743</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630797</v>
      </c>
      <c r="F29" s="1825"/>
      <c r="G29" s="1828">
        <f>'Expenditures 15-22'!K62-SUM('Expenditures 15-22'!G62,'Expenditures 15-22'!I62)+'Expenditures 15-22'!K125-SUM('Expenditures 15-22'!G125,'Expenditures 15-22'!I125)+'Expenditures 15-22'!K182-SUM('Expenditures 15-22'!G182,'Expenditures 15-22'!I182)+'Expenditures 15-22'!D267</f>
        <v>630797</v>
      </c>
      <c r="H29" s="986"/>
    </row>
    <row r="30" spans="1:9" ht="12" customHeight="1" x14ac:dyDescent="0.2">
      <c r="A30" s="995" t="s">
        <v>102</v>
      </c>
      <c r="B30" s="998"/>
      <c r="C30" s="994">
        <v>2560</v>
      </c>
      <c r="D30" s="1825"/>
      <c r="E30" s="1827">
        <f>'Expenditures 15-22'!K63-SUM('Expenditures 15-22'!G63,'Expenditures 15-22'!I63)+'Expenditures 15-22'!D268-E10</f>
        <v>229430</v>
      </c>
      <c r="F30" s="1825"/>
      <c r="G30" s="1827">
        <f>'Expenditures 15-22'!K63-SUM('Expenditures 15-22'!G63,'Expenditures 15-22'!I63)+'Expenditures 15-22'!D268-E10</f>
        <v>229430</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1115</v>
      </c>
      <c r="F34" s="1825"/>
      <c r="G34" s="1827">
        <f>'Expenditures 15-22'!K68-SUM('Expenditures 15-22'!G68,'Expenditures 15-22'!I68)+'Expenditures 15-22'!D273</f>
        <v>1115</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1524</v>
      </c>
      <c r="F38" s="1825"/>
      <c r="G38" s="1827">
        <f>'Expenditures 15-22'!K73-SUM('Expenditures 15-22'!G73,'Expenditures 15-22'!I73)+'Expenditures 15-22'!K128-SUM('Expenditures 15-22'!G128,'Expenditures 15-22'!I128)+'Expenditures 15-22'!K183-SUM('Expenditures 15-22'!G183,'Expenditures 15-22'!I183)+'Expenditures 15-22'!D278</f>
        <v>1524</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78628</v>
      </c>
      <c r="E41" s="1829">
        <f>SUM(E19:E40)</f>
        <v>8519765</v>
      </c>
      <c r="F41" s="1829">
        <f>SUM(F19:F39)</f>
        <v>762371</v>
      </c>
      <c r="G41" s="1829">
        <f>SUM(G19:G40)</f>
        <v>7836022</v>
      </c>
    </row>
    <row r="42" spans="1:7" x14ac:dyDescent="0.2">
      <c r="A42" s="988"/>
      <c r="B42" s="162"/>
      <c r="C42" s="1002"/>
      <c r="D42" s="2304" t="s">
        <v>543</v>
      </c>
      <c r="E42" s="2305"/>
      <c r="F42" s="1003" t="s">
        <v>544</v>
      </c>
      <c r="G42" s="1004"/>
    </row>
    <row r="43" spans="1:7" ht="12" customHeight="1" x14ac:dyDescent="0.2">
      <c r="A43" s="988"/>
      <c r="B43" s="162"/>
      <c r="C43" s="1002"/>
      <c r="D43" s="1830" t="s">
        <v>493</v>
      </c>
      <c r="E43" s="1831">
        <f>D41</f>
        <v>78628</v>
      </c>
      <c r="F43" s="1830" t="s">
        <v>495</v>
      </c>
      <c r="G43" s="1831">
        <f>F41</f>
        <v>762371</v>
      </c>
    </row>
    <row r="44" spans="1:7" ht="12" customHeight="1" x14ac:dyDescent="0.2">
      <c r="A44" s="988"/>
      <c r="B44" s="162"/>
      <c r="C44" s="1002"/>
      <c r="D44" s="1830" t="s">
        <v>494</v>
      </c>
      <c r="E44" s="1831">
        <f>E41</f>
        <v>8519765</v>
      </c>
      <c r="F44" s="1830" t="s">
        <v>494</v>
      </c>
      <c r="G44" s="1831">
        <f>G41</f>
        <v>7836022</v>
      </c>
    </row>
    <row r="45" spans="1:7" ht="12" customHeight="1" x14ac:dyDescent="0.2">
      <c r="A45" s="988"/>
      <c r="B45" s="162"/>
      <c r="C45" s="162"/>
      <c r="D45" s="1832" t="s">
        <v>1063</v>
      </c>
      <c r="E45" s="1833">
        <f>(E43/E44)</f>
        <v>9.2288930504538565E-3</v>
      </c>
      <c r="F45" s="1832" t="s">
        <v>1063</v>
      </c>
      <c r="G45" s="1833">
        <f>(G43/G44)</f>
        <v>9.7290564013219977E-2</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sqref="A1:M1"/>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12" t="s">
        <v>1446</v>
      </c>
      <c r="B1" s="2312"/>
      <c r="C1" s="2312"/>
      <c r="D1" s="2312"/>
      <c r="E1" s="2312"/>
      <c r="F1" s="2312"/>
    </row>
    <row r="2" spans="1:10" x14ac:dyDescent="0.2">
      <c r="A2" s="1912" t="s">
        <v>2046</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13" t="s">
        <v>1627</v>
      </c>
      <c r="B5" s="2314"/>
      <c r="C5" s="2315"/>
      <c r="D5" s="2315"/>
      <c r="E5" s="2315"/>
      <c r="F5" s="2315"/>
    </row>
    <row r="6" spans="1:10" ht="12" customHeight="1" x14ac:dyDescent="0.25">
      <c r="A6" s="1875"/>
      <c r="B6" s="1876"/>
      <c r="C6" s="2316" t="str">
        <f>COVER!A17</f>
        <v>Tuscola CUSD 301</v>
      </c>
      <c r="D6" s="2316"/>
      <c r="E6" s="2316"/>
      <c r="F6" s="1877"/>
    </row>
    <row r="7" spans="1:10" ht="11.25" customHeight="1" thickBot="1" x14ac:dyDescent="0.3">
      <c r="A7" s="1875"/>
      <c r="B7" s="1876"/>
      <c r="C7" s="2317">
        <f>COVER!A13</f>
        <v>11021301026</v>
      </c>
      <c r="D7" s="2317"/>
      <c r="E7" s="2317"/>
      <c r="F7" s="1877"/>
    </row>
    <row r="8" spans="1:10" ht="25.5" customHeight="1" thickBot="1" x14ac:dyDescent="0.25">
      <c r="A8" s="1918" t="s">
        <v>2023</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t="s">
        <v>2077</v>
      </c>
      <c r="D26" s="1890" t="s">
        <v>2077</v>
      </c>
      <c r="E26" s="1893" t="s">
        <v>2077</v>
      </c>
      <c r="F26" s="1892" t="s">
        <v>2097</v>
      </c>
      <c r="H26" s="1903">
        <f t="shared" si="0"/>
        <v>5</v>
      </c>
      <c r="I26" s="1903">
        <f t="shared" si="1"/>
        <v>5</v>
      </c>
      <c r="J26" s="1903">
        <f t="shared" si="2"/>
        <v>5</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5</v>
      </c>
      <c r="I34" s="1903">
        <f>SUM(I11:I32)</f>
        <v>5</v>
      </c>
      <c r="J34" s="1903">
        <f>SUM(J11:J32)</f>
        <v>5</v>
      </c>
      <c r="K34" s="1903">
        <f>SUM(H34:J34)</f>
        <v>15</v>
      </c>
    </row>
    <row r="35" spans="1:11" ht="12" customHeight="1" x14ac:dyDescent="0.2">
      <c r="A35" s="1896" t="s">
        <v>1459</v>
      </c>
      <c r="B35" s="1897"/>
      <c r="C35" s="2318"/>
      <c r="D35" s="2318"/>
      <c r="E35" s="2318"/>
      <c r="F35" s="2319"/>
    </row>
    <row r="36" spans="1:11" ht="12" customHeight="1" x14ac:dyDescent="0.2">
      <c r="A36" s="2309"/>
      <c r="B36" s="2310"/>
      <c r="C36" s="2310"/>
      <c r="D36" s="2310"/>
      <c r="E36" s="2310"/>
      <c r="F36" s="2311"/>
    </row>
    <row r="37" spans="1:11" ht="12" customHeight="1" x14ac:dyDescent="0.2">
      <c r="A37" s="2309"/>
      <c r="B37" s="2310"/>
      <c r="C37" s="2310"/>
      <c r="D37" s="2310"/>
      <c r="E37" s="2310"/>
      <c r="F37" s="2311"/>
    </row>
    <row r="38" spans="1:11" ht="12" customHeight="1" x14ac:dyDescent="0.2">
      <c r="A38" s="2323"/>
      <c r="B38" s="2324"/>
      <c r="C38" s="2324"/>
      <c r="D38" s="2324"/>
      <c r="E38" s="2324"/>
      <c r="F38" s="2325"/>
    </row>
    <row r="39" spans="1:11" ht="4.5" hidden="1" customHeight="1" x14ac:dyDescent="0.2">
      <c r="A39" s="1898"/>
      <c r="B39" s="1898"/>
      <c r="C39" s="1898"/>
      <c r="D39" s="1898"/>
      <c r="E39" s="1898"/>
      <c r="F39" s="1898"/>
    </row>
    <row r="40" spans="1:11" s="1895" customFormat="1" ht="12" customHeight="1" x14ac:dyDescent="0.25">
      <c r="A40" s="1899" t="s">
        <v>1458</v>
      </c>
      <c r="B40" s="1900"/>
      <c r="C40" s="2326"/>
      <c r="D40" s="2326"/>
      <c r="E40" s="2326"/>
      <c r="F40" s="2327"/>
      <c r="H40" s="1904"/>
      <c r="I40" s="1904"/>
      <c r="J40" s="1904"/>
      <c r="K40" s="1904"/>
    </row>
    <row r="41" spans="1:11" s="1895" customFormat="1" ht="12" customHeight="1" x14ac:dyDescent="0.25">
      <c r="A41" s="2328"/>
      <c r="B41" s="2329"/>
      <c r="C41" s="2329"/>
      <c r="D41" s="2329"/>
      <c r="E41" s="2329"/>
      <c r="F41" s="2330"/>
      <c r="H41" s="1904"/>
      <c r="I41" s="1904"/>
      <c r="J41" s="1904"/>
      <c r="K41" s="1904"/>
    </row>
    <row r="42" spans="1:11" s="1895" customFormat="1" ht="12" customHeight="1" x14ac:dyDescent="0.25">
      <c r="A42" s="2328"/>
      <c r="B42" s="2329"/>
      <c r="C42" s="2329"/>
      <c r="D42" s="2329"/>
      <c r="E42" s="2329"/>
      <c r="F42" s="2330"/>
      <c r="H42" s="1904"/>
      <c r="I42" s="1904"/>
      <c r="J42" s="1904"/>
      <c r="K42" s="1904"/>
    </row>
    <row r="43" spans="1:11" s="1895" customFormat="1" ht="15" x14ac:dyDescent="0.25">
      <c r="A43" s="2320"/>
      <c r="B43" s="2321"/>
      <c r="C43" s="2321"/>
      <c r="D43" s="2321"/>
      <c r="E43" s="2321"/>
      <c r="F43" s="2322"/>
      <c r="H43" s="1904"/>
      <c r="I43" s="1904"/>
      <c r="J43" s="1904"/>
      <c r="K43" s="1904"/>
    </row>
    <row r="44" spans="1:11" s="1895" customFormat="1" ht="12" hidden="1" customHeight="1" x14ac:dyDescent="0.25">
      <c r="A44" s="2320"/>
      <c r="B44" s="2321"/>
      <c r="C44" s="2321"/>
      <c r="D44" s="2321"/>
      <c r="E44" s="2321"/>
      <c r="F44" s="2322"/>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H13" sqref="H13"/>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6" t="str">
        <f>COVER!A17</f>
        <v>Tuscola CUSD 301</v>
      </c>
      <c r="J6" s="2337"/>
      <c r="Q6" s="1686"/>
    </row>
    <row r="7" spans="1:17" x14ac:dyDescent="0.2">
      <c r="A7" s="2338" t="s">
        <v>924</v>
      </c>
      <c r="B7" s="2339"/>
      <c r="C7" s="2339"/>
      <c r="D7" s="2339"/>
      <c r="E7" s="2340"/>
      <c r="F7" s="1018"/>
      <c r="G7" s="1010"/>
      <c r="H7" s="1017" t="s">
        <v>390</v>
      </c>
      <c r="I7" s="2341">
        <f>COVER!A13</f>
        <v>11021301026</v>
      </c>
      <c r="J7" s="2341"/>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2" t="s">
        <v>502</v>
      </c>
      <c r="B11" s="2343"/>
      <c r="C11" s="2344"/>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109084</v>
      </c>
      <c r="F12" s="1040"/>
      <c r="G12" s="1834">
        <f t="shared" ref="G12:G18" si="0">SUM(E12:F12)</f>
        <v>109084</v>
      </c>
      <c r="H12" s="1041">
        <v>114950</v>
      </c>
      <c r="I12" s="1040"/>
      <c r="J12" s="1834">
        <f t="shared" ref="J12:J18" si="1">SUM(H12:I12)</f>
        <v>114950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5" t="s">
        <v>7</v>
      </c>
      <c r="C18" s="2346"/>
      <c r="D18" s="2347"/>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109084</v>
      </c>
      <c r="F19" s="1836">
        <f t="shared" si="2"/>
        <v>0</v>
      </c>
      <c r="G19" s="1836">
        <f t="shared" si="2"/>
        <v>109084</v>
      </c>
      <c r="H19" s="1836">
        <f t="shared" si="2"/>
        <v>114950</v>
      </c>
      <c r="I19" s="1836">
        <f t="shared" si="2"/>
        <v>0</v>
      </c>
      <c r="J19" s="1836">
        <f t="shared" si="2"/>
        <v>114950</v>
      </c>
    </row>
    <row r="20" spans="1:10" ht="13.5" thickTop="1" x14ac:dyDescent="0.2">
      <c r="A20" s="1036">
        <v>9</v>
      </c>
      <c r="B20" s="2348" t="s">
        <v>1703</v>
      </c>
      <c r="C20" s="2348"/>
      <c r="D20" s="2349"/>
      <c r="E20" s="1047"/>
      <c r="F20" s="1047"/>
      <c r="G20" s="1047"/>
      <c r="H20" s="1047"/>
      <c r="I20" s="1047"/>
      <c r="J20" s="1837">
        <f>IF(AND(G19&gt;0,J19&gt;0),(((J19-G19)/G19)),"Enter Budget Data")</f>
        <v>5.3775072421253345E-2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4"/>
      <c r="D26" s="2354"/>
      <c r="E26" s="1051"/>
      <c r="F26" s="2353"/>
      <c r="G26" s="2353"/>
    </row>
    <row r="27" spans="1:10" x14ac:dyDescent="0.2">
      <c r="B27" s="1048"/>
      <c r="C27" s="1052" t="s">
        <v>1093</v>
      </c>
      <c r="D27" s="1053"/>
      <c r="E27" s="1054"/>
      <c r="F27" s="2350" t="s">
        <v>1589</v>
      </c>
      <c r="G27" s="2350"/>
    </row>
    <row r="28" spans="1:10" ht="28.5" customHeight="1" x14ac:dyDescent="0.2">
      <c r="B28" s="1048"/>
      <c r="C28" s="2352"/>
      <c r="D28" s="2352"/>
      <c r="E28" s="1055"/>
      <c r="F28" s="2352"/>
      <c r="G28" s="2352"/>
    </row>
    <row r="29" spans="1:10" x14ac:dyDescent="0.2">
      <c r="B29" s="1048"/>
      <c r="C29" s="1056" t="s">
        <v>1642</v>
      </c>
      <c r="E29" s="1057"/>
      <c r="F29" s="2351" t="s">
        <v>1590</v>
      </c>
      <c r="G29" s="2351"/>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3" t="s">
        <v>134</v>
      </c>
      <c r="D33" s="2334"/>
      <c r="E33" s="2334"/>
      <c r="F33" s="2334"/>
      <c r="G33" s="2334"/>
      <c r="H33" s="2334"/>
      <c r="I33" s="2334"/>
    </row>
    <row r="34" spans="1:10" ht="10.35" customHeight="1" x14ac:dyDescent="0.2">
      <c r="C34" s="2334"/>
      <c r="D34" s="2334"/>
      <c r="E34" s="2334"/>
      <c r="F34" s="2334"/>
      <c r="G34" s="2334"/>
      <c r="H34" s="2334"/>
      <c r="I34" s="2334"/>
    </row>
    <row r="35" spans="1:10" ht="7.5" customHeight="1" x14ac:dyDescent="0.2">
      <c r="C35" s="1063"/>
    </row>
    <row r="36" spans="1:10" ht="13.5" customHeight="1" x14ac:dyDescent="0.2">
      <c r="B36" s="1062"/>
      <c r="C36" s="2335" t="s">
        <v>1943</v>
      </c>
      <c r="D36" s="2334"/>
      <c r="E36" s="2334"/>
      <c r="F36" s="2334"/>
      <c r="G36" s="2334"/>
      <c r="H36" s="2334"/>
      <c r="I36" s="2334"/>
      <c r="J36" s="1064"/>
    </row>
    <row r="37" spans="1:10" ht="22.5" customHeight="1" x14ac:dyDescent="0.2">
      <c r="C37" s="2334"/>
      <c r="D37" s="2334"/>
      <c r="E37" s="2334"/>
      <c r="F37" s="2334"/>
      <c r="G37" s="2334"/>
      <c r="H37" s="2334"/>
      <c r="I37" s="2334"/>
      <c r="J37" s="1064"/>
    </row>
    <row r="38" spans="1:10" ht="7.5" customHeight="1" x14ac:dyDescent="0.2">
      <c r="C38" s="1063"/>
      <c r="D38" s="1065"/>
      <c r="E38" s="1066"/>
      <c r="F38" s="1067"/>
      <c r="G38" s="1066"/>
    </row>
    <row r="39" spans="1:10" ht="13.5" customHeight="1" x14ac:dyDescent="0.2">
      <c r="B39" s="1062"/>
      <c r="C39" s="2331" t="s">
        <v>937</v>
      </c>
      <c r="D39" s="2332"/>
      <c r="E39" s="2332"/>
      <c r="F39" s="2332"/>
      <c r="G39" s="2332"/>
      <c r="H39" s="2332"/>
      <c r="I39" s="2332"/>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78"/>
  <sheetViews>
    <sheetView showGridLines="0" topLeftCell="A16" zoomScale="110" zoomScaleNormal="110" workbookViewId="0">
      <selection sqref="A1:M1"/>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1956" t="s">
        <v>2098</v>
      </c>
    </row>
    <row r="6" spans="1:2" x14ac:dyDescent="0.2">
      <c r="A6" s="1069"/>
      <c r="B6" s="1957" t="s">
        <v>2099</v>
      </c>
    </row>
    <row r="7" spans="1:2" x14ac:dyDescent="0.2">
      <c r="A7" s="1069"/>
      <c r="B7" s="329" t="s">
        <v>2100</v>
      </c>
    </row>
    <row r="8" spans="1:2" x14ac:dyDescent="0.2">
      <c r="A8" s="1069"/>
    </row>
    <row r="9" spans="1:2" x14ac:dyDescent="0.2">
      <c r="A9" s="1069">
        <v>2</v>
      </c>
      <c r="B9" s="1956" t="s">
        <v>2101</v>
      </c>
    </row>
    <row r="10" spans="1:2" x14ac:dyDescent="0.2">
      <c r="A10" s="1069"/>
      <c r="B10" s="1957" t="s">
        <v>2099</v>
      </c>
    </row>
    <row r="11" spans="1:2" x14ac:dyDescent="0.2">
      <c r="A11" s="1069"/>
      <c r="B11" s="329" t="s">
        <v>2102</v>
      </c>
    </row>
    <row r="12" spans="1:2" x14ac:dyDescent="0.2">
      <c r="A12" s="1069"/>
    </row>
    <row r="13" spans="1:2" x14ac:dyDescent="0.2">
      <c r="A13" s="1069">
        <v>3</v>
      </c>
      <c r="B13" s="1956" t="s">
        <v>2103</v>
      </c>
    </row>
    <row r="14" spans="1:2" x14ac:dyDescent="0.2">
      <c r="A14" s="1069"/>
      <c r="B14" s="1957" t="s">
        <v>2099</v>
      </c>
    </row>
    <row r="15" spans="1:2" x14ac:dyDescent="0.2">
      <c r="A15" s="1069"/>
      <c r="B15" s="329" t="s">
        <v>2104</v>
      </c>
    </row>
    <row r="16" spans="1:2" x14ac:dyDescent="0.2">
      <c r="A16" s="1069"/>
      <c r="B16" s="329" t="s">
        <v>2105</v>
      </c>
    </row>
    <row r="17" spans="1:2" x14ac:dyDescent="0.2">
      <c r="A17" s="1069"/>
    </row>
    <row r="18" spans="1:2" x14ac:dyDescent="0.2">
      <c r="A18" s="1069"/>
      <c r="B18" s="1957" t="s">
        <v>2106</v>
      </c>
    </row>
    <row r="19" spans="1:2" x14ac:dyDescent="0.2">
      <c r="A19" s="1069"/>
      <c r="B19" s="329" t="s">
        <v>2107</v>
      </c>
    </row>
    <row r="20" spans="1:2" x14ac:dyDescent="0.2">
      <c r="A20" s="1069"/>
    </row>
    <row r="21" spans="1:2" x14ac:dyDescent="0.2">
      <c r="A21" s="1069">
        <v>4</v>
      </c>
      <c r="B21" s="1956" t="s">
        <v>2108</v>
      </c>
    </row>
    <row r="22" spans="1:2" x14ac:dyDescent="0.2">
      <c r="A22" s="1070"/>
      <c r="B22" s="1957" t="s">
        <v>2099</v>
      </c>
    </row>
    <row r="23" spans="1:2" x14ac:dyDescent="0.2">
      <c r="A23" s="1070"/>
      <c r="B23" s="329" t="s">
        <v>2109</v>
      </c>
    </row>
    <row r="24" spans="1:2" x14ac:dyDescent="0.2">
      <c r="A24" s="1070"/>
    </row>
    <row r="25" spans="1:2" x14ac:dyDescent="0.2">
      <c r="A25" s="1069">
        <v>5</v>
      </c>
      <c r="B25" s="1956" t="s">
        <v>2110</v>
      </c>
    </row>
    <row r="26" spans="1:2" x14ac:dyDescent="0.2">
      <c r="A26" s="1070"/>
      <c r="B26" s="1957" t="s">
        <v>2099</v>
      </c>
    </row>
    <row r="27" spans="1:2" x14ac:dyDescent="0.2">
      <c r="A27" s="1070"/>
      <c r="B27" s="329" t="s">
        <v>2111</v>
      </c>
    </row>
    <row r="28" spans="1:2" x14ac:dyDescent="0.2">
      <c r="A28" s="1070"/>
    </row>
    <row r="29" spans="1:2" x14ac:dyDescent="0.2">
      <c r="A29" s="1069">
        <v>6</v>
      </c>
      <c r="B29" s="1956" t="s">
        <v>2112</v>
      </c>
    </row>
    <row r="30" spans="1:2" x14ac:dyDescent="0.2">
      <c r="A30" s="1070"/>
      <c r="B30" s="1957" t="s">
        <v>2113</v>
      </c>
    </row>
    <row r="31" spans="1:2" x14ac:dyDescent="0.2">
      <c r="A31" s="1070"/>
    </row>
    <row r="32" spans="1:2" x14ac:dyDescent="0.2">
      <c r="A32" s="1069">
        <v>7</v>
      </c>
      <c r="B32" s="1956" t="s">
        <v>2114</v>
      </c>
    </row>
    <row r="33" spans="1:2" x14ac:dyDescent="0.2">
      <c r="A33" s="1070"/>
      <c r="B33" s="1957" t="s">
        <v>2115</v>
      </c>
    </row>
    <row r="34" spans="1:2" x14ac:dyDescent="0.2">
      <c r="A34" s="1070"/>
    </row>
    <row r="35" spans="1:2" x14ac:dyDescent="0.2">
      <c r="A35" s="1069">
        <v>8</v>
      </c>
      <c r="B35" s="1956" t="s">
        <v>2112</v>
      </c>
    </row>
    <row r="36" spans="1:2" x14ac:dyDescent="0.2">
      <c r="A36" s="1070"/>
      <c r="B36" s="1957" t="s">
        <v>2113</v>
      </c>
    </row>
    <row r="37" spans="1:2" x14ac:dyDescent="0.2">
      <c r="A37" s="1070"/>
    </row>
    <row r="38" spans="1:2" x14ac:dyDescent="0.2">
      <c r="A38" s="1069">
        <v>9</v>
      </c>
      <c r="B38" s="1956" t="s">
        <v>2116</v>
      </c>
    </row>
    <row r="39" spans="1:2" x14ac:dyDescent="0.2">
      <c r="A39" s="1070"/>
      <c r="B39" s="1957" t="s">
        <v>2117</v>
      </c>
    </row>
    <row r="40" spans="1:2" x14ac:dyDescent="0.2">
      <c r="A40" s="1070"/>
    </row>
    <row r="41" spans="1:2" x14ac:dyDescent="0.2">
      <c r="A41" s="1069">
        <v>10</v>
      </c>
      <c r="B41" s="1956" t="s">
        <v>2118</v>
      </c>
    </row>
    <row r="42" spans="1:2" x14ac:dyDescent="0.2">
      <c r="A42" s="1070"/>
      <c r="B42" s="1957" t="s">
        <v>2119</v>
      </c>
    </row>
    <row r="43" spans="1:2" x14ac:dyDescent="0.2">
      <c r="A43" s="1070"/>
    </row>
    <row r="44" spans="1:2" x14ac:dyDescent="0.2">
      <c r="A44" s="1069">
        <v>11</v>
      </c>
      <c r="B44" s="1956" t="s">
        <v>2120</v>
      </c>
    </row>
    <row r="45" spans="1:2" x14ac:dyDescent="0.2">
      <c r="A45" s="1070"/>
      <c r="B45" s="1957" t="s">
        <v>2121</v>
      </c>
    </row>
    <row r="46" spans="1:2" x14ac:dyDescent="0.2">
      <c r="A46" s="1070"/>
    </row>
    <row r="47" spans="1:2" x14ac:dyDescent="0.2">
      <c r="A47" s="1070"/>
    </row>
    <row r="48" spans="1:2" x14ac:dyDescent="0.2">
      <c r="A48" s="1070"/>
    </row>
    <row r="49" spans="1:1" x14ac:dyDescent="0.2">
      <c r="A49" s="1070"/>
    </row>
    <row r="50" spans="1:1" x14ac:dyDescent="0.2">
      <c r="A50" s="1070"/>
    </row>
    <row r="51" spans="1:1" x14ac:dyDescent="0.2">
      <c r="A51" s="1070"/>
    </row>
    <row r="52" spans="1:1" x14ac:dyDescent="0.2">
      <c r="A52" s="1070"/>
    </row>
    <row r="53" spans="1:1" x14ac:dyDescent="0.2">
      <c r="A53" s="1070"/>
    </row>
    <row r="54" spans="1:1" x14ac:dyDescent="0.2">
      <c r="A54" s="1070"/>
    </row>
    <row r="55" spans="1:1" x14ac:dyDescent="0.2">
      <c r="A55" s="1070"/>
    </row>
    <row r="56" spans="1:1" x14ac:dyDescent="0.2">
      <c r="A56" s="1070"/>
    </row>
    <row r="57" spans="1:1" x14ac:dyDescent="0.2">
      <c r="A57" s="1070"/>
    </row>
    <row r="58" spans="1:1" x14ac:dyDescent="0.2">
      <c r="A58" s="1070"/>
    </row>
    <row r="59" spans="1:1" x14ac:dyDescent="0.2">
      <c r="A59" s="1070"/>
    </row>
    <row r="60" spans="1:1" x14ac:dyDescent="0.2">
      <c r="A60" s="1070"/>
    </row>
    <row r="61" spans="1:1" x14ac:dyDescent="0.2">
      <c r="A61" s="1070"/>
    </row>
    <row r="62" spans="1:1" x14ac:dyDescent="0.2">
      <c r="A62" s="1070"/>
    </row>
    <row r="63" spans="1:1" x14ac:dyDescent="0.2">
      <c r="A63" s="1070"/>
    </row>
    <row r="64" spans="1:1" x14ac:dyDescent="0.2">
      <c r="A64" s="1070"/>
    </row>
    <row r="65" spans="1:2" x14ac:dyDescent="0.2">
      <c r="A65" s="1070"/>
    </row>
    <row r="66" spans="1:2" x14ac:dyDescent="0.2">
      <c r="A66" s="1070"/>
    </row>
    <row r="67" spans="1:2" x14ac:dyDescent="0.2">
      <c r="A67" s="1070"/>
    </row>
    <row r="68" spans="1:2" x14ac:dyDescent="0.2">
      <c r="A68" s="1070"/>
    </row>
    <row r="69" spans="1:2" x14ac:dyDescent="0.2">
      <c r="A69" s="1070"/>
    </row>
    <row r="70" spans="1:2" x14ac:dyDescent="0.2">
      <c r="A70" s="1070"/>
    </row>
    <row r="71" spans="1:2" x14ac:dyDescent="0.2">
      <c r="A71" s="1070"/>
    </row>
    <row r="72" spans="1:2" x14ac:dyDescent="0.2">
      <c r="A72" s="1070"/>
    </row>
    <row r="73" spans="1:2" x14ac:dyDescent="0.2">
      <c r="A73" s="1070"/>
    </row>
    <row r="74" spans="1:2" x14ac:dyDescent="0.2">
      <c r="A74" s="1070"/>
    </row>
    <row r="75" spans="1:2" x14ac:dyDescent="0.2">
      <c r="A75" s="1070"/>
    </row>
    <row r="76" spans="1:2" x14ac:dyDescent="0.2">
      <c r="A76" s="1070"/>
    </row>
    <row r="77" spans="1:2" x14ac:dyDescent="0.2">
      <c r="A77" s="1070"/>
      <c r="B77" s="258" t="str">
        <f>COVER!A17</f>
        <v>Tuscola CUSD 301</v>
      </c>
    </row>
    <row r="78" spans="1:2" x14ac:dyDescent="0.2">
      <c r="B78" s="1071">
        <f>COVER!A13</f>
        <v>11021301026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election sqref="A1:M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1970</v>
      </c>
      <c r="C4" s="162" t="s">
        <v>1231</v>
      </c>
      <c r="D4" s="169" t="s">
        <v>10</v>
      </c>
      <c r="E4" s="170" t="s">
        <v>22</v>
      </c>
    </row>
    <row r="5" spans="1:5" x14ac:dyDescent="0.2">
      <c r="A5" s="168" t="s">
        <v>1972</v>
      </c>
      <c r="C5" s="162" t="s">
        <v>1231</v>
      </c>
      <c r="D5" s="169" t="s">
        <v>10</v>
      </c>
      <c r="E5" s="170" t="s">
        <v>22</v>
      </c>
    </row>
    <row r="6" spans="1:5" x14ac:dyDescent="0.2">
      <c r="A6" s="168" t="s">
        <v>1971</v>
      </c>
      <c r="C6" s="162" t="s">
        <v>1231</v>
      </c>
      <c r="D6" s="167" t="s">
        <v>11</v>
      </c>
      <c r="E6" s="170" t="s">
        <v>998</v>
      </c>
    </row>
    <row r="7" spans="1:5" x14ac:dyDescent="0.2">
      <c r="A7" s="168" t="s">
        <v>1973</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1974</v>
      </c>
      <c r="C11" s="162" t="s">
        <v>1231</v>
      </c>
      <c r="D11" s="169" t="s">
        <v>14</v>
      </c>
      <c r="E11" s="170" t="s">
        <v>1218</v>
      </c>
    </row>
    <row r="12" spans="1:5" x14ac:dyDescent="0.2">
      <c r="B12" s="169" t="s">
        <v>1975</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1976</v>
      </c>
      <c r="C15" s="162" t="s">
        <v>1231</v>
      </c>
      <c r="D15" s="169" t="s">
        <v>17</v>
      </c>
      <c r="E15" s="170" t="s">
        <v>657</v>
      </c>
    </row>
    <row r="16" spans="1:5" x14ac:dyDescent="0.2">
      <c r="A16" s="172"/>
      <c r="B16" s="162" t="s">
        <v>1977</v>
      </c>
      <c r="C16" s="162" t="s">
        <v>1231</v>
      </c>
      <c r="D16" s="169" t="s">
        <v>702</v>
      </c>
      <c r="E16" s="170" t="s">
        <v>1100</v>
      </c>
    </row>
    <row r="17" spans="1:5" x14ac:dyDescent="0.2">
      <c r="B17" s="167" t="s">
        <v>1045</v>
      </c>
      <c r="C17" s="162" t="s">
        <v>1231</v>
      </c>
    </row>
    <row r="18" spans="1:5" x14ac:dyDescent="0.2">
      <c r="B18" s="167" t="s">
        <v>1983</v>
      </c>
      <c r="D18" s="169" t="s">
        <v>18</v>
      </c>
      <c r="E18" s="170" t="s">
        <v>1101</v>
      </c>
    </row>
    <row r="19" spans="1:5" x14ac:dyDescent="0.2">
      <c r="A19" s="168" t="s">
        <v>1161</v>
      </c>
      <c r="C19" s="162" t="s">
        <v>1231</v>
      </c>
      <c r="D19" s="169"/>
      <c r="E19" s="171"/>
    </row>
    <row r="20" spans="1:5" x14ac:dyDescent="0.2">
      <c r="B20" s="167" t="s">
        <v>1978</v>
      </c>
      <c r="C20" s="162" t="s">
        <v>1231</v>
      </c>
      <c r="D20" s="169" t="s">
        <v>19</v>
      </c>
      <c r="E20" s="170" t="s">
        <v>53</v>
      </c>
    </row>
    <row r="21" spans="1:5" x14ac:dyDescent="0.2">
      <c r="B21" s="167" t="s">
        <v>1979</v>
      </c>
      <c r="C21" s="162" t="s">
        <v>1231</v>
      </c>
      <c r="D21" s="169" t="s">
        <v>20</v>
      </c>
      <c r="E21" s="170" t="s">
        <v>1708</v>
      </c>
    </row>
    <row r="22" spans="1:5" x14ac:dyDescent="0.2">
      <c r="A22" s="168"/>
      <c r="B22" s="162" t="s">
        <v>1967</v>
      </c>
      <c r="C22" s="162" t="s">
        <v>1231</v>
      </c>
      <c r="D22" s="167" t="s">
        <v>1969</v>
      </c>
      <c r="E22" s="1859" t="s">
        <v>1709</v>
      </c>
    </row>
    <row r="23" spans="1:5" x14ac:dyDescent="0.2">
      <c r="A23" s="168"/>
      <c r="B23" s="162" t="s">
        <v>1968</v>
      </c>
      <c r="D23" s="167" t="s">
        <v>658</v>
      </c>
      <c r="E23" s="1859" t="s">
        <v>1016</v>
      </c>
    </row>
    <row r="24" spans="1:5" x14ac:dyDescent="0.2">
      <c r="A24" s="168" t="s">
        <v>1707</v>
      </c>
      <c r="C24" s="162" t="s">
        <v>1231</v>
      </c>
      <c r="D24" s="167" t="s">
        <v>1460</v>
      </c>
      <c r="E24" s="170" t="s">
        <v>1017</v>
      </c>
    </row>
    <row r="25" spans="1:5" x14ac:dyDescent="0.2">
      <c r="A25" s="168" t="s">
        <v>1980</v>
      </c>
      <c r="C25" s="162" t="s">
        <v>1231</v>
      </c>
      <c r="D25" s="169" t="s">
        <v>21</v>
      </c>
      <c r="E25" s="170" t="s">
        <v>1102</v>
      </c>
    </row>
    <row r="26" spans="1:5" x14ac:dyDescent="0.2">
      <c r="A26" s="168" t="s">
        <v>1981</v>
      </c>
      <c r="C26" s="162" t="s">
        <v>1231</v>
      </c>
      <c r="D26" s="169" t="s">
        <v>584</v>
      </c>
      <c r="E26" s="170" t="s">
        <v>1103</v>
      </c>
    </row>
    <row r="27" spans="1:5" x14ac:dyDescent="0.2">
      <c r="A27" s="168" t="s">
        <v>1982</v>
      </c>
      <c r="C27" s="162" t="s">
        <v>1231</v>
      </c>
      <c r="D27" s="169" t="s">
        <v>578</v>
      </c>
      <c r="E27" s="170" t="s">
        <v>704</v>
      </c>
    </row>
    <row r="28" spans="1:5" x14ac:dyDescent="0.2">
      <c r="A28" s="168" t="s">
        <v>1984</v>
      </c>
      <c r="D28" s="169" t="s">
        <v>705</v>
      </c>
      <c r="E28" s="170" t="s">
        <v>1433</v>
      </c>
    </row>
    <row r="29" spans="1:5" x14ac:dyDescent="0.2">
      <c r="A29" s="168" t="s">
        <v>1985</v>
      </c>
      <c r="D29" s="169" t="s">
        <v>1461</v>
      </c>
      <c r="E29" s="170" t="s">
        <v>1442</v>
      </c>
    </row>
    <row r="30" spans="1:5" x14ac:dyDescent="0.2">
      <c r="A30" s="173" t="s">
        <v>1986</v>
      </c>
      <c r="C30" s="162" t="s">
        <v>1231</v>
      </c>
      <c r="D30" s="169" t="s">
        <v>42</v>
      </c>
      <c r="E30" s="170" t="s">
        <v>1039</v>
      </c>
    </row>
    <row r="31" spans="1:5" x14ac:dyDescent="0.2">
      <c r="A31" s="168" t="s">
        <v>1602</v>
      </c>
      <c r="C31" s="162" t="s">
        <v>1231</v>
      </c>
      <c r="D31" s="167"/>
      <c r="E31" s="171"/>
    </row>
    <row r="32" spans="1:5" x14ac:dyDescent="0.2">
      <c r="B32" s="167" t="s">
        <v>1987</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2" t="s">
        <v>1125</v>
      </c>
      <c r="B35" s="2072"/>
      <c r="C35" s="2072"/>
      <c r="D35" s="2072"/>
      <c r="E35" s="2072"/>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9" t="s">
        <v>715</v>
      </c>
      <c r="B40" s="2069"/>
      <c r="C40" s="2069"/>
      <c r="D40" s="2069"/>
      <c r="E40" s="2069"/>
    </row>
    <row r="41" spans="1:5" x14ac:dyDescent="0.2">
      <c r="A41" s="2070" t="s">
        <v>1706</v>
      </c>
      <c r="B41" s="2070"/>
      <c r="C41" s="2070"/>
      <c r="D41" s="2070"/>
      <c r="E41" s="2070"/>
    </row>
    <row r="42" spans="1:5" ht="12.75" customHeight="1" x14ac:dyDescent="0.2">
      <c r="A42" s="2071" t="s">
        <v>1080</v>
      </c>
      <c r="B42" s="2071"/>
      <c r="C42" s="2071"/>
      <c r="D42" s="2071"/>
      <c r="E42" s="2071"/>
    </row>
    <row r="43" spans="1:5" ht="6.75" customHeight="1" x14ac:dyDescent="0.2">
      <c r="A43" s="167"/>
      <c r="B43" s="176"/>
    </row>
    <row r="44" spans="1:5" x14ac:dyDescent="0.2">
      <c r="A44" s="185" t="s">
        <v>1040</v>
      </c>
      <c r="B44" s="186" t="s">
        <v>2017</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sqref="A1:M1"/>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5" t="s">
        <v>1784</v>
      </c>
      <c r="B18" s="2355"/>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35841" r:id="rId4">
          <objectPr defaultSize="0" r:id="rId5">
            <anchor moveWithCells="1">
              <from>
                <xdr:col>1</xdr:col>
                <xdr:colOff>0</xdr:colOff>
                <xdr:row>4</xdr:row>
                <xdr:rowOff>0</xdr:rowOff>
              </from>
              <to>
                <xdr:col>1</xdr:col>
                <xdr:colOff>914400</xdr:colOff>
                <xdr:row>8</xdr:row>
                <xdr:rowOff>38100</xdr:rowOff>
              </to>
            </anchor>
          </objectPr>
        </oleObject>
      </mc:Choice>
      <mc:Fallback>
        <oleObject progId="AcroExch.Document.DC"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M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6" t="s">
        <v>1790</v>
      </c>
      <c r="B1" s="2357"/>
      <c r="C1" s="2357"/>
      <c r="D1" s="2357"/>
      <c r="E1" s="2357"/>
      <c r="F1" s="2358"/>
    </row>
    <row r="2" spans="1:8" ht="45" customHeight="1" x14ac:dyDescent="0.2">
      <c r="A2" s="2366" t="s">
        <v>1791</v>
      </c>
      <c r="B2" s="2367"/>
      <c r="C2" s="2367"/>
      <c r="D2" s="2367"/>
      <c r="E2" s="2367"/>
      <c r="F2" s="2368"/>
      <c r="G2" s="1075"/>
      <c r="H2" s="1075"/>
    </row>
    <row r="3" spans="1:8" ht="57" customHeight="1" x14ac:dyDescent="0.2">
      <c r="A3" s="2369" t="s">
        <v>1786</v>
      </c>
      <c r="B3" s="2370"/>
      <c r="C3" s="2370"/>
      <c r="D3" s="2370"/>
      <c r="E3" s="2370"/>
      <c r="F3" s="2371"/>
      <c r="G3" s="1075"/>
      <c r="H3" s="1075"/>
    </row>
    <row r="4" spans="1:8" ht="14.25" customHeight="1" x14ac:dyDescent="0.2">
      <c r="A4" s="2375" t="s">
        <v>2054</v>
      </c>
      <c r="B4" s="2376"/>
      <c r="C4" s="2376"/>
      <c r="D4" s="2376"/>
      <c r="E4" s="2376"/>
      <c r="F4" s="2377"/>
      <c r="G4" s="1075"/>
      <c r="H4" s="1075"/>
    </row>
    <row r="5" spans="1:8" ht="14.25" customHeight="1" x14ac:dyDescent="0.2">
      <c r="A5" s="2378" t="s">
        <v>2055</v>
      </c>
      <c r="B5" s="2379"/>
      <c r="C5" s="2379"/>
      <c r="D5" s="2379"/>
      <c r="E5" s="2379"/>
      <c r="F5" s="2380"/>
      <c r="G5" s="1075"/>
      <c r="H5" s="1075"/>
    </row>
    <row r="6" spans="1:8" s="1076" customFormat="1" ht="41.25" customHeight="1" x14ac:dyDescent="0.2">
      <c r="A6" s="2372" t="s">
        <v>1792</v>
      </c>
      <c r="B6" s="2373"/>
      <c r="C6" s="2373"/>
      <c r="D6" s="2373"/>
      <c r="E6" s="2373"/>
      <c r="F6" s="2374"/>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7036573</v>
      </c>
      <c r="C8" s="1838">
        <f>'Acct Summary 7-8'!D8</f>
        <v>659173</v>
      </c>
      <c r="D8" s="1838">
        <f>'Acct Summary 7-8'!F8</f>
        <v>740682</v>
      </c>
      <c r="E8" s="1838">
        <f>'Acct Summary 7-8'!I8</f>
        <v>66897</v>
      </c>
      <c r="F8" s="1838">
        <f>SUM(B8:E8)</f>
        <v>8503325</v>
      </c>
    </row>
    <row r="9" spans="1:8" s="1080" customFormat="1" ht="14.25" customHeight="1" thickBot="1" x14ac:dyDescent="0.25">
      <c r="A9" s="1079" t="s">
        <v>1436</v>
      </c>
      <c r="B9" s="1839">
        <f>'Acct Summary 7-8'!C17</f>
        <v>6957578</v>
      </c>
      <c r="C9" s="1839">
        <f>'Acct Summary 7-8'!D17</f>
        <v>656050</v>
      </c>
      <c r="D9" s="1839">
        <f>'Acct Summary 7-8'!F17</f>
        <v>630652</v>
      </c>
      <c r="E9" s="1838"/>
      <c r="F9" s="1838">
        <f>SUM(B9:E9)</f>
        <v>8244280</v>
      </c>
    </row>
    <row r="10" spans="1:8" s="1080" customFormat="1" ht="14.25" thickTop="1" thickBot="1" x14ac:dyDescent="0.25">
      <c r="A10" s="1081" t="s">
        <v>1437</v>
      </c>
      <c r="B10" s="1840">
        <f>(B8-B9)</f>
        <v>78995</v>
      </c>
      <c r="C10" s="1840">
        <f>(C8-C9)</f>
        <v>3123</v>
      </c>
      <c r="D10" s="1840">
        <f>(D8-D9)</f>
        <v>110030</v>
      </c>
      <c r="E10" s="1839">
        <f>(E8-E9)</f>
        <v>66897</v>
      </c>
      <c r="F10" s="1841">
        <f>SUM(F8-F9)</f>
        <v>259045</v>
      </c>
    </row>
    <row r="11" spans="1:8" s="1080" customFormat="1" ht="14.25" thickTop="1" thickBot="1" x14ac:dyDescent="0.25">
      <c r="A11" s="1082" t="s">
        <v>1785</v>
      </c>
      <c r="B11" s="1842">
        <f>'Acct Summary 7-8'!C81</f>
        <v>2271003</v>
      </c>
      <c r="C11" s="1842">
        <f>'Acct Summary 7-8'!D81</f>
        <v>425957</v>
      </c>
      <c r="D11" s="1842">
        <f>'Acct Summary 7-8'!F81</f>
        <v>306318</v>
      </c>
      <c r="E11" s="1842">
        <f>'Acct Summary 7-8'!I81</f>
        <v>584844</v>
      </c>
      <c r="F11" s="1843">
        <f>SUM(B11:E11)</f>
        <v>3588122</v>
      </c>
    </row>
    <row r="12" spans="1:8" ht="16.5" customHeight="1" thickTop="1" x14ac:dyDescent="0.2">
      <c r="A12" s="1083"/>
      <c r="B12" s="1084"/>
      <c r="C12" s="2360" t="str">
        <f>IF(AND(F10&lt;0,F11&gt;=0,ABS(F10*3)&gt;ABS(F11)),A16,IF(AND(F10&lt;0,F11&gt;0,ABS(F10*3)&lt;=ABS(F11)),A17,IF(AND(F10&lt;0,F11&lt;0),A16,IF(F11=0,A19,A18))))</f>
        <v>Balanced - no deficit reduction plan is required.</v>
      </c>
      <c r="D12" s="2361"/>
      <c r="E12" s="2361"/>
      <c r="F12" s="2362"/>
    </row>
    <row r="13" spans="1:8" ht="19.5" customHeight="1" x14ac:dyDescent="0.2">
      <c r="A13" s="1085"/>
      <c r="B13" s="1086"/>
      <c r="C13" s="2360"/>
      <c r="D13" s="2361"/>
      <c r="E13" s="2361"/>
      <c r="F13" s="2362"/>
      <c r="H13" s="1075"/>
    </row>
    <row r="14" spans="1:8" ht="19.5" customHeight="1" x14ac:dyDescent="0.2">
      <c r="A14" s="1085"/>
      <c r="B14" s="1086"/>
      <c r="C14" s="2360"/>
      <c r="D14" s="2361"/>
      <c r="E14" s="2361"/>
      <c r="F14" s="2362"/>
      <c r="H14" s="1075"/>
    </row>
    <row r="15" spans="1:8" ht="17.25" customHeight="1" x14ac:dyDescent="0.2">
      <c r="A15" s="1085"/>
      <c r="B15" s="1086"/>
      <c r="C15" s="2363"/>
      <c r="D15" s="2364"/>
      <c r="E15" s="2364"/>
      <c r="F15" s="2365"/>
      <c r="H15" s="1075"/>
    </row>
    <row r="16" spans="1:8" s="310" customFormat="1" ht="51.75" hidden="1" customHeight="1" x14ac:dyDescent="0.2">
      <c r="A16" s="2359" t="s">
        <v>1787</v>
      </c>
      <c r="B16" s="2359"/>
      <c r="C16" s="2359"/>
      <c r="D16" s="2359"/>
      <c r="E16" s="2359"/>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81" t="s">
        <v>686</v>
      </c>
      <c r="B3" s="2382"/>
      <c r="C3" s="2382"/>
      <c r="D3" s="2383"/>
    </row>
    <row r="4" spans="1:4" x14ac:dyDescent="0.2">
      <c r="A4" s="1153" t="s">
        <v>1793</v>
      </c>
      <c r="B4" s="1154"/>
      <c r="C4" s="1155"/>
      <c r="D4" s="1156"/>
    </row>
    <row r="5" spans="1:4" ht="21" customHeight="1" x14ac:dyDescent="0.2">
      <c r="A5" s="1149"/>
      <c r="B5" s="1150">
        <v>1</v>
      </c>
      <c r="C5" s="1151" t="s">
        <v>1945</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2" t="s">
        <v>1584</v>
      </c>
      <c r="D7" s="2393"/>
    </row>
    <row r="8" spans="1:4" s="669" customFormat="1" ht="12.75" x14ac:dyDescent="0.2">
      <c r="A8" s="1139"/>
      <c r="B8" s="1094"/>
      <c r="C8" s="1097" t="s">
        <v>1583</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4" t="s">
        <v>1065</v>
      </c>
      <c r="B15" s="2385"/>
      <c r="C15" s="2385"/>
      <c r="D15" s="2386"/>
    </row>
    <row r="16" spans="1:4" s="669" customFormat="1" ht="24" customHeight="1" x14ac:dyDescent="0.2">
      <c r="A16" s="2387" t="s">
        <v>684</v>
      </c>
      <c r="B16" s="2388"/>
      <c r="C16" s="2388"/>
      <c r="D16" s="2389"/>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6" t="s">
        <v>332</v>
      </c>
      <c r="D21" s="2397"/>
    </row>
    <row r="22" spans="1:10" ht="12.75" x14ac:dyDescent="0.2">
      <c r="A22" s="1140"/>
      <c r="B22" s="1141">
        <v>2</v>
      </c>
      <c r="C22" s="2394" t="s">
        <v>1605</v>
      </c>
      <c r="D22" s="2395"/>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8" t="s">
        <v>557</v>
      </c>
      <c r="D43" s="2399"/>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90" t="s">
        <v>817</v>
      </c>
      <c r="D56" s="2391"/>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1079</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OK</v>
      </c>
    </row>
    <row r="70" spans="1:4" x14ac:dyDescent="0.2">
      <c r="A70" s="1099"/>
      <c r="B70" s="1121">
        <f>B66+1</f>
        <v>9</v>
      </c>
      <c r="C70" s="2390" t="s">
        <v>1797</v>
      </c>
      <c r="D70" s="2391"/>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2052</v>
      </c>
      <c r="D78" s="1125" t="str">
        <f>IF(ISNUMBER('Acct Summary 7-8'!C9),"OK","ENTRY IS REQUIRED!")</f>
        <v>OK</v>
      </c>
    </row>
    <row r="79" spans="1:4" x14ac:dyDescent="0.2">
      <c r="A79" s="1120"/>
      <c r="B79" s="1121">
        <f>B74+1+1</f>
        <v>12</v>
      </c>
      <c r="C79" s="1131" t="s">
        <v>2018</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11021301026</v>
      </c>
    </row>
    <row r="3" spans="1:2" x14ac:dyDescent="0.2">
      <c r="A3" t="s">
        <v>1013</v>
      </c>
      <c r="B3" s="138" t="str">
        <f>COVER!A15</f>
        <v>DOUGLAS</v>
      </c>
    </row>
    <row r="4" spans="1:2" x14ac:dyDescent="0.2">
      <c r="A4" t="s">
        <v>1064</v>
      </c>
      <c r="B4" s="138" t="str">
        <f>COVER!A17</f>
        <v>Tuscola CUSD 301</v>
      </c>
    </row>
    <row r="5" spans="1:2" x14ac:dyDescent="0.2">
      <c r="A5" t="s">
        <v>728</v>
      </c>
      <c r="B5" s="138" t="str">
        <f>COVER!A38</f>
        <v>MICHAEL SMITH</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065.018319</v>
      </c>
    </row>
    <row r="16" spans="1:2" x14ac:dyDescent="0.2">
      <c r="A16" t="s">
        <v>442</v>
      </c>
      <c r="B16" s="138" t="str">
        <f>COVER!T13</f>
        <v>RUSSELL LEIGH &amp; ASSOCIATIES</v>
      </c>
    </row>
    <row r="17" spans="1:2" x14ac:dyDescent="0.2">
      <c r="A17" t="s">
        <v>939</v>
      </c>
      <c r="B17" s="138" t="str">
        <f>COVER!T15</f>
        <v>RUSS LEIGH</v>
      </c>
    </row>
    <row r="18" spans="1:2" x14ac:dyDescent="0.2">
      <c r="A18" t="s">
        <v>1212</v>
      </c>
      <c r="B18" s="138" t="str">
        <f>COVER!T17</f>
        <v>228 E MAIN ST</v>
      </c>
    </row>
    <row r="19" spans="1:2" x14ac:dyDescent="0.2">
      <c r="A19" t="s">
        <v>941</v>
      </c>
      <c r="B19" s="138" t="str">
        <f>COVER!T25</f>
        <v>admin@russleigh.com</v>
      </c>
    </row>
    <row r="20" spans="1:2" x14ac:dyDescent="0.2">
      <c r="A20" t="s">
        <v>942</v>
      </c>
      <c r="B20" s="138" t="str">
        <f>COVER!T19</f>
        <v>HOOPESTON</v>
      </c>
    </row>
    <row r="21" spans="1:2" x14ac:dyDescent="0.2">
      <c r="A21" t="s">
        <v>500</v>
      </c>
      <c r="B21" s="138" t="str">
        <f>COVER!X19</f>
        <v>IL</v>
      </c>
    </row>
    <row r="22" spans="1:2" x14ac:dyDescent="0.2">
      <c r="A22" t="s">
        <v>943</v>
      </c>
      <c r="B22" s="138">
        <f>COVER!Z19</f>
        <v>60942</v>
      </c>
    </row>
    <row r="23" spans="1:2" x14ac:dyDescent="0.2">
      <c r="A23" t="s">
        <v>1214</v>
      </c>
      <c r="B23" s="138" t="str">
        <f>COVER!T21</f>
        <v>217-283-9336</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2272680</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1677</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1677</v>
      </c>
      <c r="C91" s="2" t="s">
        <v>594</v>
      </c>
      <c r="D91" s="2" t="str">
        <f t="shared" si="0"/>
        <v>Error?</v>
      </c>
    </row>
    <row r="92" spans="1:4" x14ac:dyDescent="0.2">
      <c r="A92" s="5">
        <v>31</v>
      </c>
      <c r="B92" s="138">
        <f>'Assets-Liab 5-6'!C39</f>
        <v>2271003</v>
      </c>
      <c r="D92" s="2" t="str">
        <f t="shared" si="0"/>
        <v>Error?</v>
      </c>
    </row>
    <row r="93" spans="1:4" x14ac:dyDescent="0.2">
      <c r="A93" s="5">
        <v>32</v>
      </c>
      <c r="B93" s="138">
        <f>'Assets-Liab 5-6'!C41</f>
        <v>2272680</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425957</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425957</v>
      </c>
      <c r="D123" s="2" t="str">
        <f t="shared" si="0"/>
        <v>Error?</v>
      </c>
    </row>
    <row r="124" spans="1:4" x14ac:dyDescent="0.2">
      <c r="A124" s="5">
        <v>63</v>
      </c>
      <c r="B124" s="138">
        <f>'Assets-Liab 5-6'!D41</f>
        <v>425957</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106988</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106988</v>
      </c>
      <c r="D140" s="2" t="str">
        <f t="shared" si="1"/>
        <v>Error?</v>
      </c>
    </row>
    <row r="141" spans="1:4" x14ac:dyDescent="0.2">
      <c r="A141" s="5">
        <v>80</v>
      </c>
      <c r="B141" s="138">
        <f>'Assets-Liab 5-6'!E41</f>
        <v>106988</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306318</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306318</v>
      </c>
      <c r="D170" s="2" t="str">
        <f t="shared" si="1"/>
        <v>Error?</v>
      </c>
    </row>
    <row r="171" spans="1:4" x14ac:dyDescent="0.2">
      <c r="A171" s="5">
        <v>110</v>
      </c>
      <c r="B171" s="138">
        <f>'Assets-Liab 5-6'!F41</f>
        <v>306318</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103526</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-28010</v>
      </c>
      <c r="D189" s="2" t="str">
        <f t="shared" si="1"/>
        <v>Error?</v>
      </c>
    </row>
    <row r="190" spans="1:4" x14ac:dyDescent="0.2">
      <c r="A190" s="5">
        <v>129</v>
      </c>
      <c r="B190" s="138">
        <f>'Assets-Liab 5-6'!G41</f>
        <v>103526</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539955</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27282</v>
      </c>
      <c r="D212" s="2" t="str">
        <f t="shared" si="2"/>
        <v>Error?</v>
      </c>
    </row>
    <row r="213" spans="1:4" x14ac:dyDescent="0.2">
      <c r="A213" s="12">
        <v>152</v>
      </c>
      <c r="B213" s="138">
        <f>'Assets-Liab 5-6'!H41</f>
        <v>539955</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508739</v>
      </c>
      <c r="D273" s="2" t="str">
        <f t="shared" si="3"/>
        <v>Error?</v>
      </c>
    </row>
    <row r="274" spans="1:4" x14ac:dyDescent="0.2">
      <c r="A274" s="5">
        <v>213</v>
      </c>
      <c r="B274" s="138">
        <f>'Assets-Liab 5-6'!M17</f>
        <v>16406267</v>
      </c>
      <c r="D274" s="2" t="str">
        <f t="shared" si="3"/>
        <v>Error?</v>
      </c>
    </row>
    <row r="275" spans="1:4" x14ac:dyDescent="0.2">
      <c r="A275" s="5">
        <v>214</v>
      </c>
      <c r="B275" s="138">
        <f>'Assets-Liab 5-6'!M18</f>
        <v>3659043</v>
      </c>
      <c r="D275" s="2" t="str">
        <f t="shared" si="3"/>
        <v>Error?</v>
      </c>
    </row>
    <row r="276" spans="1:4" x14ac:dyDescent="0.2">
      <c r="A276" s="5">
        <v>215</v>
      </c>
      <c r="B276" s="138">
        <f>'Assets-Liab 5-6'!M19</f>
        <v>1767149</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22341198</v>
      </c>
      <c r="C279" s="2" t="s">
        <v>594</v>
      </c>
      <c r="D279" s="2" t="str">
        <f t="shared" si="3"/>
        <v>Error?</v>
      </c>
    </row>
    <row r="280" spans="1:4" x14ac:dyDescent="0.2">
      <c r="A280" s="5">
        <v>219</v>
      </c>
      <c r="B280" s="138">
        <f>'Assets-Liab 5-6'!M40</f>
        <v>22341198</v>
      </c>
      <c r="D280" s="2" t="str">
        <f t="shared" si="3"/>
        <v>Error?</v>
      </c>
    </row>
    <row r="281" spans="1:4" x14ac:dyDescent="0.2">
      <c r="A281" s="5">
        <v>220</v>
      </c>
      <c r="B281" s="138">
        <f>'Assets-Liab 5-6'!M41</f>
        <v>22341198</v>
      </c>
      <c r="C281" s="2" t="s">
        <v>594</v>
      </c>
      <c r="D281" s="2" t="str">
        <f t="shared" si="3"/>
        <v>Error?</v>
      </c>
    </row>
    <row r="282" spans="1:4" x14ac:dyDescent="0.2">
      <c r="A282" s="5">
        <v>221</v>
      </c>
      <c r="B282" s="138">
        <f>'Assets-Liab 5-6'!N21</f>
        <v>106988</v>
      </c>
      <c r="D282" s="2" t="str">
        <f t="shared" si="3"/>
        <v>Error?</v>
      </c>
    </row>
    <row r="283" spans="1:4" x14ac:dyDescent="0.2">
      <c r="A283" s="5">
        <v>222</v>
      </c>
      <c r="B283" s="138">
        <f>'Assets-Liab 5-6'!N22</f>
        <v>2668012</v>
      </c>
      <c r="D283" s="2" t="str">
        <f t="shared" si="3"/>
        <v>Error?</v>
      </c>
    </row>
    <row r="284" spans="1:4" x14ac:dyDescent="0.2">
      <c r="A284" s="5">
        <v>223</v>
      </c>
      <c r="B284" s="138">
        <f>'Assets-Liab 5-6'!N23</f>
        <v>2775000</v>
      </c>
      <c r="C284" s="2" t="s">
        <v>594</v>
      </c>
      <c r="D284" s="2" t="str">
        <f t="shared" si="3"/>
        <v>Error?</v>
      </c>
    </row>
    <row r="285" spans="1:4" x14ac:dyDescent="0.2">
      <c r="A285" s="5">
        <v>224</v>
      </c>
      <c r="B285" s="138">
        <f>'Assets-Liab 5-6'!N36</f>
        <v>2775000</v>
      </c>
      <c r="D285" s="2" t="str">
        <f t="shared" si="3"/>
        <v>Error?</v>
      </c>
    </row>
    <row r="286" spans="1:4" x14ac:dyDescent="0.2">
      <c r="A286" s="10">
        <v>225</v>
      </c>
      <c r="D286" s="2" t="str">
        <f t="shared" si="3"/>
        <v>OK</v>
      </c>
    </row>
    <row r="287" spans="1:4" x14ac:dyDescent="0.2">
      <c r="A287" s="5">
        <v>226</v>
      </c>
      <c r="B287" s="138">
        <f>'Assets-Liab 5-6'!N37</f>
        <v>2775000</v>
      </c>
      <c r="C287" s="2" t="s">
        <v>594</v>
      </c>
      <c r="D287" s="2" t="str">
        <f t="shared" si="3"/>
        <v>Error?</v>
      </c>
    </row>
    <row r="288" spans="1:4" x14ac:dyDescent="0.2">
      <c r="A288" s="5">
        <v>227</v>
      </c>
      <c r="B288" s="138">
        <f>'Assets-Liab 5-6'!N41</f>
        <v>2775000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2897228</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t="e">
        <f>'Expenditures 15-22'!#REF!</f>
        <v>#REF!</v>
      </c>
      <c r="D717" s="2" t="e">
        <f t="shared" si="10"/>
        <v>#REF!</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3849238</v>
      </c>
      <c r="C720" s="2" t="s">
        <v>594</v>
      </c>
      <c r="D720" s="2" t="str">
        <f t="shared" si="10"/>
        <v>Error?</v>
      </c>
    </row>
    <row r="721" spans="1:4" x14ac:dyDescent="0.2">
      <c r="A721" s="5">
        <v>660</v>
      </c>
      <c r="B721" s="138">
        <f>'Expenditures 15-22'!C36</f>
        <v>115057</v>
      </c>
      <c r="D721" s="2" t="str">
        <f t="shared" si="10"/>
        <v>Error?</v>
      </c>
    </row>
    <row r="722" spans="1:4" x14ac:dyDescent="0.2">
      <c r="A722" s="5">
        <v>661</v>
      </c>
      <c r="B722" s="138">
        <f>'Expenditures 15-22'!C37</f>
        <v>39441</v>
      </c>
      <c r="D722" s="2" t="str">
        <f t="shared" si="10"/>
        <v>Error?</v>
      </c>
    </row>
    <row r="723" spans="1:4" x14ac:dyDescent="0.2">
      <c r="A723" s="5">
        <v>662</v>
      </c>
      <c r="B723" s="138">
        <f>'Expenditures 15-22'!C38</f>
        <v>25599</v>
      </c>
      <c r="D723" s="2" t="str">
        <f t="shared" si="10"/>
        <v>Error?</v>
      </c>
    </row>
    <row r="724" spans="1:4" x14ac:dyDescent="0.2">
      <c r="A724" s="5">
        <v>663</v>
      </c>
      <c r="B724" s="138">
        <f>'Expenditures 15-22'!C39</f>
        <v>59491</v>
      </c>
      <c r="D724" s="2" t="str">
        <f t="shared" si="10"/>
        <v>Error?</v>
      </c>
    </row>
    <row r="725" spans="1:4" x14ac:dyDescent="0.2">
      <c r="A725" s="5">
        <v>664</v>
      </c>
      <c r="B725" s="138">
        <f>'Expenditures 15-22'!C40</f>
        <v>75285</v>
      </c>
      <c r="D725" s="2" t="str">
        <f t="shared" si="10"/>
        <v>Error?</v>
      </c>
    </row>
    <row r="726" spans="1:4" x14ac:dyDescent="0.2">
      <c r="A726" s="5">
        <v>665</v>
      </c>
      <c r="B726" s="138">
        <f>'Expenditures 15-22'!C41</f>
        <v>92555</v>
      </c>
      <c r="D726" s="2" t="str">
        <f t="shared" si="10"/>
        <v>Error?</v>
      </c>
    </row>
    <row r="727" spans="1:4" x14ac:dyDescent="0.2">
      <c r="A727" s="5">
        <v>666</v>
      </c>
      <c r="B727" s="138">
        <f>'Expenditures 15-22'!C42</f>
        <v>407428</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88129</v>
      </c>
      <c r="D729" s="2" t="str">
        <f t="shared" si="10"/>
        <v>Error?</v>
      </c>
    </row>
    <row r="730" spans="1:4" x14ac:dyDescent="0.2">
      <c r="A730" s="5">
        <v>669</v>
      </c>
      <c r="B730" s="138">
        <f>'Expenditures 15-22'!C46</f>
        <v>0</v>
      </c>
      <c r="D730" s="2" t="str">
        <f t="shared" si="10"/>
        <v>Error?</v>
      </c>
    </row>
    <row r="731" spans="1:4" x14ac:dyDescent="0.2">
      <c r="A731" s="5">
        <v>670</v>
      </c>
      <c r="B731" s="138">
        <f>'Expenditures 15-22'!C47</f>
        <v>88129</v>
      </c>
      <c r="C731" s="2" t="s">
        <v>594</v>
      </c>
      <c r="D731" s="2" t="str">
        <f t="shared" si="10"/>
        <v>Error?</v>
      </c>
    </row>
    <row r="732" spans="1:4" x14ac:dyDescent="0.2">
      <c r="A732" s="5">
        <v>671</v>
      </c>
      <c r="B732" s="138">
        <f>'Expenditures 15-22'!C49</f>
        <v>3600</v>
      </c>
      <c r="D732" s="2" t="str">
        <f t="shared" si="10"/>
        <v>Error?</v>
      </c>
    </row>
    <row r="733" spans="1:4" x14ac:dyDescent="0.2">
      <c r="A733" s="5">
        <v>672</v>
      </c>
      <c r="B733" s="138">
        <f>'Expenditures 15-22'!C50</f>
        <v>89250</v>
      </c>
      <c r="D733" s="2" t="str">
        <f t="shared" si="10"/>
        <v>Error?</v>
      </c>
    </row>
    <row r="734" spans="1:4" x14ac:dyDescent="0.2">
      <c r="A734" s="5">
        <v>673</v>
      </c>
      <c r="B734" s="138">
        <f>'Expenditures 15-22'!C53</f>
        <v>92850</v>
      </c>
      <c r="C734" s="2" t="s">
        <v>594</v>
      </c>
      <c r="D734" s="2" t="str">
        <f t="shared" si="10"/>
        <v>Error?</v>
      </c>
    </row>
    <row r="735" spans="1:4" x14ac:dyDescent="0.2">
      <c r="A735" s="5">
        <v>674</v>
      </c>
      <c r="B735" s="138">
        <f>'Expenditures 15-22'!C55</f>
        <v>281628</v>
      </c>
      <c r="D735" s="2" t="str">
        <f t="shared" si="10"/>
        <v>Error?</v>
      </c>
    </row>
    <row r="736" spans="1:4" x14ac:dyDescent="0.2">
      <c r="A736" s="5">
        <v>675</v>
      </c>
      <c r="B736" s="138">
        <f>'Expenditures 15-22'!C56</f>
        <v>0</v>
      </c>
      <c r="D736" s="2" t="str">
        <f t="shared" si="10"/>
        <v>Error?</v>
      </c>
    </row>
    <row r="737" spans="1:4" x14ac:dyDescent="0.2">
      <c r="A737" s="5">
        <v>676</v>
      </c>
      <c r="B737" s="138">
        <f>'Expenditures 15-22'!C57</f>
        <v>281628</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53628</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53628</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923663</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4772901</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822994</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t="e">
        <f>'Expenditures 15-22'!#REF!</f>
        <v>#REF!</v>
      </c>
      <c r="D775" s="2" t="e">
        <f t="shared" si="11"/>
        <v>#REF!</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1161600</v>
      </c>
      <c r="C778" s="2" t="s">
        <v>594</v>
      </c>
      <c r="D778" s="2" t="str">
        <f t="shared" si="11"/>
        <v>Error?</v>
      </c>
    </row>
    <row r="779" spans="1:4" x14ac:dyDescent="0.2">
      <c r="A779" s="5">
        <v>718</v>
      </c>
      <c r="B779" s="138">
        <f>'Expenditures 15-22'!D36</f>
        <v>30948</v>
      </c>
      <c r="D779" s="2" t="str">
        <f t="shared" si="11"/>
        <v>Error?</v>
      </c>
    </row>
    <row r="780" spans="1:4" x14ac:dyDescent="0.2">
      <c r="A780" s="5">
        <v>719</v>
      </c>
      <c r="B780" s="138">
        <f>'Expenditures 15-22'!D37</f>
        <v>13678</v>
      </c>
      <c r="D780" s="2" t="str">
        <f t="shared" si="11"/>
        <v>Error?</v>
      </c>
    </row>
    <row r="781" spans="1:4" x14ac:dyDescent="0.2">
      <c r="A781" s="5">
        <v>720</v>
      </c>
      <c r="B781" s="138">
        <f>'Expenditures 15-22'!D38</f>
        <v>4954</v>
      </c>
      <c r="D781" s="2" t="str">
        <f t="shared" si="11"/>
        <v>Error?</v>
      </c>
    </row>
    <row r="782" spans="1:4" x14ac:dyDescent="0.2">
      <c r="A782" s="5">
        <v>721</v>
      </c>
      <c r="B782" s="138">
        <f>'Expenditures 15-22'!D39</f>
        <v>16686</v>
      </c>
      <c r="D782" s="2" t="str">
        <f t="shared" si="11"/>
        <v>Error?</v>
      </c>
    </row>
    <row r="783" spans="1:4" x14ac:dyDescent="0.2">
      <c r="A783" s="5">
        <v>722</v>
      </c>
      <c r="B783" s="138">
        <f>'Expenditures 15-22'!D40</f>
        <v>19633</v>
      </c>
      <c r="D783" s="2" t="str">
        <f t="shared" si="11"/>
        <v>Error?</v>
      </c>
    </row>
    <row r="784" spans="1:4" x14ac:dyDescent="0.2">
      <c r="A784" s="5">
        <v>723</v>
      </c>
      <c r="B784" s="138">
        <f>'Expenditures 15-22'!D41</f>
        <v>25074</v>
      </c>
      <c r="D784" s="2" t="str">
        <f t="shared" si="11"/>
        <v>Error?</v>
      </c>
    </row>
    <row r="785" spans="1:4" x14ac:dyDescent="0.2">
      <c r="A785" s="5">
        <v>724</v>
      </c>
      <c r="B785" s="138">
        <f>'Expenditures 15-22'!D42</f>
        <v>110973</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39453</v>
      </c>
      <c r="D787" s="2" t="str">
        <f t="shared" si="11"/>
        <v>Error?</v>
      </c>
    </row>
    <row r="788" spans="1:4" x14ac:dyDescent="0.2">
      <c r="A788" s="5">
        <v>727</v>
      </c>
      <c r="B788" s="138">
        <f>'Expenditures 15-22'!D46</f>
        <v>0</v>
      </c>
      <c r="D788" s="2" t="str">
        <f t="shared" si="11"/>
        <v>Error?</v>
      </c>
    </row>
    <row r="789" spans="1:4" x14ac:dyDescent="0.2">
      <c r="A789" s="5">
        <v>728</v>
      </c>
      <c r="B789" s="138">
        <f>'Expenditures 15-22'!D47</f>
        <v>39453</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17335</v>
      </c>
      <c r="D791" s="2" t="str">
        <f t="shared" si="11"/>
        <v>Error?</v>
      </c>
    </row>
    <row r="792" spans="1:4" x14ac:dyDescent="0.2">
      <c r="A792" s="5">
        <v>731</v>
      </c>
      <c r="B792" s="138">
        <f>'Expenditures 15-22'!D53</f>
        <v>17335</v>
      </c>
      <c r="C792" s="2" t="s">
        <v>594</v>
      </c>
      <c r="D792" s="2" t="str">
        <f t="shared" si="11"/>
        <v>Error?</v>
      </c>
    </row>
    <row r="793" spans="1:4" x14ac:dyDescent="0.2">
      <c r="A793" s="5">
        <v>732</v>
      </c>
      <c r="B793" s="138">
        <f>'Expenditures 15-22'!D55</f>
        <v>65428</v>
      </c>
      <c r="D793" s="2" t="str">
        <f t="shared" si="11"/>
        <v>Error?</v>
      </c>
    </row>
    <row r="794" spans="1:4" x14ac:dyDescent="0.2">
      <c r="A794" s="5">
        <v>733</v>
      </c>
      <c r="B794" s="138">
        <f>'Expenditures 15-22'!D56</f>
        <v>0</v>
      </c>
      <c r="D794" s="2" t="str">
        <f t="shared" si="11"/>
        <v>Error?</v>
      </c>
    </row>
    <row r="795" spans="1:4" x14ac:dyDescent="0.2">
      <c r="A795" s="5">
        <v>734</v>
      </c>
      <c r="B795" s="138">
        <f>'Expenditures 15-22'!D57</f>
        <v>65428</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9034</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9034</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242223</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1403823</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51587</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15-22'!E14</f>
        <v>42341</v>
      </c>
      <c r="D832" s="2" t="str">
        <f t="shared" si="12"/>
        <v>Error?</v>
      </c>
    </row>
    <row r="833" spans="1:4" x14ac:dyDescent="0.2">
      <c r="A833" s="5">
        <v>772</v>
      </c>
      <c r="B833" s="138" t="e">
        <f>'Expenditures 15-22'!#REF!</f>
        <v>#REF!</v>
      </c>
      <c r="D833" s="2" t="e">
        <f t="shared" si="12"/>
        <v>#REF!</v>
      </c>
    </row>
    <row r="834" spans="1:4" x14ac:dyDescent="0.2">
      <c r="A834" s="5">
        <v>773</v>
      </c>
      <c r="B834" s="138" t="e">
        <f>'Expenditures 15-22'!#REF!</f>
        <v>#REF!</v>
      </c>
      <c r="D834" s="2" t="e">
        <f t="shared" si="12"/>
        <v>#REF!</v>
      </c>
    </row>
    <row r="835" spans="1:4" x14ac:dyDescent="0.2">
      <c r="A835" s="5">
        <v>774</v>
      </c>
      <c r="B835" s="138">
        <f>'Expenditures 15-22'!E15</f>
        <v>0</v>
      </c>
      <c r="D835" s="2" t="str">
        <f t="shared" si="12"/>
        <v>Error?</v>
      </c>
    </row>
    <row r="836" spans="1:4" x14ac:dyDescent="0.2">
      <c r="A836" s="5">
        <v>775</v>
      </c>
      <c r="B836" s="138">
        <f>'Expenditures 15-22'!E33</f>
        <v>98101</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20</v>
      </c>
      <c r="D840" s="2" t="str">
        <f t="shared" si="12"/>
        <v>Error?</v>
      </c>
    </row>
    <row r="841" spans="1:4" x14ac:dyDescent="0.2">
      <c r="A841" s="5">
        <v>780</v>
      </c>
      <c r="B841" s="138">
        <f>'Expenditures 15-22'!E40</f>
        <v>1670</v>
      </c>
      <c r="D841" s="2" t="str">
        <f t="shared" si="12"/>
        <v>Error?</v>
      </c>
    </row>
    <row r="842" spans="1:4" x14ac:dyDescent="0.2">
      <c r="A842" s="5">
        <v>781</v>
      </c>
      <c r="B842" s="138">
        <f>'Expenditures 15-22'!E41</f>
        <v>34924</v>
      </c>
      <c r="D842" s="2" t="str">
        <f t="shared" si="12"/>
        <v>Error?</v>
      </c>
    </row>
    <row r="843" spans="1:4" x14ac:dyDescent="0.2">
      <c r="A843" s="5">
        <v>782</v>
      </c>
      <c r="B843" s="138">
        <f>'Expenditures 15-22'!E42</f>
        <v>36614</v>
      </c>
      <c r="C843" s="2" t="s">
        <v>594</v>
      </c>
      <c r="D843" s="2" t="str">
        <f t="shared" si="12"/>
        <v>Error?</v>
      </c>
    </row>
    <row r="844" spans="1:4" x14ac:dyDescent="0.2">
      <c r="A844" s="5">
        <v>783</v>
      </c>
      <c r="B844" s="138">
        <f>'Expenditures 15-22'!E44</f>
        <v>0</v>
      </c>
      <c r="D844" s="2" t="str">
        <f t="shared" si="12"/>
        <v>Error?</v>
      </c>
    </row>
    <row r="845" spans="1:4" x14ac:dyDescent="0.2">
      <c r="A845" s="5">
        <v>784</v>
      </c>
      <c r="B845" s="138">
        <f>'Expenditures 15-22'!E45</f>
        <v>2864</v>
      </c>
      <c r="D845" s="2" t="str">
        <f t="shared" si="12"/>
        <v>Error?</v>
      </c>
    </row>
    <row r="846" spans="1:4" x14ac:dyDescent="0.2">
      <c r="A846" s="5">
        <v>785</v>
      </c>
      <c r="B846" s="138">
        <f>'Expenditures 15-22'!E46</f>
        <v>0</v>
      </c>
      <c r="D846" s="2" t="str">
        <f t="shared" si="12"/>
        <v>Error?</v>
      </c>
    </row>
    <row r="847" spans="1:4" x14ac:dyDescent="0.2">
      <c r="A847" s="5">
        <v>786</v>
      </c>
      <c r="B847" s="138">
        <f>'Expenditures 15-22'!E47</f>
        <v>2864</v>
      </c>
      <c r="C847" s="2" t="s">
        <v>594</v>
      </c>
      <c r="D847" s="2" t="str">
        <f t="shared" si="12"/>
        <v>Error?</v>
      </c>
    </row>
    <row r="848" spans="1:4" x14ac:dyDescent="0.2">
      <c r="A848" s="5">
        <v>787</v>
      </c>
      <c r="B848" s="138">
        <f>'Expenditures 15-22'!E49</f>
        <v>19249</v>
      </c>
      <c r="D848" s="2" t="str">
        <f t="shared" si="12"/>
        <v>Error?</v>
      </c>
    </row>
    <row r="849" spans="1:4" x14ac:dyDescent="0.2">
      <c r="A849" s="5">
        <v>788</v>
      </c>
      <c r="B849" s="138">
        <f>'Expenditures 15-22'!E50</f>
        <v>961</v>
      </c>
      <c r="D849" s="2" t="str">
        <f t="shared" si="12"/>
        <v>Error?</v>
      </c>
    </row>
    <row r="850" spans="1:4" x14ac:dyDescent="0.2">
      <c r="A850" s="5">
        <v>789</v>
      </c>
      <c r="B850" s="138">
        <f>'Expenditures 15-22'!E53</f>
        <v>20210</v>
      </c>
      <c r="C850" s="2" t="s">
        <v>594</v>
      </c>
      <c r="D850" s="2" t="str">
        <f t="shared" si="12"/>
        <v>Error?</v>
      </c>
    </row>
    <row r="851" spans="1:4" x14ac:dyDescent="0.2">
      <c r="A851" s="5">
        <v>790</v>
      </c>
      <c r="B851" s="138">
        <f>'Expenditures 15-22'!E55</f>
        <v>2318</v>
      </c>
      <c r="D851" s="2" t="str">
        <f t="shared" si="12"/>
        <v>Error?</v>
      </c>
    </row>
    <row r="852" spans="1:4" x14ac:dyDescent="0.2">
      <c r="A852" s="5">
        <v>791</v>
      </c>
      <c r="B852" s="138">
        <f>'Expenditures 15-22'!E56</f>
        <v>0</v>
      </c>
      <c r="D852" s="2" t="str">
        <f t="shared" si="12"/>
        <v>Error?</v>
      </c>
    </row>
    <row r="853" spans="1:4" x14ac:dyDescent="0.2">
      <c r="A853" s="5">
        <v>792</v>
      </c>
      <c r="B853" s="138">
        <f>'Expenditures 15-22'!E57</f>
        <v>2318</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6187</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229373</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235560</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1115</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1115</v>
      </c>
      <c r="C869" s="2" t="s">
        <v>594</v>
      </c>
      <c r="D869" s="2" t="str">
        <f t="shared" si="12"/>
        <v>Error?</v>
      </c>
    </row>
    <row r="870" spans="1:4" x14ac:dyDescent="0.2">
      <c r="A870" s="5">
        <v>809</v>
      </c>
      <c r="B870" s="138">
        <f>'Expenditures 15-22'!E73</f>
        <v>1524</v>
      </c>
      <c r="D870" s="2" t="str">
        <f t="shared" si="12"/>
        <v>Error?</v>
      </c>
    </row>
    <row r="871" spans="1:4" x14ac:dyDescent="0.2">
      <c r="A871" s="5">
        <v>810</v>
      </c>
      <c r="B871" s="138">
        <f>'Expenditures 15-22'!E74</f>
        <v>300205</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488290</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75847</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15-22'!F14</f>
        <v>36672</v>
      </c>
      <c r="D890" s="2" t="str">
        <f t="shared" si="12"/>
        <v>Error?</v>
      </c>
    </row>
    <row r="891" spans="1:4" x14ac:dyDescent="0.2">
      <c r="A891" s="5">
        <v>830</v>
      </c>
      <c r="B891" s="138" t="e">
        <f>'Expenditures 15-22'!#REF!</f>
        <v>#REF!</v>
      </c>
      <c r="D891" s="2" t="e">
        <f t="shared" si="12"/>
        <v>#REF!</v>
      </c>
    </row>
    <row r="892" spans="1:4" x14ac:dyDescent="0.2">
      <c r="A892" s="5">
        <v>831</v>
      </c>
      <c r="B892" s="138" t="e">
        <f>'Expenditures 15-22'!#REF!</f>
        <v>#REF!</v>
      </c>
      <c r="D892" s="2" t="e">
        <f t="shared" si="12"/>
        <v>#REF!</v>
      </c>
    </row>
    <row r="893" spans="1:4" x14ac:dyDescent="0.2">
      <c r="A893" s="5">
        <v>832</v>
      </c>
      <c r="B893" s="138">
        <f>'Expenditures 15-22'!F15</f>
        <v>0</v>
      </c>
      <c r="D893" s="2" t="str">
        <f t="shared" si="12"/>
        <v>Error?</v>
      </c>
    </row>
    <row r="894" spans="1:4" x14ac:dyDescent="0.2">
      <c r="A894" s="5">
        <v>833</v>
      </c>
      <c r="B894" s="138">
        <f>'Expenditures 15-22'!F33</f>
        <v>135798</v>
      </c>
      <c r="C894" s="2" t="s">
        <v>594</v>
      </c>
      <c r="D894" s="2" t="str">
        <f t="shared" si="12"/>
        <v>Error?</v>
      </c>
    </row>
    <row r="895" spans="1:4" x14ac:dyDescent="0.2">
      <c r="A895" s="5">
        <v>834</v>
      </c>
      <c r="B895" s="138">
        <f>'Expenditures 15-22'!F36</f>
        <v>68</v>
      </c>
      <c r="D895" s="2" t="str">
        <f t="shared" ref="D895:D958" si="13">IF(ISBLANK(B895),"OK",IF(A895-B895=0,"OK","Error?"))</f>
        <v>Error?</v>
      </c>
    </row>
    <row r="896" spans="1:4" x14ac:dyDescent="0.2">
      <c r="A896" s="5">
        <v>835</v>
      </c>
      <c r="B896" s="138">
        <f>'Expenditures 15-22'!F37</f>
        <v>753</v>
      </c>
      <c r="D896" s="2" t="str">
        <f t="shared" si="13"/>
        <v>Error?</v>
      </c>
    </row>
    <row r="897" spans="1:4" x14ac:dyDescent="0.2">
      <c r="A897" s="5">
        <v>836</v>
      </c>
      <c r="B897" s="138">
        <f>'Expenditures 15-22'!F38</f>
        <v>4368</v>
      </c>
      <c r="D897" s="2" t="str">
        <f t="shared" si="13"/>
        <v>Error?</v>
      </c>
    </row>
    <row r="898" spans="1:4" x14ac:dyDescent="0.2">
      <c r="A898" s="5">
        <v>837</v>
      </c>
      <c r="B898" s="138">
        <f>'Expenditures 15-22'!F39</f>
        <v>2961</v>
      </c>
      <c r="D898" s="2" t="str">
        <f t="shared" si="13"/>
        <v>Error?</v>
      </c>
    </row>
    <row r="899" spans="1:4" x14ac:dyDescent="0.2">
      <c r="A899" s="5">
        <v>838</v>
      </c>
      <c r="B899" s="138">
        <f>'Expenditures 15-22'!F40</f>
        <v>2098</v>
      </c>
      <c r="D899" s="2" t="str">
        <f t="shared" si="13"/>
        <v>Error?</v>
      </c>
    </row>
    <row r="900" spans="1:4" x14ac:dyDescent="0.2">
      <c r="A900" s="5">
        <v>839</v>
      </c>
      <c r="B900" s="138">
        <f>'Expenditures 15-22'!F41</f>
        <v>29180</v>
      </c>
      <c r="D900" s="2" t="str">
        <f t="shared" si="13"/>
        <v>Error?</v>
      </c>
    </row>
    <row r="901" spans="1:4" x14ac:dyDescent="0.2">
      <c r="A901" s="5">
        <v>840</v>
      </c>
      <c r="B901" s="138">
        <f>'Expenditures 15-22'!F42</f>
        <v>39428</v>
      </c>
      <c r="C901" s="2" t="s">
        <v>594</v>
      </c>
      <c r="D901" s="2" t="str">
        <f t="shared" si="13"/>
        <v>Error?</v>
      </c>
    </row>
    <row r="902" spans="1:4" x14ac:dyDescent="0.2">
      <c r="A902" s="5">
        <v>841</v>
      </c>
      <c r="B902" s="138">
        <f>'Expenditures 15-22'!F44</f>
        <v>1000</v>
      </c>
      <c r="D902" s="2" t="str">
        <f t="shared" si="13"/>
        <v>Error?</v>
      </c>
    </row>
    <row r="903" spans="1:4" x14ac:dyDescent="0.2">
      <c r="A903" s="5">
        <v>842</v>
      </c>
      <c r="B903" s="138">
        <f>'Expenditures 15-22'!F45</f>
        <v>8520</v>
      </c>
      <c r="D903" s="2" t="str">
        <f t="shared" si="13"/>
        <v>Error?</v>
      </c>
    </row>
    <row r="904" spans="1:4" x14ac:dyDescent="0.2">
      <c r="A904" s="5">
        <v>843</v>
      </c>
      <c r="B904" s="138">
        <f>'Expenditures 15-22'!F46</f>
        <v>6946</v>
      </c>
      <c r="D904" s="2" t="str">
        <f t="shared" si="13"/>
        <v>Error?</v>
      </c>
    </row>
    <row r="905" spans="1:4" x14ac:dyDescent="0.2">
      <c r="A905" s="5">
        <v>844</v>
      </c>
      <c r="B905" s="138">
        <f>'Expenditures 15-22'!F47</f>
        <v>16466</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368</v>
      </c>
      <c r="D907" s="2" t="str">
        <f t="shared" si="13"/>
        <v>Error?</v>
      </c>
    </row>
    <row r="908" spans="1:4" x14ac:dyDescent="0.2">
      <c r="A908" s="5">
        <v>847</v>
      </c>
      <c r="B908" s="138">
        <f>'Expenditures 15-22'!F53</f>
        <v>368</v>
      </c>
      <c r="C908" s="2" t="s">
        <v>594</v>
      </c>
      <c r="D908" s="2" t="str">
        <f t="shared" si="13"/>
        <v>Error?</v>
      </c>
    </row>
    <row r="909" spans="1:4" x14ac:dyDescent="0.2">
      <c r="A909" s="5">
        <v>848</v>
      </c>
      <c r="B909" s="138">
        <f>'Expenditures 15-22'!F55</f>
        <v>875</v>
      </c>
      <c r="D909" s="2" t="str">
        <f t="shared" si="13"/>
        <v>Error?</v>
      </c>
    </row>
    <row r="910" spans="1:4" x14ac:dyDescent="0.2">
      <c r="A910" s="5">
        <v>849</v>
      </c>
      <c r="B910" s="138">
        <f>'Expenditures 15-22'!F56</f>
        <v>0</v>
      </c>
      <c r="D910" s="2" t="str">
        <f t="shared" si="13"/>
        <v>Error?</v>
      </c>
    </row>
    <row r="911" spans="1:4" x14ac:dyDescent="0.2">
      <c r="A911" s="5">
        <v>850</v>
      </c>
      <c r="B911" s="138">
        <f>'Expenditures 15-22'!F57</f>
        <v>875</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961</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57</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1018</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58155</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193953</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1251</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15-22'!G14</f>
        <v>4278</v>
      </c>
      <c r="D948" s="2" t="str">
        <f t="shared" si="13"/>
        <v>Error?</v>
      </c>
    </row>
    <row r="949" spans="1:4" x14ac:dyDescent="0.2">
      <c r="A949" s="5">
        <v>888</v>
      </c>
      <c r="B949" s="138" t="e">
        <f>'Expenditures 15-22'!#REF!</f>
        <v>#REF!</v>
      </c>
      <c r="D949" s="2" t="e">
        <f t="shared" si="13"/>
        <v>#REF!</v>
      </c>
    </row>
    <row r="950" spans="1:4" x14ac:dyDescent="0.2">
      <c r="A950" s="5">
        <v>889</v>
      </c>
      <c r="B950" s="138" t="e">
        <f>'Expenditures 15-22'!#REF!</f>
        <v>#REF!</v>
      </c>
      <c r="D950" s="2" t="e">
        <f t="shared" si="13"/>
        <v>#REF!</v>
      </c>
    </row>
    <row r="951" spans="1:4" x14ac:dyDescent="0.2">
      <c r="A951" s="5">
        <v>890</v>
      </c>
      <c r="B951" s="138">
        <f>'Expenditures 15-22'!G15</f>
        <v>0</v>
      </c>
      <c r="D951" s="2" t="str">
        <f t="shared" si="13"/>
        <v>Error?</v>
      </c>
    </row>
    <row r="952" spans="1:4" x14ac:dyDescent="0.2">
      <c r="A952" s="5">
        <v>891</v>
      </c>
      <c r="B952" s="138">
        <f>'Expenditures 15-22'!G33</f>
        <v>54169</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4927</v>
      </c>
      <c r="D958" s="2" t="str">
        <f t="shared" si="13"/>
        <v>Error?</v>
      </c>
    </row>
    <row r="959" spans="1:4" x14ac:dyDescent="0.2">
      <c r="A959" s="5">
        <v>898</v>
      </c>
      <c r="B959" s="138">
        <f>'Expenditures 15-22'!G42</f>
        <v>4927</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2310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2310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7237</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61406</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5391</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15-22'!H14</f>
        <v>7045</v>
      </c>
      <c r="D1006" s="2" t="str">
        <f t="shared" si="14"/>
        <v>Error?</v>
      </c>
    </row>
    <row r="1007" spans="1:4" x14ac:dyDescent="0.2">
      <c r="A1007" s="5">
        <v>946</v>
      </c>
      <c r="B1007" s="138" t="e">
        <f>'Expenditures 15-22'!#REF!</f>
        <v>#REF!</v>
      </c>
      <c r="D1007" s="2" t="e">
        <f t="shared" si="14"/>
        <v>#REF!</v>
      </c>
    </row>
    <row r="1008" spans="1:4" x14ac:dyDescent="0.2">
      <c r="A1008" s="5">
        <v>947</v>
      </c>
      <c r="B1008" s="138" t="e">
        <f>'Expenditures 15-22'!#REF!</f>
        <v>#REF!</v>
      </c>
      <c r="D1008" s="2" t="e">
        <f t="shared" si="14"/>
        <v>#REF!</v>
      </c>
    </row>
    <row r="1009" spans="1:4" x14ac:dyDescent="0.2">
      <c r="A1009" s="5">
        <v>948</v>
      </c>
      <c r="B1009" s="138">
        <f>'Expenditures 15-22'!H15</f>
        <v>0</v>
      </c>
      <c r="D1009" s="2" t="str">
        <f t="shared" si="14"/>
        <v>Error?</v>
      </c>
    </row>
    <row r="1010" spans="1:4" x14ac:dyDescent="0.2">
      <c r="A1010" s="5">
        <v>949</v>
      </c>
      <c r="B1010" s="138">
        <f>'Expenditures 15-22'!H33</f>
        <v>12641</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277</v>
      </c>
      <c r="D1016" s="2" t="str">
        <f t="shared" si="14"/>
        <v>Error?</v>
      </c>
    </row>
    <row r="1017" spans="1:4" x14ac:dyDescent="0.2">
      <c r="A1017" s="5">
        <v>956</v>
      </c>
      <c r="B1017" s="138">
        <f>'Expenditures 15-22'!H42</f>
        <v>277</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7228</v>
      </c>
      <c r="D1022" s="2" t="str">
        <f t="shared" si="14"/>
        <v>Error?</v>
      </c>
    </row>
    <row r="1023" spans="1:4" x14ac:dyDescent="0.2">
      <c r="A1023" s="5">
        <v>962</v>
      </c>
      <c r="B1023" s="138">
        <f>'Expenditures 15-22'!H50</f>
        <v>1170</v>
      </c>
      <c r="D1023" s="2" t="str">
        <f t="shared" ref="D1023:D1086" si="15">IF(ISBLANK(B1023),"OK",IF(A1023-B1023=0,"OK","Error?"))</f>
        <v>Error?</v>
      </c>
    </row>
    <row r="1024" spans="1:4" x14ac:dyDescent="0.2">
      <c r="A1024" s="5">
        <v>963</v>
      </c>
      <c r="B1024" s="138">
        <f>'Expenditures 15-22'!H53</f>
        <v>8398</v>
      </c>
      <c r="C1024" s="2" t="s">
        <v>594</v>
      </c>
      <c r="D1024" s="2" t="str">
        <f t="shared" si="15"/>
        <v>Error?</v>
      </c>
    </row>
    <row r="1025" spans="1:4" x14ac:dyDescent="0.2">
      <c r="A1025" s="5">
        <v>964</v>
      </c>
      <c r="B1025" s="138">
        <f>'Expenditures 15-22'!H55</f>
        <v>369</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369</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9044</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15520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37205</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3854298</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263107</v>
      </c>
      <c r="C1105" s="2" t="s">
        <v>594</v>
      </c>
      <c r="D1105" s="2" t="str">
        <f t="shared" si="16"/>
        <v>Error?</v>
      </c>
    </row>
    <row r="1106" spans="1:4" x14ac:dyDescent="0.2">
      <c r="A1106" s="5">
        <v>1045</v>
      </c>
      <c r="B1106" s="138">
        <f>'Expenditures 15-22'!K14</f>
        <v>90336</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5311547</v>
      </c>
      <c r="C1108" s="2" t="s">
        <v>594</v>
      </c>
      <c r="D1108" s="2" t="str">
        <f t="shared" si="16"/>
        <v>Error?</v>
      </c>
    </row>
    <row r="1109" spans="1:4" x14ac:dyDescent="0.2">
      <c r="A1109" s="5">
        <v>1048</v>
      </c>
      <c r="B1109" s="138">
        <f>'Expenditures 15-22'!K36</f>
        <v>146073</v>
      </c>
      <c r="C1109" s="2" t="s">
        <v>594</v>
      </c>
      <c r="D1109" s="2" t="str">
        <f t="shared" si="16"/>
        <v>Error?</v>
      </c>
    </row>
    <row r="1110" spans="1:4" x14ac:dyDescent="0.2">
      <c r="A1110" s="5">
        <v>1049</v>
      </c>
      <c r="B1110" s="138">
        <f>'Expenditures 15-22'!K37</f>
        <v>53872</v>
      </c>
      <c r="C1110" s="2" t="s">
        <v>594</v>
      </c>
      <c r="D1110" s="2" t="str">
        <f t="shared" si="16"/>
        <v>Error?</v>
      </c>
    </row>
    <row r="1111" spans="1:4" x14ac:dyDescent="0.2">
      <c r="A1111" s="5">
        <v>1050</v>
      </c>
      <c r="B1111" s="138">
        <f>'Expenditures 15-22'!K38</f>
        <v>34921</v>
      </c>
      <c r="C1111" s="2" t="s">
        <v>594</v>
      </c>
      <c r="D1111" s="2" t="str">
        <f t="shared" si="16"/>
        <v>Error?</v>
      </c>
    </row>
    <row r="1112" spans="1:4" x14ac:dyDescent="0.2">
      <c r="A1112" s="5">
        <v>1051</v>
      </c>
      <c r="B1112" s="138">
        <f>'Expenditures 15-22'!K39</f>
        <v>79158</v>
      </c>
      <c r="C1112" s="2" t="s">
        <v>594</v>
      </c>
      <c r="D1112" s="2" t="str">
        <f t="shared" si="16"/>
        <v>Error?</v>
      </c>
    </row>
    <row r="1113" spans="1:4" x14ac:dyDescent="0.2">
      <c r="A1113" s="5">
        <v>1052</v>
      </c>
      <c r="B1113" s="138">
        <f>'Expenditures 15-22'!K40</f>
        <v>98686</v>
      </c>
      <c r="C1113" s="2" t="s">
        <v>594</v>
      </c>
      <c r="D1113" s="2" t="str">
        <f t="shared" si="16"/>
        <v>Error?</v>
      </c>
    </row>
    <row r="1114" spans="1:4" x14ac:dyDescent="0.2">
      <c r="A1114" s="5">
        <v>1053</v>
      </c>
      <c r="B1114" s="138">
        <f>'Expenditures 15-22'!K41</f>
        <v>186937</v>
      </c>
      <c r="C1114" s="2" t="s">
        <v>594</v>
      </c>
      <c r="D1114" s="2" t="str">
        <f t="shared" si="16"/>
        <v>Error?</v>
      </c>
    </row>
    <row r="1115" spans="1:4" x14ac:dyDescent="0.2">
      <c r="A1115" s="5">
        <v>1054</v>
      </c>
      <c r="B1115" s="138">
        <f>'Expenditures 15-22'!K42</f>
        <v>599647</v>
      </c>
      <c r="C1115" s="2" t="s">
        <v>594</v>
      </c>
      <c r="D1115" s="2" t="str">
        <f t="shared" si="16"/>
        <v>Error?</v>
      </c>
    </row>
    <row r="1116" spans="1:4" x14ac:dyDescent="0.2">
      <c r="A1116" s="5">
        <v>1055</v>
      </c>
      <c r="B1116" s="138">
        <f>'Expenditures 15-22'!K44</f>
        <v>1000</v>
      </c>
      <c r="C1116" s="2" t="s">
        <v>594</v>
      </c>
      <c r="D1116" s="2" t="str">
        <f t="shared" si="16"/>
        <v>Error?</v>
      </c>
    </row>
    <row r="1117" spans="1:4" x14ac:dyDescent="0.2">
      <c r="A1117" s="5">
        <v>1056</v>
      </c>
      <c r="B1117" s="138">
        <f>'Expenditures 15-22'!K45</f>
        <v>138966</v>
      </c>
      <c r="C1117" s="2" t="s">
        <v>594</v>
      </c>
      <c r="D1117" s="2" t="str">
        <f t="shared" si="16"/>
        <v>Error?</v>
      </c>
    </row>
    <row r="1118" spans="1:4" x14ac:dyDescent="0.2">
      <c r="A1118" s="5">
        <v>1057</v>
      </c>
      <c r="B1118" s="138">
        <f>'Expenditures 15-22'!K46</f>
        <v>6946</v>
      </c>
      <c r="C1118" s="2" t="s">
        <v>594</v>
      </c>
      <c r="D1118" s="2" t="str">
        <f t="shared" si="16"/>
        <v>Error?</v>
      </c>
    </row>
    <row r="1119" spans="1:4" x14ac:dyDescent="0.2">
      <c r="A1119" s="5">
        <v>1058</v>
      </c>
      <c r="B1119" s="138">
        <f>'Expenditures 15-22'!K47</f>
        <v>146912</v>
      </c>
      <c r="C1119" s="2" t="s">
        <v>594</v>
      </c>
      <c r="D1119" s="2" t="str">
        <f t="shared" si="16"/>
        <v>Error?</v>
      </c>
    </row>
    <row r="1120" spans="1:4" x14ac:dyDescent="0.2">
      <c r="A1120" s="5">
        <v>1059</v>
      </c>
      <c r="B1120" s="138">
        <f>'Expenditures 15-22'!K49</f>
        <v>30077</v>
      </c>
      <c r="C1120" s="2" t="s">
        <v>594</v>
      </c>
      <c r="D1120" s="2" t="str">
        <f t="shared" si="16"/>
        <v>Error?</v>
      </c>
    </row>
    <row r="1121" spans="1:4" x14ac:dyDescent="0.2">
      <c r="A1121" s="5">
        <v>1060</v>
      </c>
      <c r="B1121" s="138">
        <f>'Expenditures 15-22'!K50</f>
        <v>109084</v>
      </c>
      <c r="C1121" s="2" t="s">
        <v>594</v>
      </c>
      <c r="D1121" s="2" t="str">
        <f t="shared" si="16"/>
        <v>Error?</v>
      </c>
    </row>
    <row r="1122" spans="1:4" x14ac:dyDescent="0.2">
      <c r="A1122" s="5">
        <v>1061</v>
      </c>
      <c r="B1122" s="138">
        <f>'Expenditures 15-22'!K53</f>
        <v>139161</v>
      </c>
      <c r="C1122" s="2" t="s">
        <v>594</v>
      </c>
      <c r="D1122" s="2" t="str">
        <f t="shared" si="16"/>
        <v>Error?</v>
      </c>
    </row>
    <row r="1123" spans="1:4" x14ac:dyDescent="0.2">
      <c r="A1123" s="5">
        <v>1062</v>
      </c>
      <c r="B1123" s="138">
        <f>'Expenditures 15-22'!K55</f>
        <v>350618</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350618</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69810</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231740</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301550</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1115</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1115</v>
      </c>
      <c r="C1141" s="2" t="s">
        <v>594</v>
      </c>
      <c r="D1141" s="2" t="str">
        <f t="shared" si="16"/>
        <v>Error?</v>
      </c>
    </row>
    <row r="1142" spans="1:4" x14ac:dyDescent="0.2">
      <c r="A1142" s="5">
        <v>1081</v>
      </c>
      <c r="B1142" s="138">
        <f>'Expenditures 15-22'!K73</f>
        <v>1524</v>
      </c>
      <c r="C1142" s="2" t="s">
        <v>594</v>
      </c>
      <c r="D1142" s="2" t="str">
        <f t="shared" si="16"/>
        <v>Error?</v>
      </c>
    </row>
    <row r="1143" spans="1:4" x14ac:dyDescent="0.2">
      <c r="A1143" s="5">
        <v>1082</v>
      </c>
      <c r="B1143" s="138">
        <f>'Expenditures 15-22'!K74</f>
        <v>1540527</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105504</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6957578</v>
      </c>
      <c r="C1152" s="2" t="s">
        <v>594</v>
      </c>
      <c r="D1152" s="2" t="str">
        <f t="shared" si="17"/>
        <v>Error?</v>
      </c>
    </row>
    <row r="1153" spans="1:4" x14ac:dyDescent="0.2">
      <c r="A1153" s="5">
        <v>1092</v>
      </c>
      <c r="B1153" s="138">
        <f>'Expenditures 15-22'!K115</f>
        <v>78995</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205423</v>
      </c>
      <c r="D1221" s="2" t="str">
        <f t="shared" si="18"/>
        <v>Error?</v>
      </c>
    </row>
    <row r="1222" spans="1:4" x14ac:dyDescent="0.2">
      <c r="A1222" s="10">
        <v>1161</v>
      </c>
      <c r="D1222" s="2" t="str">
        <f t="shared" si="18"/>
        <v>OK</v>
      </c>
    </row>
    <row r="1223" spans="1:4" x14ac:dyDescent="0.2">
      <c r="A1223" s="5">
        <v>1162</v>
      </c>
      <c r="B1223" s="138">
        <f>'Expenditures 15-22'!C127</f>
        <v>205423</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205423</v>
      </c>
      <c r="C1225" s="2" t="s">
        <v>594</v>
      </c>
      <c r="D1225" s="2" t="str">
        <f t="shared" si="18"/>
        <v>Error?</v>
      </c>
    </row>
    <row r="1226" spans="1:4" x14ac:dyDescent="0.2">
      <c r="A1226" s="5">
        <v>1165</v>
      </c>
      <c r="B1226" s="138">
        <f>'Expenditures 15-22'!C151</f>
        <v>205423</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43565</v>
      </c>
      <c r="D1229" s="2" t="str">
        <f t="shared" si="18"/>
        <v>Error?</v>
      </c>
    </row>
    <row r="1230" spans="1:4" x14ac:dyDescent="0.2">
      <c r="A1230" s="10">
        <v>1169</v>
      </c>
      <c r="D1230" s="2" t="str">
        <f t="shared" si="18"/>
        <v>OK</v>
      </c>
    </row>
    <row r="1231" spans="1:4" x14ac:dyDescent="0.2">
      <c r="A1231" s="5">
        <v>1170</v>
      </c>
      <c r="B1231" s="138">
        <f>'Expenditures 15-22'!D127</f>
        <v>43565</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43565</v>
      </c>
      <c r="C1233" s="2" t="s">
        <v>594</v>
      </c>
      <c r="D1233" s="2" t="str">
        <f t="shared" si="18"/>
        <v>Error?</v>
      </c>
    </row>
    <row r="1234" spans="1:4" x14ac:dyDescent="0.2">
      <c r="A1234" s="5">
        <v>1173</v>
      </c>
      <c r="B1234" s="138">
        <f>'Expenditures 15-22'!D151</f>
        <v>43565</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348019</v>
      </c>
      <c r="D1237" s="2" t="str">
        <f t="shared" si="18"/>
        <v>Error?</v>
      </c>
    </row>
    <row r="1238" spans="1:4" x14ac:dyDescent="0.2">
      <c r="A1238" s="10">
        <v>1177</v>
      </c>
      <c r="D1238" s="2" t="str">
        <f t="shared" si="18"/>
        <v>OK</v>
      </c>
    </row>
    <row r="1239" spans="1:4" x14ac:dyDescent="0.2">
      <c r="A1239" s="5">
        <v>1178</v>
      </c>
      <c r="B1239" s="138">
        <f>'Expenditures 15-22'!E127</f>
        <v>348019</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348019</v>
      </c>
      <c r="C1241" s="2" t="s">
        <v>594</v>
      </c>
      <c r="D1241" s="2" t="str">
        <f t="shared" si="18"/>
        <v>Error?</v>
      </c>
    </row>
    <row r="1242" spans="1:4" x14ac:dyDescent="0.2">
      <c r="A1242" s="5">
        <v>1181</v>
      </c>
      <c r="B1242" s="138">
        <f>'Expenditures 15-22'!E151</f>
        <v>348019</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55511</v>
      </c>
      <c r="D1245" s="2" t="str">
        <f t="shared" si="18"/>
        <v>Error?</v>
      </c>
    </row>
    <row r="1246" spans="1:4" x14ac:dyDescent="0.2">
      <c r="A1246" s="10">
        <v>1185</v>
      </c>
      <c r="D1246" s="2" t="str">
        <f t="shared" si="18"/>
        <v>OK</v>
      </c>
    </row>
    <row r="1247" spans="1:4" x14ac:dyDescent="0.2">
      <c r="A1247" s="5">
        <v>1186</v>
      </c>
      <c r="B1247" s="138">
        <f>'Expenditures 15-22'!F127</f>
        <v>55511</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55511</v>
      </c>
      <c r="C1249" s="2" t="s">
        <v>594</v>
      </c>
      <c r="D1249" s="2" t="str">
        <f t="shared" si="18"/>
        <v>Error?</v>
      </c>
    </row>
    <row r="1250" spans="1:4" x14ac:dyDescent="0.2">
      <c r="A1250" s="5">
        <v>1189</v>
      </c>
      <c r="B1250" s="138">
        <f>'Expenditures 15-22'!F151</f>
        <v>55511</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3532</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3532</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3532</v>
      </c>
      <c r="C1258" s="2" t="s">
        <v>594</v>
      </c>
      <c r="D1258" s="2" t="str">
        <f t="shared" si="18"/>
        <v>Error?</v>
      </c>
    </row>
    <row r="1259" spans="1:4" x14ac:dyDescent="0.2">
      <c r="A1259" s="5">
        <v>1198</v>
      </c>
      <c r="B1259" s="138">
        <f>'Expenditures 15-22'!G151</f>
        <v>3532</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656050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656050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656050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656050</v>
      </c>
      <c r="C1288" s="2" t="s">
        <v>594</v>
      </c>
      <c r="D1288" s="2" t="str">
        <f t="shared" si="19"/>
        <v>Error?</v>
      </c>
    </row>
    <row r="1289" spans="1:4" x14ac:dyDescent="0.2">
      <c r="A1289" s="5">
        <v>1228</v>
      </c>
      <c r="B1289" s="138">
        <f>'Expenditures 15-22'!K152</f>
        <v>3123</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115119</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790000</v>
      </c>
      <c r="D1315" s="2" t="str">
        <f t="shared" si="19"/>
        <v>Error?</v>
      </c>
    </row>
    <row r="1316" spans="1:4" x14ac:dyDescent="0.2">
      <c r="A1316" s="5">
        <v>1255</v>
      </c>
      <c r="B1316" s="138">
        <f>'Expenditures 15-22'!H171</f>
        <v>1500</v>
      </c>
      <c r="D1316" s="2" t="str">
        <f t="shared" si="19"/>
        <v>Error?</v>
      </c>
    </row>
    <row r="1317" spans="1:4" x14ac:dyDescent="0.2">
      <c r="A1317" s="5">
        <v>1256</v>
      </c>
      <c r="B1317" s="138">
        <f>'Expenditures 15-22'!H172</f>
        <v>906619</v>
      </c>
      <c r="C1317" s="2" t="s">
        <v>594</v>
      </c>
      <c r="D1317" s="2" t="str">
        <f t="shared" si="19"/>
        <v>Error?</v>
      </c>
    </row>
    <row r="1318" spans="1:4" x14ac:dyDescent="0.2">
      <c r="A1318" s="5">
        <v>1257</v>
      </c>
      <c r="B1318" s="138">
        <f>'Expenditures 15-22'!H174</f>
        <v>906619</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115119</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790000</v>
      </c>
      <c r="C1329" s="2" t="s">
        <v>594</v>
      </c>
      <c r="D1329" s="2" t="str">
        <f t="shared" si="19"/>
        <v>Error?</v>
      </c>
    </row>
    <row r="1330" spans="1:4" x14ac:dyDescent="0.2">
      <c r="A1330" s="5">
        <v>1269</v>
      </c>
      <c r="B1330" s="138">
        <f>'Expenditures 15-22'!K171</f>
        <v>1500</v>
      </c>
      <c r="C1330" s="2" t="s">
        <v>594</v>
      </c>
      <c r="D1330" s="2" t="str">
        <f t="shared" si="19"/>
        <v>Error?</v>
      </c>
    </row>
    <row r="1331" spans="1:4" x14ac:dyDescent="0.2">
      <c r="A1331" s="5">
        <v>1270</v>
      </c>
      <c r="B1331" s="138">
        <f>'Expenditures 15-22'!K172</f>
        <v>906619</v>
      </c>
      <c r="C1331" s="2" t="s">
        <v>594</v>
      </c>
      <c r="D1331" s="2" t="str">
        <f t="shared" si="19"/>
        <v>Error?</v>
      </c>
    </row>
    <row r="1332" spans="1:4" x14ac:dyDescent="0.2">
      <c r="A1332" s="5">
        <v>1271</v>
      </c>
      <c r="B1332" s="138">
        <f>'Expenditures 15-22'!K174</f>
        <v>906619</v>
      </c>
      <c r="C1332" s="2" t="s">
        <v>594</v>
      </c>
      <c r="D1332" s="2" t="str">
        <f t="shared" si="19"/>
        <v>Error?</v>
      </c>
    </row>
    <row r="1333" spans="1:4" x14ac:dyDescent="0.2">
      <c r="A1333" s="5">
        <v>1272</v>
      </c>
      <c r="B1333" s="138">
        <f>'Expenditures 15-22'!K175</f>
        <v>566</v>
      </c>
      <c r="C1333" s="2" t="s">
        <v>594</v>
      </c>
      <c r="D1333" s="2" t="str">
        <f t="shared" si="19"/>
        <v>Error?</v>
      </c>
    </row>
    <row r="1334" spans="1:4" x14ac:dyDescent="0.2">
      <c r="A1334" s="10">
        <v>1273</v>
      </c>
      <c r="D1334" s="2" t="str">
        <f t="shared" si="19"/>
        <v>OK</v>
      </c>
    </row>
    <row r="1335" spans="1:4" x14ac:dyDescent="0.2">
      <c r="A1335" s="5">
        <v>1274</v>
      </c>
      <c r="B1335" s="138">
        <f>'Expenditures 15-22'!C182</f>
        <v>10000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10000</v>
      </c>
      <c r="C1339" s="2" t="s">
        <v>594</v>
      </c>
      <c r="D1339" s="2" t="str">
        <f t="shared" si="19"/>
        <v>Error?</v>
      </c>
    </row>
    <row r="1340" spans="1:4" x14ac:dyDescent="0.2">
      <c r="A1340" s="5">
        <v>1279</v>
      </c>
      <c r="B1340" s="138">
        <f>'Expenditures 15-22'!C210</f>
        <v>10000</v>
      </c>
      <c r="C1340" s="2" t="s">
        <v>594</v>
      </c>
      <c r="D1340" s="2" t="str">
        <f t="shared" si="19"/>
        <v>Error?</v>
      </c>
    </row>
    <row r="1341" spans="1:4" x14ac:dyDescent="0.2">
      <c r="A1341" s="5">
        <v>1280</v>
      </c>
      <c r="B1341" s="138">
        <f>'Expenditures 15-22'!D182</f>
        <v>1278</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1278</v>
      </c>
      <c r="C1345" s="2" t="s">
        <v>594</v>
      </c>
      <c r="D1345" s="2" t="str">
        <f t="shared" si="20"/>
        <v>Error?</v>
      </c>
    </row>
    <row r="1346" spans="1:4" x14ac:dyDescent="0.2">
      <c r="A1346" s="5">
        <v>1285</v>
      </c>
      <c r="B1346" s="138">
        <f>'Expenditures 15-22'!D210</f>
        <v>1278</v>
      </c>
      <c r="C1346" s="2" t="s">
        <v>594</v>
      </c>
      <c r="D1346" s="2" t="str">
        <f t="shared" si="20"/>
        <v>Error?</v>
      </c>
    </row>
    <row r="1347" spans="1:4" x14ac:dyDescent="0.2">
      <c r="A1347" s="5">
        <v>1286</v>
      </c>
      <c r="B1347" s="138">
        <f>'Expenditures 15-22'!E182</f>
        <v>566399</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566399</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566399</v>
      </c>
      <c r="C1353" s="2" t="s">
        <v>594</v>
      </c>
      <c r="D1353" s="2" t="str">
        <f t="shared" si="20"/>
        <v>Error?</v>
      </c>
    </row>
    <row r="1354" spans="1:4" x14ac:dyDescent="0.2">
      <c r="A1354" s="5">
        <v>1293</v>
      </c>
      <c r="B1354" s="138">
        <f>'Expenditures 15-22'!F182</f>
        <v>52975</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52975</v>
      </c>
      <c r="C1358" s="2" t="s">
        <v>594</v>
      </c>
      <c r="D1358" s="2" t="str">
        <f t="shared" si="20"/>
        <v>Error?</v>
      </c>
    </row>
    <row r="1359" spans="1:4" x14ac:dyDescent="0.2">
      <c r="A1359" s="5">
        <v>1298</v>
      </c>
      <c r="B1359" s="138">
        <f>'Expenditures 15-22'!F210</f>
        <v>52975</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630652</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630652</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630652</v>
      </c>
      <c r="C1388" s="2" t="s">
        <v>594</v>
      </c>
      <c r="D1388" s="2" t="str">
        <f t="shared" si="20"/>
        <v>Error?</v>
      </c>
    </row>
    <row r="1389" spans="1:4" x14ac:dyDescent="0.2">
      <c r="A1389" s="5">
        <v>1328</v>
      </c>
      <c r="B1389" s="138">
        <f>'Expenditures 15-22'!K211</f>
        <v>110030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2836</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97690</v>
      </c>
      <c r="C1410" s="2" t="s">
        <v>594</v>
      </c>
      <c r="D1410" s="2" t="str">
        <f t="shared" si="21"/>
        <v>Error?</v>
      </c>
    </row>
    <row r="1411" spans="1:4" x14ac:dyDescent="0.2">
      <c r="A1411" s="5">
        <v>1350</v>
      </c>
      <c r="B1411" s="138">
        <f>'Expenditures 15-22'!D232</f>
        <v>1664</v>
      </c>
      <c r="D1411" s="2" t="str">
        <f t="shared" si="21"/>
        <v>Error?</v>
      </c>
    </row>
    <row r="1412" spans="1:4" x14ac:dyDescent="0.2">
      <c r="A1412" s="5">
        <v>1351</v>
      </c>
      <c r="B1412" s="138">
        <f>'Expenditures 15-22'!D233</f>
        <v>572</v>
      </c>
      <c r="D1412" s="2" t="str">
        <f t="shared" si="21"/>
        <v>Error?</v>
      </c>
    </row>
    <row r="1413" spans="1:4" x14ac:dyDescent="0.2">
      <c r="A1413" s="5">
        <v>1352</v>
      </c>
      <c r="B1413" s="138">
        <f>'Expenditures 15-22'!D234</f>
        <v>3879</v>
      </c>
      <c r="D1413" s="2" t="str">
        <f t="shared" si="21"/>
        <v>Error?</v>
      </c>
    </row>
    <row r="1414" spans="1:4" x14ac:dyDescent="0.2">
      <c r="A1414" s="5">
        <v>1353</v>
      </c>
      <c r="B1414" s="138">
        <f>'Expenditures 15-22'!D235</f>
        <v>861</v>
      </c>
      <c r="D1414" s="2" t="str">
        <f t="shared" si="21"/>
        <v>Error?</v>
      </c>
    </row>
    <row r="1415" spans="1:4" x14ac:dyDescent="0.2">
      <c r="A1415" s="5">
        <v>1354</v>
      </c>
      <c r="B1415" s="138">
        <f>'Expenditures 15-22'!D236</f>
        <v>1090</v>
      </c>
      <c r="D1415" s="2" t="str">
        <f t="shared" si="21"/>
        <v>Error?</v>
      </c>
    </row>
    <row r="1416" spans="1:4" x14ac:dyDescent="0.2">
      <c r="A1416" s="5">
        <v>1355</v>
      </c>
      <c r="B1416" s="138">
        <f>'Expenditures 15-22'!D237</f>
        <v>6299</v>
      </c>
      <c r="D1416" s="2" t="str">
        <f t="shared" si="21"/>
        <v>Error?</v>
      </c>
    </row>
    <row r="1417" spans="1:4" x14ac:dyDescent="0.2">
      <c r="A1417" s="5">
        <v>1356</v>
      </c>
      <c r="B1417" s="138">
        <f>'Expenditures 15-22'!D238</f>
        <v>14365</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8367</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8367</v>
      </c>
      <c r="C1421" s="2" t="s">
        <v>594</v>
      </c>
      <c r="D1421" s="2" t="str">
        <f t="shared" si="21"/>
        <v>Error?</v>
      </c>
    </row>
    <row r="1422" spans="1:4" x14ac:dyDescent="0.2">
      <c r="A1422" s="5">
        <v>1361</v>
      </c>
      <c r="B1422" s="138">
        <f>'Expenditures 15-22'!D245</f>
        <v>275</v>
      </c>
      <c r="D1422" s="2" t="str">
        <f t="shared" si="21"/>
        <v>Error?</v>
      </c>
    </row>
    <row r="1423" spans="1:4" x14ac:dyDescent="0.2">
      <c r="A1423" s="5">
        <v>1362</v>
      </c>
      <c r="B1423" s="138">
        <f>'Expenditures 15-22'!D246</f>
        <v>1271</v>
      </c>
      <c r="D1423" s="2" t="str">
        <f t="shared" si="21"/>
        <v>Error?</v>
      </c>
    </row>
    <row r="1424" spans="1:4" x14ac:dyDescent="0.2">
      <c r="A1424" s="5">
        <v>1363</v>
      </c>
      <c r="B1424" s="138">
        <f>'Expenditures 15-22'!D257</f>
        <v>15753</v>
      </c>
      <c r="C1424" s="2" t="s">
        <v>594</v>
      </c>
      <c r="D1424" s="2" t="str">
        <f t="shared" si="21"/>
        <v>Error?</v>
      </c>
    </row>
    <row r="1425" spans="1:4" x14ac:dyDescent="0.2">
      <c r="A1425" s="5">
        <v>1364</v>
      </c>
      <c r="B1425" s="138">
        <f>'Expenditures 15-22'!D259</f>
        <v>17684</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17684</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8818</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31225</v>
      </c>
      <c r="D1431" s="2" t="str">
        <f t="shared" si="21"/>
        <v>Error?</v>
      </c>
    </row>
    <row r="1432" spans="1:4" x14ac:dyDescent="0.2">
      <c r="A1432" s="5">
        <v>1371</v>
      </c>
      <c r="B1432" s="138">
        <f>'Expenditures 15-22'!D267</f>
        <v>145</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40188</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96357</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194047</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2836</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97690</v>
      </c>
      <c r="C1474" s="2" t="s">
        <v>594</v>
      </c>
      <c r="D1474" s="2" t="str">
        <f t="shared" si="22"/>
        <v>Error?</v>
      </c>
    </row>
    <row r="1475" spans="1:4" x14ac:dyDescent="0.2">
      <c r="A1475" s="5">
        <v>1414</v>
      </c>
      <c r="B1475" s="138">
        <f>'Expenditures 15-22'!K232</f>
        <v>1664</v>
      </c>
      <c r="C1475" s="2" t="s">
        <v>594</v>
      </c>
      <c r="D1475" s="2" t="str">
        <f t="shared" si="22"/>
        <v>Error?</v>
      </c>
    </row>
    <row r="1476" spans="1:4" x14ac:dyDescent="0.2">
      <c r="A1476" s="5">
        <v>1415</v>
      </c>
      <c r="B1476" s="138">
        <f>'Expenditures 15-22'!K233</f>
        <v>572</v>
      </c>
      <c r="C1476" s="2" t="s">
        <v>594</v>
      </c>
      <c r="D1476" s="2" t="str">
        <f t="shared" si="22"/>
        <v>Error?</v>
      </c>
    </row>
    <row r="1477" spans="1:4" x14ac:dyDescent="0.2">
      <c r="A1477" s="5">
        <v>1416</v>
      </c>
      <c r="B1477" s="138">
        <f>'Expenditures 15-22'!K234</f>
        <v>3879</v>
      </c>
      <c r="C1477" s="2" t="s">
        <v>594</v>
      </c>
      <c r="D1477" s="2" t="str">
        <f t="shared" si="22"/>
        <v>Error?</v>
      </c>
    </row>
    <row r="1478" spans="1:4" x14ac:dyDescent="0.2">
      <c r="A1478" s="5">
        <v>1417</v>
      </c>
      <c r="B1478" s="138">
        <f>'Expenditures 15-22'!K235</f>
        <v>861</v>
      </c>
      <c r="C1478" s="2" t="s">
        <v>594</v>
      </c>
      <c r="D1478" s="2" t="str">
        <f t="shared" si="22"/>
        <v>Error?</v>
      </c>
    </row>
    <row r="1479" spans="1:4" x14ac:dyDescent="0.2">
      <c r="A1479" s="5">
        <v>1418</v>
      </c>
      <c r="B1479" s="138">
        <f>'Expenditures 15-22'!K236</f>
        <v>1090</v>
      </c>
      <c r="C1479" s="2" t="s">
        <v>594</v>
      </c>
      <c r="D1479" s="2" t="str">
        <f t="shared" si="22"/>
        <v>Error?</v>
      </c>
    </row>
    <row r="1480" spans="1:4" x14ac:dyDescent="0.2">
      <c r="A1480" s="5">
        <v>1419</v>
      </c>
      <c r="B1480" s="138">
        <f>'Expenditures 15-22'!K237</f>
        <v>6299</v>
      </c>
      <c r="C1480" s="2" t="s">
        <v>594</v>
      </c>
      <c r="D1480" s="2" t="str">
        <f t="shared" si="22"/>
        <v>Error?</v>
      </c>
    </row>
    <row r="1481" spans="1:4" x14ac:dyDescent="0.2">
      <c r="A1481" s="5">
        <v>1420</v>
      </c>
      <c r="B1481" s="138">
        <f>'Expenditures 15-22'!K238</f>
        <v>14365</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8367</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8367</v>
      </c>
      <c r="C1485" s="2" t="s">
        <v>594</v>
      </c>
      <c r="D1485" s="2" t="str">
        <f t="shared" si="22"/>
        <v>Error?</v>
      </c>
    </row>
    <row r="1486" spans="1:4" x14ac:dyDescent="0.2">
      <c r="A1486" s="5">
        <v>1425</v>
      </c>
      <c r="B1486" s="138">
        <f>'Expenditures 15-22'!K245</f>
        <v>275</v>
      </c>
      <c r="C1486" s="2" t="s">
        <v>594</v>
      </c>
      <c r="D1486" s="2" t="str">
        <f t="shared" si="22"/>
        <v>Error?</v>
      </c>
    </row>
    <row r="1487" spans="1:4" x14ac:dyDescent="0.2">
      <c r="A1487" s="5">
        <v>1426</v>
      </c>
      <c r="B1487" s="138">
        <f>'Expenditures 15-22'!K246</f>
        <v>1271</v>
      </c>
      <c r="C1487" s="2" t="s">
        <v>594</v>
      </c>
      <c r="D1487" s="2" t="str">
        <f t="shared" si="22"/>
        <v>Error?</v>
      </c>
    </row>
    <row r="1488" spans="1:4" x14ac:dyDescent="0.2">
      <c r="A1488" s="5">
        <v>1427</v>
      </c>
      <c r="B1488" s="138">
        <f>'Expenditures 15-22'!K257</f>
        <v>15753</v>
      </c>
      <c r="C1488" s="2" t="s">
        <v>594</v>
      </c>
      <c r="D1488" s="2" t="str">
        <f t="shared" si="22"/>
        <v>Error?</v>
      </c>
    </row>
    <row r="1489" spans="1:4" x14ac:dyDescent="0.2">
      <c r="A1489" s="5">
        <v>1428</v>
      </c>
      <c r="B1489" s="138">
        <f>'Expenditures 15-22'!K259</f>
        <v>17684</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17684</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8818</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31225</v>
      </c>
      <c r="C1495" s="2" t="s">
        <v>594</v>
      </c>
      <c r="D1495" s="2" t="str">
        <f t="shared" si="22"/>
        <v>Error?</v>
      </c>
    </row>
    <row r="1496" spans="1:4" x14ac:dyDescent="0.2">
      <c r="A1496" s="5">
        <v>1435</v>
      </c>
      <c r="B1496" s="138">
        <f>'Expenditures 15-22'!K267</f>
        <v>145</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40188</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96357</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194047</v>
      </c>
      <c r="C1517" s="2" t="s">
        <v>594</v>
      </c>
      <c r="D1517" s="2" t="str">
        <f t="shared" si="22"/>
        <v>Error?</v>
      </c>
    </row>
    <row r="1518" spans="1:4" x14ac:dyDescent="0.2">
      <c r="A1518" s="5">
        <v>1457</v>
      </c>
      <c r="B1518" s="138">
        <f>'Expenditures 15-22'!K296</f>
        <v>-3224</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90460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90460</v>
      </c>
      <c r="C1535" s="2" t="s">
        <v>594</v>
      </c>
      <c r="D1535" s="2" t="str">
        <f t="shared" ref="D1535:D1598" si="23">IF(ISBLANK(B1535),"OK",IF(A1535-B1535=0,"OK","Error?"))</f>
        <v>Error?</v>
      </c>
    </row>
    <row r="1536" spans="1:4" x14ac:dyDescent="0.2">
      <c r="A1536" s="5">
        <v>1475</v>
      </c>
      <c r="B1536" s="138">
        <f>'Expenditures 15-22'!E312</f>
        <v>90460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500250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500250</v>
      </c>
      <c r="C1547" s="2" t="s">
        <v>594</v>
      </c>
      <c r="D1547" s="2" t="str">
        <f t="shared" si="23"/>
        <v>Error?</v>
      </c>
    </row>
    <row r="1548" spans="1:4" x14ac:dyDescent="0.2">
      <c r="A1548" s="5">
        <v>1487</v>
      </c>
      <c r="B1548" s="138">
        <f>'Expenditures 15-22'!G312</f>
        <v>500250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590710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590710</v>
      </c>
      <c r="C1559" s="2" t="s">
        <v>594</v>
      </c>
      <c r="D1559" s="2" t="str">
        <f t="shared" si="23"/>
        <v>Error?</v>
      </c>
    </row>
    <row r="1560" spans="1:4" x14ac:dyDescent="0.2">
      <c r="A1560" s="5">
        <v>1499</v>
      </c>
      <c r="B1560" s="138">
        <f>'Expenditures 15-22'!K312</f>
        <v>590710</v>
      </c>
      <c r="C1560" s="2" t="s">
        <v>594</v>
      </c>
      <c r="D1560" s="2" t="str">
        <f t="shared" si="23"/>
        <v>Error?</v>
      </c>
    </row>
    <row r="1561" spans="1:4" x14ac:dyDescent="0.2">
      <c r="A1561" s="5">
        <v>1500</v>
      </c>
      <c r="B1561" s="138">
        <f>'Expenditures 15-22'!K313</f>
        <v>75267</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2192008</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2271003</v>
      </c>
      <c r="C1630" s="2" t="s">
        <v>594</v>
      </c>
      <c r="D1630" s="2" t="str">
        <f t="shared" si="24"/>
        <v>Error?</v>
      </c>
    </row>
    <row r="1631" spans="1:4" x14ac:dyDescent="0.2">
      <c r="A1631" s="5">
        <v>1570</v>
      </c>
      <c r="B1631" s="138">
        <f>'Acct Summary 7-8'!D79</f>
        <v>422834</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425957</v>
      </c>
      <c r="C1644" s="2" t="s">
        <v>594</v>
      </c>
      <c r="D1644" s="2" t="str">
        <f t="shared" si="24"/>
        <v>Error?</v>
      </c>
    </row>
    <row r="1645" spans="1:4" x14ac:dyDescent="0.2">
      <c r="A1645" s="5">
        <v>1584</v>
      </c>
      <c r="B1645" s="138">
        <f>'Acct Summary 7-8'!E79</f>
        <v>106422</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106988</v>
      </c>
      <c r="C1658" s="2" t="s">
        <v>594</v>
      </c>
      <c r="D1658" s="2" t="str">
        <f t="shared" si="24"/>
        <v>Error?</v>
      </c>
    </row>
    <row r="1659" spans="1:4" x14ac:dyDescent="0.2">
      <c r="A1659" s="5">
        <v>1598</v>
      </c>
      <c r="B1659" s="138">
        <f>'Acct Summary 7-8'!F79</f>
        <v>196288</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306318</v>
      </c>
      <c r="C1672" s="2" t="s">
        <v>594</v>
      </c>
      <c r="D1672" s="2" t="str">
        <f t="shared" si="25"/>
        <v>Error?</v>
      </c>
    </row>
    <row r="1673" spans="1:4" x14ac:dyDescent="0.2">
      <c r="A1673" s="5">
        <v>1612</v>
      </c>
      <c r="B1673" s="138">
        <f>'Acct Summary 7-8'!G79</f>
        <v>106750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103526</v>
      </c>
      <c r="C1686" s="2" t="s">
        <v>594</v>
      </c>
      <c r="D1686" s="2" t="str">
        <f t="shared" si="25"/>
        <v>Error?</v>
      </c>
    </row>
    <row r="1687" spans="1:4" x14ac:dyDescent="0.2">
      <c r="A1687" s="5">
        <v>1626</v>
      </c>
      <c r="B1687" s="138">
        <f>'Acct Summary 7-8'!H79</f>
        <v>464688</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539955</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3269373</v>
      </c>
      <c r="C1744" s="2" t="s">
        <v>594</v>
      </c>
      <c r="D1744" s="2" t="str">
        <f t="shared" si="26"/>
        <v>Error?</v>
      </c>
    </row>
    <row r="1745" spans="1:5" x14ac:dyDescent="0.2">
      <c r="A1745" s="5">
        <v>1684</v>
      </c>
      <c r="B1745" s="138">
        <f>'Tax Sched 23'!B5</f>
        <v>594474</v>
      </c>
      <c r="C1745" s="2" t="s">
        <v>594</v>
      </c>
      <c r="D1745" s="2" t="str">
        <f t="shared" si="26"/>
        <v>Error?</v>
      </c>
    </row>
    <row r="1746" spans="1:5" x14ac:dyDescent="0.2">
      <c r="A1746" s="5">
        <v>1685</v>
      </c>
      <c r="B1746" s="138">
        <f>'Tax Sched 23'!B6</f>
        <v>904338</v>
      </c>
      <c r="C1746" s="2" t="s">
        <v>594</v>
      </c>
      <c r="D1746" s="2" t="str">
        <f t="shared" si="26"/>
        <v>Error?</v>
      </c>
    </row>
    <row r="1747" spans="1:5" x14ac:dyDescent="0.2">
      <c r="A1747" s="5">
        <v>1686</v>
      </c>
      <c r="B1747" s="138">
        <f>'Tax Sched 23'!B7</f>
        <v>237787</v>
      </c>
      <c r="C1747" s="2" t="s">
        <v>594</v>
      </c>
      <c r="D1747" s="2" t="str">
        <f t="shared" si="26"/>
        <v>Error?</v>
      </c>
    </row>
    <row r="1748" spans="1:5" x14ac:dyDescent="0.2">
      <c r="A1748" s="5">
        <v>1687</v>
      </c>
      <c r="B1748" s="138">
        <f>'Tax Sched 23'!B8</f>
        <v>79903</v>
      </c>
      <c r="C1748" s="2" t="s">
        <v>594</v>
      </c>
      <c r="D1748" s="2" t="str">
        <f t="shared" si="26"/>
        <v>Error?</v>
      </c>
    </row>
    <row r="1749" spans="1:5" x14ac:dyDescent="0.2">
      <c r="A1749" s="5">
        <v>1688</v>
      </c>
      <c r="B1749" s="138">
        <f>'Tax Sched 23'!B10</f>
        <v>59453</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399721</v>
      </c>
      <c r="C1752" s="2" t="s">
        <v>594</v>
      </c>
      <c r="D1752" s="2" t="str">
        <f t="shared" si="26"/>
        <v>Error?</v>
      </c>
    </row>
    <row r="1753" spans="1:5" x14ac:dyDescent="0.2">
      <c r="A1753" s="5">
        <v>1692</v>
      </c>
      <c r="B1753" s="138">
        <f>'Tax Sched 23'!B12</f>
        <v>59453</v>
      </c>
      <c r="C1753" s="2" t="s">
        <v>594</v>
      </c>
      <c r="D1753" s="2" t="str">
        <f t="shared" si="26"/>
        <v>Error?</v>
      </c>
    </row>
    <row r="1754" spans="1:5" x14ac:dyDescent="0.2">
      <c r="A1754" s="5">
        <v>1693</v>
      </c>
      <c r="B1754" s="138">
        <f>'Tax Sched 23'!B14</f>
        <v>47558</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5820425</v>
      </c>
      <c r="C1759" s="2" t="s">
        <v>594</v>
      </c>
      <c r="D1759" s="2" t="str">
        <f t="shared" si="26"/>
        <v>Error?</v>
      </c>
    </row>
    <row r="1760" spans="1:5" x14ac:dyDescent="0.2">
      <c r="A1760" s="5">
        <v>1699</v>
      </c>
      <c r="B1760" s="138">
        <f>'Tax Sched 23'!D4</f>
        <v>3203947</v>
      </c>
      <c r="C1760" s="2" t="s">
        <v>594</v>
      </c>
      <c r="D1760" s="2" t="str">
        <f t="shared" si="26"/>
        <v>Error?</v>
      </c>
    </row>
    <row r="1761" spans="1:5" x14ac:dyDescent="0.2">
      <c r="A1761" s="5">
        <v>1700</v>
      </c>
      <c r="B1761" s="138">
        <f>'Tax Sched 23'!D5</f>
        <v>582581</v>
      </c>
      <c r="C1761" s="2" t="s">
        <v>594</v>
      </c>
      <c r="D1761" s="2" t="str">
        <f t="shared" si="26"/>
        <v>Error?</v>
      </c>
    </row>
    <row r="1762" spans="1:5" s="8" customFormat="1" x14ac:dyDescent="0.2">
      <c r="A1762" s="5">
        <v>1701</v>
      </c>
      <c r="B1762" s="138">
        <f>'Tax Sched 23'!D6</f>
        <v>885877</v>
      </c>
      <c r="C1762" s="2" t="s">
        <v>594</v>
      </c>
      <c r="D1762" s="2" t="str">
        <f t="shared" si="26"/>
        <v>Error?</v>
      </c>
      <c r="E1762" s="9"/>
    </row>
    <row r="1763" spans="1:5" x14ac:dyDescent="0.2">
      <c r="A1763" s="5">
        <v>1702</v>
      </c>
      <c r="B1763" s="138">
        <f>'Tax Sched 23'!D7</f>
        <v>233034</v>
      </c>
      <c r="C1763" s="2" t="s">
        <v>594</v>
      </c>
      <c r="D1763" s="2" t="str">
        <f t="shared" si="26"/>
        <v>Error?</v>
      </c>
    </row>
    <row r="1764" spans="1:5" x14ac:dyDescent="0.2">
      <c r="A1764" s="5">
        <v>1703</v>
      </c>
      <c r="B1764" s="138">
        <f>'Tax Sched 23'!D8</f>
        <v>78299</v>
      </c>
      <c r="C1764" s="2" t="s">
        <v>594</v>
      </c>
      <c r="D1764" s="2" t="str">
        <f t="shared" si="26"/>
        <v>Error?</v>
      </c>
    </row>
    <row r="1765" spans="1:5" x14ac:dyDescent="0.2">
      <c r="A1765" s="5">
        <v>1704</v>
      </c>
      <c r="B1765" s="138">
        <f>'Tax Sched 23'!D10</f>
        <v>58259</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391515</v>
      </c>
      <c r="C1768" s="2" t="s">
        <v>594</v>
      </c>
      <c r="D1768" s="2" t="str">
        <f t="shared" si="26"/>
        <v>Error?</v>
      </c>
    </row>
    <row r="1769" spans="1:5" x14ac:dyDescent="0.2">
      <c r="A1769" s="5">
        <v>1708</v>
      </c>
      <c r="B1769" s="138">
        <f>'Tax Sched 23'!D12</f>
        <v>58259</v>
      </c>
      <c r="C1769" s="2" t="s">
        <v>594</v>
      </c>
      <c r="D1769" s="2" t="str">
        <f t="shared" si="26"/>
        <v>Error?</v>
      </c>
    </row>
    <row r="1770" spans="1:5" x14ac:dyDescent="0.2">
      <c r="A1770" s="5">
        <v>1709</v>
      </c>
      <c r="B1770" s="138">
        <f>'Tax Sched 23'!D14</f>
        <v>46610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5703363</v>
      </c>
      <c r="C1775" s="2" t="s">
        <v>594</v>
      </c>
      <c r="D1775" s="2" t="str">
        <f t="shared" si="26"/>
        <v>Error?</v>
      </c>
    </row>
    <row r="1776" spans="1:5" x14ac:dyDescent="0.2">
      <c r="A1776" s="5">
        <v>1715</v>
      </c>
      <c r="B1776" s="138">
        <f>'Tax Sched 23'!C4</f>
        <v>65426</v>
      </c>
      <c r="D1776" s="2" t="str">
        <f t="shared" si="26"/>
        <v>Error?</v>
      </c>
    </row>
    <row r="1777" spans="1:4" x14ac:dyDescent="0.2">
      <c r="A1777" s="5">
        <v>1716</v>
      </c>
      <c r="B1777" s="138">
        <f>'Tax Sched 23'!C5</f>
        <v>11893</v>
      </c>
      <c r="D1777" s="2" t="str">
        <f t="shared" si="26"/>
        <v>Error?</v>
      </c>
    </row>
    <row r="1778" spans="1:4" x14ac:dyDescent="0.2">
      <c r="A1778" s="5">
        <v>1717</v>
      </c>
      <c r="B1778" s="138">
        <f>'Tax Sched 23'!C6</f>
        <v>18461</v>
      </c>
      <c r="D1778" s="2" t="str">
        <f t="shared" si="26"/>
        <v>Error?</v>
      </c>
    </row>
    <row r="1779" spans="1:4" x14ac:dyDescent="0.2">
      <c r="A1779" s="5">
        <v>1718</v>
      </c>
      <c r="B1779" s="138">
        <f>'Tax Sched 23'!C7</f>
        <v>4753</v>
      </c>
      <c r="D1779" s="2" t="str">
        <f t="shared" si="26"/>
        <v>Error?</v>
      </c>
    </row>
    <row r="1780" spans="1:4" x14ac:dyDescent="0.2">
      <c r="A1780" s="5">
        <v>1719</v>
      </c>
      <c r="B1780" s="138">
        <f>'Tax Sched 23'!C8</f>
        <v>1604</v>
      </c>
      <c r="D1780" s="2" t="str">
        <f t="shared" si="26"/>
        <v>Error?</v>
      </c>
    </row>
    <row r="1781" spans="1:4" x14ac:dyDescent="0.2">
      <c r="A1781" s="5">
        <v>1720</v>
      </c>
      <c r="B1781" s="138">
        <f>'Tax Sched 23'!C10</f>
        <v>1194</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8206</v>
      </c>
      <c r="D1784" s="2" t="str">
        <f t="shared" si="26"/>
        <v>Error?</v>
      </c>
    </row>
    <row r="1785" spans="1:4" x14ac:dyDescent="0.2">
      <c r="A1785" s="5">
        <v>1724</v>
      </c>
      <c r="B1785" s="138">
        <f>'Tax Sched 23'!C12</f>
        <v>1194</v>
      </c>
      <c r="D1785" s="2" t="str">
        <f t="shared" si="26"/>
        <v>Error?</v>
      </c>
    </row>
    <row r="1786" spans="1:4" x14ac:dyDescent="0.2">
      <c r="A1786" s="5">
        <v>1725</v>
      </c>
      <c r="B1786" s="138">
        <f>'Tax Sched 23'!C14</f>
        <v>948</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117062</v>
      </c>
      <c r="C1791" s="2" t="s">
        <v>594</v>
      </c>
      <c r="D1791" s="2" t="str">
        <f t="shared" ref="D1791:D1854" si="27">IF(ISBLANK(B1791),"OK",IF(A1791-B1791=0,"OK","Error?"))</f>
        <v>Error?</v>
      </c>
    </row>
    <row r="1792" spans="1:4" x14ac:dyDescent="0.2">
      <c r="A1792" s="5">
        <v>1731</v>
      </c>
      <c r="B1792" s="138">
        <f>'Tax Sched 23'!F4</f>
        <v>3284331</v>
      </c>
      <c r="C1792" s="2" t="s">
        <v>594</v>
      </c>
      <c r="D1792" s="2" t="str">
        <f t="shared" si="27"/>
        <v>Error?</v>
      </c>
    </row>
    <row r="1793" spans="1:4" x14ac:dyDescent="0.2">
      <c r="A1793" s="5">
        <v>1732</v>
      </c>
      <c r="B1793" s="138">
        <f>'Tax Sched 23'!F5</f>
        <v>597154</v>
      </c>
      <c r="C1793" s="2" t="s">
        <v>594</v>
      </c>
      <c r="D1793" s="2" t="str">
        <f t="shared" si="27"/>
        <v>Error?</v>
      </c>
    </row>
    <row r="1794" spans="1:4" x14ac:dyDescent="0.2">
      <c r="A1794" s="5">
        <v>1733</v>
      </c>
      <c r="B1794" s="138">
        <f>'Tax Sched 23'!F6</f>
        <v>907777</v>
      </c>
      <c r="C1794" s="2" t="s">
        <v>594</v>
      </c>
      <c r="D1794" s="2" t="str">
        <f t="shared" si="27"/>
        <v>Error?</v>
      </c>
    </row>
    <row r="1795" spans="1:4" x14ac:dyDescent="0.2">
      <c r="A1795" s="5">
        <v>1734</v>
      </c>
      <c r="B1795" s="138">
        <f>'Tax Sched 23'!F7</f>
        <v>238866</v>
      </c>
      <c r="C1795" s="2" t="s">
        <v>594</v>
      </c>
      <c r="D1795" s="2" t="str">
        <f t="shared" si="27"/>
        <v>Error?</v>
      </c>
    </row>
    <row r="1796" spans="1:4" x14ac:dyDescent="0.2">
      <c r="A1796" s="5">
        <v>1735</v>
      </c>
      <c r="B1796" s="138">
        <f>'Tax Sched 23'!F8</f>
        <v>79399</v>
      </c>
      <c r="C1796" s="2" t="s">
        <v>594</v>
      </c>
      <c r="D1796" s="2" t="str">
        <f t="shared" si="27"/>
        <v>Error?</v>
      </c>
    </row>
    <row r="1797" spans="1:4" x14ac:dyDescent="0.2">
      <c r="A1797" s="5">
        <v>1736</v>
      </c>
      <c r="B1797" s="138">
        <f>'Tax Sched 23'!F10</f>
        <v>59711</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405824</v>
      </c>
      <c r="C1800" s="2" t="s">
        <v>594</v>
      </c>
      <c r="D1800" s="2" t="str">
        <f t="shared" si="27"/>
        <v>Error?</v>
      </c>
    </row>
    <row r="1801" spans="1:4" x14ac:dyDescent="0.2">
      <c r="A1801" s="5">
        <v>1740</v>
      </c>
      <c r="B1801" s="138">
        <f>'Tax Sched 23'!F12</f>
        <v>59711</v>
      </c>
      <c r="C1801" s="2" t="s">
        <v>594</v>
      </c>
      <c r="D1801" s="2" t="str">
        <f t="shared" si="27"/>
        <v>Error?</v>
      </c>
    </row>
    <row r="1802" spans="1:4" x14ac:dyDescent="0.2">
      <c r="A1802" s="5">
        <v>1741</v>
      </c>
      <c r="B1802" s="138">
        <f>'Tax Sched 23'!F14</f>
        <v>47776</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5848186</v>
      </c>
      <c r="C1807" s="2" t="s">
        <v>594</v>
      </c>
      <c r="D1807" s="2" t="str">
        <f t="shared" si="27"/>
        <v>Error?</v>
      </c>
    </row>
    <row r="1808" spans="1:4" x14ac:dyDescent="0.2">
      <c r="A1808" s="5">
        <v>1747</v>
      </c>
      <c r="B1808" s="138">
        <f>'Tax Sched 23'!E4</f>
        <v>3349757</v>
      </c>
      <c r="D1808" s="2" t="str">
        <f t="shared" si="27"/>
        <v>Error?</v>
      </c>
    </row>
    <row r="1809" spans="1:4" x14ac:dyDescent="0.2">
      <c r="A1809" s="5">
        <v>1748</v>
      </c>
      <c r="B1809" s="138">
        <f>'Tax Sched 23'!E5</f>
        <v>609047</v>
      </c>
      <c r="D1809" s="2" t="str">
        <f t="shared" si="27"/>
        <v>Error?</v>
      </c>
    </row>
    <row r="1810" spans="1:4" x14ac:dyDescent="0.2">
      <c r="A1810" s="5">
        <v>1749</v>
      </c>
      <c r="B1810" s="138">
        <f>'Tax Sched 23'!E6</f>
        <v>926238</v>
      </c>
      <c r="D1810" s="2" t="str">
        <f t="shared" si="27"/>
        <v>Error?</v>
      </c>
    </row>
    <row r="1811" spans="1:4" x14ac:dyDescent="0.2">
      <c r="A1811" s="5">
        <v>1750</v>
      </c>
      <c r="B1811" s="138">
        <f>'Tax Sched 23'!E7</f>
        <v>243619</v>
      </c>
      <c r="D1811" s="2" t="str">
        <f t="shared" si="27"/>
        <v>Error?</v>
      </c>
    </row>
    <row r="1812" spans="1:4" x14ac:dyDescent="0.2">
      <c r="A1812" s="5">
        <v>1751</v>
      </c>
      <c r="B1812" s="138">
        <f>'Tax Sched 23'!E8</f>
        <v>81003</v>
      </c>
      <c r="D1812" s="2" t="str">
        <f t="shared" si="27"/>
        <v>Error?</v>
      </c>
    </row>
    <row r="1813" spans="1:4" x14ac:dyDescent="0.2">
      <c r="A1813" s="5">
        <v>1752</v>
      </c>
      <c r="B1813" s="138">
        <f>'Tax Sched 23'!E10</f>
        <v>60905</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414030</v>
      </c>
      <c r="D1816" s="2" t="str">
        <f t="shared" si="27"/>
        <v>Error?</v>
      </c>
    </row>
    <row r="1817" spans="1:4" x14ac:dyDescent="0.2">
      <c r="A1817" s="5">
        <v>1756</v>
      </c>
      <c r="B1817" s="138">
        <f>'Tax Sched 23'!E12</f>
        <v>60905</v>
      </c>
      <c r="D1817" s="2" t="str">
        <f t="shared" si="27"/>
        <v>Error?</v>
      </c>
    </row>
    <row r="1818" spans="1:4" x14ac:dyDescent="0.2">
      <c r="A1818" s="5">
        <v>1757</v>
      </c>
      <c r="B1818" s="138">
        <f>'Tax Sched 23'!E14</f>
        <v>48724</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5965248</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3565000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47558</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47558</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47558</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508739</v>
      </c>
      <c r="D2008" s="2" t="str">
        <f t="shared" si="30"/>
        <v>Error?</v>
      </c>
    </row>
    <row r="2009" spans="1:4" x14ac:dyDescent="0.2">
      <c r="A2009" s="5">
        <v>1948</v>
      </c>
      <c r="B2009" s="138">
        <f>'Cap Outlay Deprec 26'!C8</f>
        <v>16406267</v>
      </c>
      <c r="D2009" s="2" t="str">
        <f t="shared" si="30"/>
        <v>Error?</v>
      </c>
    </row>
    <row r="2010" spans="1:4" x14ac:dyDescent="0.2">
      <c r="A2010" s="5">
        <v>1949</v>
      </c>
      <c r="B2010" s="138">
        <f>'Cap Outlay Deprec 26'!C10</f>
        <v>3155261</v>
      </c>
      <c r="D2010" s="2" t="str">
        <f t="shared" si="30"/>
        <v>Error?</v>
      </c>
    </row>
    <row r="2011" spans="1:4" x14ac:dyDescent="0.2">
      <c r="A2011" s="5">
        <v>1950</v>
      </c>
      <c r="B2011" s="138">
        <f>'Cap Outlay Deprec 26'!C12</f>
        <v>1688639</v>
      </c>
      <c r="D2011" s="2" t="str">
        <f t="shared" si="30"/>
        <v>Error?</v>
      </c>
    </row>
    <row r="2012" spans="1:4" x14ac:dyDescent="0.2">
      <c r="A2012" s="5">
        <v>1951</v>
      </c>
      <c r="B2012" s="138">
        <f>'Cap Outlay Deprec 26'!C13</f>
        <v>17104</v>
      </c>
      <c r="D2012" s="2" t="str">
        <f t="shared" si="30"/>
        <v>Error?</v>
      </c>
    </row>
    <row r="2013" spans="1:4" x14ac:dyDescent="0.2">
      <c r="A2013" s="5">
        <v>1952</v>
      </c>
      <c r="B2013" s="138">
        <f>'Cap Outlay Deprec 26'!C16</f>
        <v>21776010</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503782</v>
      </c>
      <c r="D2016" s="2" t="str">
        <f t="shared" si="30"/>
        <v>Error?</v>
      </c>
    </row>
    <row r="2017" spans="1:4" x14ac:dyDescent="0.2">
      <c r="A2017" s="5">
        <v>1956</v>
      </c>
      <c r="B2017" s="138">
        <f>'Cap Outlay Deprec 26'!D12</f>
        <v>61406</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565188</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508739</v>
      </c>
      <c r="C2026" s="2" t="s">
        <v>594</v>
      </c>
      <c r="D2026" s="2" t="str">
        <f t="shared" si="30"/>
        <v>Error?</v>
      </c>
    </row>
    <row r="2027" spans="1:4" x14ac:dyDescent="0.2">
      <c r="A2027" s="5">
        <v>1966</v>
      </c>
      <c r="B2027" s="138">
        <f>'Cap Outlay Deprec 26'!F8</f>
        <v>16406267</v>
      </c>
      <c r="C2027" s="2" t="s">
        <v>594</v>
      </c>
      <c r="D2027" s="2" t="str">
        <f t="shared" si="30"/>
        <v>Error?</v>
      </c>
    </row>
    <row r="2028" spans="1:4" x14ac:dyDescent="0.2">
      <c r="A2028" s="5">
        <v>1967</v>
      </c>
      <c r="B2028" s="138">
        <f>'Cap Outlay Deprec 26'!F10</f>
        <v>3659043</v>
      </c>
      <c r="C2028" s="2" t="s">
        <v>594</v>
      </c>
      <c r="D2028" s="2" t="str">
        <f t="shared" si="30"/>
        <v>Error?</v>
      </c>
    </row>
    <row r="2029" spans="1:4" x14ac:dyDescent="0.2">
      <c r="A2029" s="5">
        <v>1968</v>
      </c>
      <c r="B2029" s="138">
        <f>'Cap Outlay Deprec 26'!F12</f>
        <v>1750045</v>
      </c>
      <c r="C2029" s="2" t="s">
        <v>594</v>
      </c>
      <c r="D2029" s="2" t="str">
        <f t="shared" si="30"/>
        <v>Error?</v>
      </c>
    </row>
    <row r="2030" spans="1:4" x14ac:dyDescent="0.2">
      <c r="A2030" s="5">
        <v>1969</v>
      </c>
      <c r="B2030" s="138">
        <f>'Cap Outlay Deprec 26'!F13</f>
        <v>17104</v>
      </c>
      <c r="C2030" s="2" t="s">
        <v>594</v>
      </c>
      <c r="D2030" s="2" t="str">
        <f t="shared" si="30"/>
        <v>Error?</v>
      </c>
    </row>
    <row r="2031" spans="1:4" x14ac:dyDescent="0.2">
      <c r="A2031" s="5">
        <v>1970</v>
      </c>
      <c r="B2031" s="138">
        <f>'Cap Outlay Deprec 26'!F16</f>
        <v>22341198</v>
      </c>
      <c r="C2031" s="2" t="s">
        <v>594</v>
      </c>
      <c r="D2031" s="2" t="str">
        <f t="shared" si="30"/>
        <v>Error?</v>
      </c>
    </row>
    <row r="2032" spans="1:4" x14ac:dyDescent="0.2">
      <c r="A2032" s="10">
        <v>1971</v>
      </c>
      <c r="D2032" s="2" t="str">
        <f t="shared" si="30"/>
        <v>OK</v>
      </c>
    </row>
    <row r="2033" spans="1:4" x14ac:dyDescent="0.2">
      <c r="A2033" s="5">
        <v>1972</v>
      </c>
      <c r="B2033" s="138">
        <f>'Cap Outlay Deprec 26'!H8</f>
        <v>8221907</v>
      </c>
      <c r="D2033" s="2" t="str">
        <f t="shared" si="30"/>
        <v>Error?</v>
      </c>
    </row>
    <row r="2034" spans="1:4" x14ac:dyDescent="0.2">
      <c r="A2034" s="5">
        <v>1973</v>
      </c>
      <c r="B2034" s="138">
        <f>'Cap Outlay Deprec 26'!H10</f>
        <v>551202</v>
      </c>
      <c r="D2034" s="2" t="str">
        <f t="shared" si="30"/>
        <v>Error?</v>
      </c>
    </row>
    <row r="2035" spans="1:4" x14ac:dyDescent="0.2">
      <c r="A2035" s="5">
        <v>1974</v>
      </c>
      <c r="B2035" s="138">
        <f>'Cap Outlay Deprec 26'!H12</f>
        <v>1402653</v>
      </c>
      <c r="D2035" s="2" t="str">
        <f t="shared" si="30"/>
        <v>Error?</v>
      </c>
    </row>
    <row r="2036" spans="1:4" x14ac:dyDescent="0.2">
      <c r="A2036" s="5">
        <v>1975</v>
      </c>
      <c r="B2036" s="138">
        <f>'Cap Outlay Deprec 26'!H13</f>
        <v>12214</v>
      </c>
      <c r="D2036" s="2" t="str">
        <f t="shared" si="30"/>
        <v>Error?</v>
      </c>
    </row>
    <row r="2037" spans="1:4" x14ac:dyDescent="0.2">
      <c r="A2037" s="5">
        <v>1976</v>
      </c>
      <c r="B2037" s="138">
        <f>'Cap Outlay Deprec 26'!H16</f>
        <v>10187976</v>
      </c>
      <c r="C2037" s="2" t="s">
        <v>594</v>
      </c>
      <c r="D2037" s="2" t="str">
        <f t="shared" si="30"/>
        <v>Error?</v>
      </c>
    </row>
    <row r="2038" spans="1:4" x14ac:dyDescent="0.2">
      <c r="A2038" s="10">
        <v>1977</v>
      </c>
      <c r="D2038" s="2" t="str">
        <f t="shared" si="30"/>
        <v>OK</v>
      </c>
    </row>
    <row r="2039" spans="1:4" x14ac:dyDescent="0.2">
      <c r="A2039" s="5">
        <v>1978</v>
      </c>
      <c r="B2039" s="138">
        <f>'Cap Outlay Deprec 26'!I8</f>
        <v>324212</v>
      </c>
      <c r="D2039" s="2" t="str">
        <f t="shared" si="30"/>
        <v>Error?</v>
      </c>
    </row>
    <row r="2040" spans="1:4" x14ac:dyDescent="0.2">
      <c r="A2040" s="5">
        <v>1979</v>
      </c>
      <c r="B2040" s="138">
        <f>'Cap Outlay Deprec 26'!I10</f>
        <v>182111</v>
      </c>
      <c r="D2040" s="2" t="str">
        <f t="shared" si="30"/>
        <v>Error?</v>
      </c>
    </row>
    <row r="2041" spans="1:4" x14ac:dyDescent="0.2">
      <c r="A2041" s="5">
        <v>1980</v>
      </c>
      <c r="B2041" s="138">
        <f>'Cap Outlay Deprec 26'!I12</f>
        <v>75793</v>
      </c>
      <c r="D2041" s="2" t="str">
        <f t="shared" si="30"/>
        <v>Error?</v>
      </c>
    </row>
    <row r="2042" spans="1:4" x14ac:dyDescent="0.2">
      <c r="A2042" s="5">
        <v>1981</v>
      </c>
      <c r="B2042" s="138">
        <f>'Cap Outlay Deprec 26'!I13</f>
        <v>1000</v>
      </c>
      <c r="D2042" s="2" t="str">
        <f t="shared" si="30"/>
        <v>Error?</v>
      </c>
    </row>
    <row r="2043" spans="1:4" x14ac:dyDescent="0.2">
      <c r="A2043" s="5">
        <v>1982</v>
      </c>
      <c r="B2043" s="138">
        <f>'Cap Outlay Deprec 26'!I16</f>
        <v>583116</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8546119</v>
      </c>
      <c r="C2051" s="2" t="s">
        <v>594</v>
      </c>
      <c r="D2051" s="2" t="str">
        <f t="shared" si="31"/>
        <v>Error?</v>
      </c>
    </row>
    <row r="2052" spans="1:4" x14ac:dyDescent="0.2">
      <c r="A2052" s="5">
        <v>1991</v>
      </c>
      <c r="B2052" s="138">
        <f>'Cap Outlay Deprec 26'!K10</f>
        <v>733313</v>
      </c>
      <c r="C2052" s="2" t="s">
        <v>594</v>
      </c>
      <c r="D2052" s="2" t="str">
        <f t="shared" si="31"/>
        <v>Error?</v>
      </c>
    </row>
    <row r="2053" spans="1:4" x14ac:dyDescent="0.2">
      <c r="A2053" s="5">
        <v>1992</v>
      </c>
      <c r="B2053" s="138">
        <f>'Cap Outlay Deprec 26'!K12</f>
        <v>1478446</v>
      </c>
      <c r="C2053" s="2" t="s">
        <v>594</v>
      </c>
      <c r="D2053" s="2" t="str">
        <f t="shared" si="31"/>
        <v>Error?</v>
      </c>
    </row>
    <row r="2054" spans="1:4" x14ac:dyDescent="0.2">
      <c r="A2054" s="5">
        <v>1993</v>
      </c>
      <c r="B2054" s="138">
        <f>'Cap Outlay Deprec 26'!K13</f>
        <v>13214</v>
      </c>
      <c r="C2054" s="2" t="s">
        <v>594</v>
      </c>
      <c r="D2054" s="2" t="str">
        <f t="shared" si="31"/>
        <v>Error?</v>
      </c>
    </row>
    <row r="2055" spans="1:4" x14ac:dyDescent="0.2">
      <c r="A2055" s="5">
        <v>1994</v>
      </c>
      <c r="B2055" s="138">
        <f>'Cap Outlay Deprec 26'!K16</f>
        <v>10771092</v>
      </c>
      <c r="C2055" s="2" t="s">
        <v>594</v>
      </c>
      <c r="D2055" s="2" t="str">
        <f t="shared" si="31"/>
        <v>Error?</v>
      </c>
    </row>
    <row r="2056" spans="1:4" x14ac:dyDescent="0.2">
      <c r="A2056" s="5">
        <v>1995</v>
      </c>
      <c r="B2056" s="138">
        <f>'Cap Outlay Deprec 26'!L5</f>
        <v>508739</v>
      </c>
      <c r="C2056" s="2" t="s">
        <v>594</v>
      </c>
      <c r="D2056" s="2" t="str">
        <f t="shared" si="31"/>
        <v>Error?</v>
      </c>
    </row>
    <row r="2057" spans="1:4" x14ac:dyDescent="0.2">
      <c r="A2057" s="5">
        <v>1996</v>
      </c>
      <c r="B2057" s="138">
        <f>'Cap Outlay Deprec 26'!L8</f>
        <v>7860148</v>
      </c>
      <c r="C2057" s="2" t="s">
        <v>594</v>
      </c>
      <c r="D2057" s="2" t="str">
        <f t="shared" si="31"/>
        <v>Error?</v>
      </c>
    </row>
    <row r="2058" spans="1:4" x14ac:dyDescent="0.2">
      <c r="A2058" s="5">
        <v>1997</v>
      </c>
      <c r="B2058" s="138">
        <f>'Cap Outlay Deprec 26'!L10</f>
        <v>2925730</v>
      </c>
      <c r="C2058" s="2" t="s">
        <v>594</v>
      </c>
      <c r="D2058" s="2" t="str">
        <f t="shared" si="31"/>
        <v>Error?</v>
      </c>
    </row>
    <row r="2059" spans="1:4" x14ac:dyDescent="0.2">
      <c r="A2059" s="5">
        <v>1998</v>
      </c>
      <c r="B2059" s="138">
        <f>'Cap Outlay Deprec 26'!L12</f>
        <v>271599</v>
      </c>
      <c r="C2059" s="2" t="s">
        <v>594</v>
      </c>
      <c r="D2059" s="2" t="str">
        <f t="shared" si="31"/>
        <v>Error?</v>
      </c>
    </row>
    <row r="2060" spans="1:4" x14ac:dyDescent="0.2">
      <c r="A2060" s="5">
        <v>1999</v>
      </c>
      <c r="B2060" s="138">
        <f>'Cap Outlay Deprec 26'!L13</f>
        <v>3890</v>
      </c>
      <c r="C2060" s="2" t="s">
        <v>594</v>
      </c>
      <c r="D2060" s="2" t="str">
        <f t="shared" si="31"/>
        <v>Error?</v>
      </c>
    </row>
    <row r="2061" spans="1:4" x14ac:dyDescent="0.2">
      <c r="A2061" s="5">
        <v>2000</v>
      </c>
      <c r="B2061" s="138">
        <f>'Cap Outlay Deprec 26'!L16</f>
        <v>11570106</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89984</v>
      </c>
      <c r="C2088" s="2" t="s">
        <v>594</v>
      </c>
      <c r="D2088" s="2" t="str">
        <f t="shared" si="31"/>
        <v>Error?</v>
      </c>
    </row>
    <row r="2089" spans="1:4" x14ac:dyDescent="0.2">
      <c r="A2089" s="5">
        <v>2028</v>
      </c>
      <c r="B2089" s="138">
        <f>'Expenditures 15-22'!K92</f>
        <v>15520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131536</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512673</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5331941</v>
      </c>
      <c r="C2551" s="2" t="s">
        <v>594</v>
      </c>
      <c r="D2551" s="2" t="str">
        <f t="shared" si="38"/>
        <v>Error?</v>
      </c>
    </row>
    <row r="2552" spans="1:4" x14ac:dyDescent="0.2">
      <c r="A2552" s="10">
        <v>2491</v>
      </c>
      <c r="D2552" s="2" t="str">
        <f t="shared" si="38"/>
        <v>OK</v>
      </c>
    </row>
    <row r="2553" spans="1:4" x14ac:dyDescent="0.2">
      <c r="A2553" s="5">
        <v>2492</v>
      </c>
      <c r="B2553" s="138">
        <f>'Acct Summary 7-8'!C6</f>
        <v>1409150</v>
      </c>
      <c r="C2553" s="2" t="s">
        <v>594</v>
      </c>
      <c r="D2553" s="2" t="str">
        <f t="shared" si="38"/>
        <v>Error?</v>
      </c>
    </row>
    <row r="2554" spans="1:4" x14ac:dyDescent="0.2">
      <c r="A2554" s="5">
        <v>2493</v>
      </c>
      <c r="B2554" s="138">
        <f>'Acct Summary 7-8'!C7</f>
        <v>295482</v>
      </c>
      <c r="C2554" s="2" t="s">
        <v>594</v>
      </c>
      <c r="D2554" s="2" t="str">
        <f t="shared" si="38"/>
        <v>Error?</v>
      </c>
    </row>
    <row r="2555" spans="1:4" x14ac:dyDescent="0.2">
      <c r="A2555" s="5">
        <v>2494</v>
      </c>
      <c r="B2555" s="138">
        <f>'Acct Summary 7-8'!C8</f>
        <v>7036573</v>
      </c>
      <c r="C2555" s="2" t="s">
        <v>594</v>
      </c>
      <c r="D2555" s="2" t="str">
        <f t="shared" si="38"/>
        <v>Error?</v>
      </c>
    </row>
    <row r="2556" spans="1:4" x14ac:dyDescent="0.2">
      <c r="A2556" s="5">
        <v>2495</v>
      </c>
      <c r="B2556" s="138">
        <f>'Acct Summary 7-8'!C12</f>
        <v>5311547</v>
      </c>
      <c r="C2556" s="2" t="s">
        <v>594</v>
      </c>
      <c r="D2556" s="2" t="str">
        <f t="shared" si="38"/>
        <v>Error?</v>
      </c>
    </row>
    <row r="2557" spans="1:4" x14ac:dyDescent="0.2">
      <c r="A2557" s="5">
        <v>2496</v>
      </c>
      <c r="B2557" s="138">
        <f>'Acct Summary 7-8'!C13</f>
        <v>1540527</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105504</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6957578</v>
      </c>
      <c r="C2561" s="2" t="s">
        <v>594</v>
      </c>
      <c r="D2561" s="2" t="str">
        <f t="shared" si="39"/>
        <v>Error?</v>
      </c>
    </row>
    <row r="2562" spans="1:4" x14ac:dyDescent="0.2">
      <c r="A2562" s="5">
        <v>2501</v>
      </c>
      <c r="B2562" s="138">
        <f>'Acct Summary 7-8'!C20</f>
        <v>78995</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609173</v>
      </c>
      <c r="C2564" s="2" t="s">
        <v>594</v>
      </c>
      <c r="D2564" s="2" t="str">
        <f t="shared" si="39"/>
        <v>Error?</v>
      </c>
    </row>
    <row r="2565" spans="1:4" x14ac:dyDescent="0.2">
      <c r="A2565" s="10">
        <v>2504</v>
      </c>
      <c r="D2565" s="2" t="str">
        <f t="shared" si="39"/>
        <v>OK</v>
      </c>
    </row>
    <row r="2566" spans="1:4" x14ac:dyDescent="0.2">
      <c r="A2566" s="5">
        <v>2505</v>
      </c>
      <c r="B2566" s="138">
        <f>'Acct Summary 7-8'!D6</f>
        <v>50000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659173</v>
      </c>
      <c r="C2568" s="2" t="s">
        <v>594</v>
      </c>
      <c r="D2568" s="2" t="str">
        <f t="shared" si="39"/>
        <v>Error?</v>
      </c>
    </row>
    <row r="2569" spans="1:4" x14ac:dyDescent="0.2">
      <c r="A2569" s="5">
        <v>2508</v>
      </c>
      <c r="B2569" s="138">
        <f>'Acct Summary 7-8'!D13</f>
        <v>656050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656050</v>
      </c>
      <c r="C2573" s="2" t="s">
        <v>594</v>
      </c>
      <c r="D2573" s="2" t="str">
        <f t="shared" si="39"/>
        <v>Error?</v>
      </c>
    </row>
    <row r="2574" spans="1:4" x14ac:dyDescent="0.2">
      <c r="A2574" s="5">
        <v>2513</v>
      </c>
      <c r="B2574" s="138">
        <f>'Acct Summary 7-8'!D20</f>
        <v>3123</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242313</v>
      </c>
      <c r="C2591" s="2" t="s">
        <v>594</v>
      </c>
      <c r="D2591" s="2" t="str">
        <f t="shared" si="39"/>
        <v>Error?</v>
      </c>
    </row>
    <row r="2592" spans="1:4" x14ac:dyDescent="0.2">
      <c r="A2592" s="10">
        <v>2531</v>
      </c>
      <c r="D2592" s="2" t="str">
        <f t="shared" si="39"/>
        <v>OK</v>
      </c>
    </row>
    <row r="2593" spans="1:4" x14ac:dyDescent="0.2">
      <c r="A2593" s="5">
        <v>2532</v>
      </c>
      <c r="B2593" s="138">
        <f>'Acct Summary 7-8'!F6</f>
        <v>498369</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740682</v>
      </c>
      <c r="C2595" s="2" t="s">
        <v>594</v>
      </c>
      <c r="D2595" s="2" t="str">
        <f t="shared" si="39"/>
        <v>Error?</v>
      </c>
    </row>
    <row r="2596" spans="1:4" x14ac:dyDescent="0.2">
      <c r="A2596" s="5">
        <v>2535</v>
      </c>
      <c r="B2596" s="138">
        <f>'Acct Summary 7-8'!F13</f>
        <v>630652</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630652</v>
      </c>
      <c r="C2600" s="2" t="s">
        <v>594</v>
      </c>
      <c r="D2600" s="2" t="str">
        <f t="shared" si="39"/>
        <v>Error?</v>
      </c>
    </row>
    <row r="2601" spans="1:4" x14ac:dyDescent="0.2">
      <c r="A2601" s="5">
        <v>2540</v>
      </c>
      <c r="B2601" s="138">
        <f>'Acct Summary 7-8'!F20</f>
        <v>110030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190823</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190823</v>
      </c>
      <c r="C2606" s="2" t="s">
        <v>594</v>
      </c>
      <c r="D2606" s="2" t="str">
        <f t="shared" si="39"/>
        <v>Error?</v>
      </c>
    </row>
    <row r="2607" spans="1:4" x14ac:dyDescent="0.2">
      <c r="A2607" s="5">
        <v>2546</v>
      </c>
      <c r="B2607" s="138">
        <f>'Acct Summary 7-8'!G12</f>
        <v>97690</v>
      </c>
      <c r="C2607" s="2" t="s">
        <v>594</v>
      </c>
      <c r="D2607" s="2" t="str">
        <f t="shared" si="39"/>
        <v>Error?</v>
      </c>
    </row>
    <row r="2608" spans="1:4" x14ac:dyDescent="0.2">
      <c r="A2608" s="5">
        <v>2547</v>
      </c>
      <c r="B2608" s="138">
        <f>'Acct Summary 7-8'!G13</f>
        <v>96357</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194047</v>
      </c>
      <c r="C2612" s="2" t="s">
        <v>594</v>
      </c>
      <c r="D2612" s="2" t="str">
        <f t="shared" si="39"/>
        <v>Error?</v>
      </c>
    </row>
    <row r="2613" spans="1:4" x14ac:dyDescent="0.2">
      <c r="A2613" s="5">
        <v>2552</v>
      </c>
      <c r="B2613" s="138">
        <f>'Acct Summary 7-8'!G20</f>
        <v>-3224</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907185</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907185</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906619</v>
      </c>
      <c r="C2634" s="2" t="s">
        <v>594</v>
      </c>
      <c r="D2634" s="2" t="str">
        <f t="shared" si="40"/>
        <v>Error?</v>
      </c>
    </row>
    <row r="2635" spans="1:4" x14ac:dyDescent="0.2">
      <c r="A2635" s="5">
        <v>2574</v>
      </c>
      <c r="B2635" s="138">
        <f>'Acct Summary 7-8'!E17</f>
        <v>906619</v>
      </c>
      <c r="C2635" s="2" t="s">
        <v>594</v>
      </c>
      <c r="D2635" s="2" t="str">
        <f t="shared" si="40"/>
        <v>Error?</v>
      </c>
    </row>
    <row r="2636" spans="1:4" x14ac:dyDescent="0.2">
      <c r="A2636" s="5">
        <v>2575</v>
      </c>
      <c r="B2636" s="138">
        <f>'Acct Summary 7-8'!E20</f>
        <v>566</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665977</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665977</v>
      </c>
      <c r="C2658" s="2" t="s">
        <v>594</v>
      </c>
      <c r="D2658" s="2" t="str">
        <f t="shared" si="40"/>
        <v>Error?</v>
      </c>
    </row>
    <row r="2659" spans="1:4" x14ac:dyDescent="0.2">
      <c r="A2659" s="5">
        <v>2598</v>
      </c>
      <c r="B2659" s="138">
        <f>'Acct Summary 7-8'!H13</f>
        <v>590710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590710</v>
      </c>
      <c r="C2661" s="2" t="s">
        <v>594</v>
      </c>
      <c r="D2661" s="2" t="str">
        <f t="shared" si="40"/>
        <v>Error?</v>
      </c>
    </row>
    <row r="2662" spans="1:4" x14ac:dyDescent="0.2">
      <c r="A2662" s="5">
        <v>2601</v>
      </c>
      <c r="B2662" s="138">
        <f>'Acct Summary 7-8'!H20</f>
        <v>75267</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89984</v>
      </c>
      <c r="C2789" s="2" t="s">
        <v>594</v>
      </c>
      <c r="D2789" s="2" t="str">
        <f t="shared" si="42"/>
        <v>Error?</v>
      </c>
    </row>
    <row r="2790" spans="1:4" x14ac:dyDescent="0.2">
      <c r="A2790" s="5">
        <v>2729</v>
      </c>
      <c r="B2790" s="138">
        <f>'Expenditures 15-22'!E102</f>
        <v>89984</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584844</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18332</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295929</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584844</v>
      </c>
      <c r="D2912" s="2" t="str">
        <f t="shared" si="44"/>
        <v>Error?</v>
      </c>
    </row>
    <row r="2913" spans="1:4" x14ac:dyDescent="0.2">
      <c r="A2913" s="5">
        <v>2852</v>
      </c>
      <c r="B2913" s="138">
        <f>'Assets-Liab 5-6'!I41</f>
        <v>584844</v>
      </c>
      <c r="C2913" s="2" t="s">
        <v>594</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594</v>
      </c>
      <c r="D2916" s="2" t="str">
        <f t="shared" si="44"/>
        <v>Error?</v>
      </c>
    </row>
    <row r="2917" spans="1:4" x14ac:dyDescent="0.2">
      <c r="A2917" s="5">
        <v>2856</v>
      </c>
      <c r="B2917" s="138">
        <f>'Assets-Liab 5-6'!L41</f>
        <v>295929</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89984</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89984</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49813</v>
      </c>
      <c r="D3055" s="2" t="str">
        <f t="shared" si="46"/>
        <v>Error?</v>
      </c>
    </row>
    <row r="3056" spans="1:4" x14ac:dyDescent="0.2">
      <c r="A3056" s="5">
        <v>2995</v>
      </c>
      <c r="B3056" s="138">
        <f>'Expenditures 15-22'!D10</f>
        <v>20930</v>
      </c>
      <c r="D3056" s="2" t="str">
        <f t="shared" si="46"/>
        <v>Error?</v>
      </c>
    </row>
    <row r="3057" spans="1:4" x14ac:dyDescent="0.2">
      <c r="A3057" s="5">
        <v>2996</v>
      </c>
      <c r="B3057" s="138">
        <f>'Expenditures 15-22'!E10</f>
        <v>3200</v>
      </c>
      <c r="D3057" s="2" t="str">
        <f t="shared" si="46"/>
        <v>Error?</v>
      </c>
    </row>
    <row r="3058" spans="1:4" x14ac:dyDescent="0.2">
      <c r="A3058" s="5">
        <v>2997</v>
      </c>
      <c r="B3058" s="138">
        <f>'Expenditures 15-22'!F10</f>
        <v>10926</v>
      </c>
      <c r="D3058" s="2" t="str">
        <f t="shared" si="46"/>
        <v>Error?</v>
      </c>
    </row>
    <row r="3059" spans="1:4" x14ac:dyDescent="0.2">
      <c r="A3059" s="5">
        <v>2998</v>
      </c>
      <c r="B3059" s="138">
        <f>'Expenditures 15-22'!G10</f>
        <v>47140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132009</v>
      </c>
      <c r="C3062" s="2" t="s">
        <v>594</v>
      </c>
      <c r="D3062" s="2" t="str">
        <f t="shared" si="46"/>
        <v>Error?</v>
      </c>
    </row>
    <row r="3063" spans="1:4" x14ac:dyDescent="0.2">
      <c r="A3063" s="10">
        <v>3002</v>
      </c>
      <c r="D3063" s="2" t="str">
        <f t="shared" si="46"/>
        <v>OK</v>
      </c>
    </row>
    <row r="3064" spans="1:4" x14ac:dyDescent="0.2">
      <c r="A3064" s="5">
        <v>3003</v>
      </c>
      <c r="B3064" s="138">
        <f>'Expenditures 15-22'!D219</f>
        <v>730</v>
      </c>
      <c r="D3064" s="2" t="str">
        <f t="shared" si="46"/>
        <v>Error?</v>
      </c>
    </row>
    <row r="3065" spans="1:4" x14ac:dyDescent="0.2">
      <c r="A3065" s="5">
        <v>3004</v>
      </c>
      <c r="B3065" s="138">
        <f>'Expenditures 15-22'!K219</f>
        <v>730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295929</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66897</v>
      </c>
      <c r="C3225" s="2" t="s">
        <v>594</v>
      </c>
      <c r="D3225" s="2" t="str">
        <f t="shared" si="49"/>
        <v>Error?</v>
      </c>
    </row>
    <row r="3226" spans="1:4" x14ac:dyDescent="0.2">
      <c r="A3226" s="5">
        <v>3165</v>
      </c>
      <c r="B3226" s="138">
        <f>'Acct Summary 7-8'!I8</f>
        <v>66897</v>
      </c>
      <c r="C3226" s="2" t="s">
        <v>594</v>
      </c>
      <c r="D3226" s="2" t="str">
        <f t="shared" si="49"/>
        <v>Error?</v>
      </c>
    </row>
    <row r="3227" spans="1:4" x14ac:dyDescent="0.2">
      <c r="A3227" s="5">
        <v>3166</v>
      </c>
      <c r="B3227" s="138">
        <f>'Acct Summary 7-8'!I20</f>
        <v>66897</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78995</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3123</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110030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-3224</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566</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75267</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66897</v>
      </c>
      <c r="C3320" s="2" t="s">
        <v>594</v>
      </c>
      <c r="D3320" s="2" t="str">
        <f t="shared" si="50"/>
        <v>Error?</v>
      </c>
    </row>
    <row r="3321" spans="1:4" x14ac:dyDescent="0.2">
      <c r="A3321" s="5">
        <v>3260</v>
      </c>
      <c r="B3321" s="138">
        <f>'Acct Summary 7-8'!I79</f>
        <v>517947</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584844</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575851</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215285</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26</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1883</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793045</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51350</v>
      </c>
      <c r="D3387" s="2" t="str">
        <f t="shared" si="51"/>
        <v>Error?</v>
      </c>
    </row>
    <row r="3388" spans="1:4" x14ac:dyDescent="0.2">
      <c r="A3388" s="5">
        <v>3327</v>
      </c>
      <c r="B3388" s="138">
        <f>'Expenditures 15-22'!D217</f>
        <v>34065</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51350</v>
      </c>
      <c r="C3390" s="2" t="s">
        <v>594</v>
      </c>
      <c r="D3390" s="2" t="str">
        <f t="shared" si="51"/>
        <v>Error?</v>
      </c>
    </row>
    <row r="3391" spans="1:4" x14ac:dyDescent="0.2">
      <c r="A3391" s="5">
        <v>3330</v>
      </c>
      <c r="B3391" s="138">
        <f>'Expenditures 15-22'!K217</f>
        <v>34065</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2269911</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425957</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106988</v>
      </c>
      <c r="D3417" s="2" t="str">
        <f t="shared" si="52"/>
        <v>Error?</v>
      </c>
    </row>
    <row r="3418" spans="1:4" x14ac:dyDescent="0.2">
      <c r="A3418" s="10">
        <v>3357</v>
      </c>
      <c r="D3418" s="2" t="str">
        <f t="shared" si="52"/>
        <v>OK</v>
      </c>
    </row>
    <row r="3419" spans="1:4" x14ac:dyDescent="0.2">
      <c r="A3419" s="5">
        <v>3358</v>
      </c>
      <c r="B3419" s="138">
        <f>'Assets-Liab 5-6'!F4</f>
        <v>306318</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103526</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539955</v>
      </c>
      <c r="D3425" s="2" t="str">
        <f t="shared" si="52"/>
        <v>Error?</v>
      </c>
    </row>
    <row r="3426" spans="1:4" x14ac:dyDescent="0.2">
      <c r="A3426" s="10">
        <v>3365</v>
      </c>
      <c r="D3426" s="2" t="str">
        <f t="shared" si="52"/>
        <v>OK</v>
      </c>
    </row>
    <row r="3427" spans="1:4" x14ac:dyDescent="0.2">
      <c r="A3427" s="5">
        <v>3366</v>
      </c>
      <c r="B3427" s="138">
        <f>'Assets-Liab 5-6'!I4</f>
        <v>584844</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277597</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108909</v>
      </c>
      <c r="C3446" s="2" t="s">
        <v>594</v>
      </c>
      <c r="D3446" s="2" t="str">
        <f t="shared" si="52"/>
        <v>Error?</v>
      </c>
    </row>
    <row r="3447" spans="1:4" x14ac:dyDescent="0.2">
      <c r="A3447" s="5">
        <v>3386</v>
      </c>
      <c r="B3447" s="138">
        <f>'Tax Sched 23'!D16</f>
        <v>106732</v>
      </c>
      <c r="C3447" s="2" t="s">
        <v>594</v>
      </c>
      <c r="D3447" s="2" t="str">
        <f t="shared" si="52"/>
        <v>Error?</v>
      </c>
    </row>
    <row r="3448" spans="1:4" x14ac:dyDescent="0.2">
      <c r="A3448" s="5">
        <v>3387</v>
      </c>
      <c r="B3448" s="138">
        <f>'Tax Sched 23'!C16</f>
        <v>2177</v>
      </c>
      <c r="D3448" s="2" t="str">
        <f t="shared" si="52"/>
        <v>Error?</v>
      </c>
    </row>
    <row r="3449" spans="1:4" x14ac:dyDescent="0.2">
      <c r="A3449" s="5">
        <v>3388</v>
      </c>
      <c r="B3449" s="138">
        <f>'Tax Sched 23'!F16</f>
        <v>107938</v>
      </c>
      <c r="C3449" s="2" t="s">
        <v>594</v>
      </c>
      <c r="D3449" s="2" t="str">
        <f t="shared" si="52"/>
        <v>Error?</v>
      </c>
    </row>
    <row r="3450" spans="1:4" x14ac:dyDescent="0.2">
      <c r="A3450" s="5">
        <v>3389</v>
      </c>
      <c r="B3450" s="138">
        <f>'Tax Sched 23'!E16</f>
        <v>110115</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132606</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132606</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132606</v>
      </c>
      <c r="D3567" s="2" t="str">
        <f t="shared" si="54"/>
        <v>Error?</v>
      </c>
    </row>
    <row r="3568" spans="1:4" x14ac:dyDescent="0.2">
      <c r="A3568" s="5">
        <v>3507</v>
      </c>
      <c r="B3568" s="138">
        <f>'Assets-Liab 5-6'!K41</f>
        <v>132606</v>
      </c>
      <c r="C3568" s="2" t="s">
        <v>594</v>
      </c>
      <c r="D3568" s="2" t="str">
        <f t="shared" si="54"/>
        <v>Error?</v>
      </c>
    </row>
    <row r="3569" spans="1:4" x14ac:dyDescent="0.2">
      <c r="A3569" s="5">
        <v>3508</v>
      </c>
      <c r="B3569" s="138">
        <f>'Acct Summary 7-8'!K4</f>
        <v>61109</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61109</v>
      </c>
      <c r="C3571" s="2" t="s">
        <v>594</v>
      </c>
      <c r="D3571" s="2" t="str">
        <f t="shared" si="54"/>
        <v>Error?</v>
      </c>
    </row>
    <row r="3572" spans="1:4" x14ac:dyDescent="0.2">
      <c r="A3572" s="5">
        <v>3511</v>
      </c>
      <c r="B3572" s="138">
        <f>'Acct Summary 7-8'!K13</f>
        <v>12955</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12955</v>
      </c>
      <c r="C3575" s="2" t="s">
        <v>594</v>
      </c>
      <c r="D3575" s="2" t="str">
        <f t="shared" si="54"/>
        <v>Error?</v>
      </c>
    </row>
    <row r="3576" spans="1:4" x14ac:dyDescent="0.2">
      <c r="A3576" s="5">
        <v>3515</v>
      </c>
      <c r="B3576" s="138">
        <f>'Acct Summary 7-8'!K20</f>
        <v>48154</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48154</v>
      </c>
      <c r="C3588" s="2" t="s">
        <v>594</v>
      </c>
      <c r="D3588" s="2" t="str">
        <f t="shared" si="55"/>
        <v>Error?</v>
      </c>
    </row>
    <row r="3589" spans="1:4" x14ac:dyDescent="0.2">
      <c r="A3589" s="5">
        <v>3528</v>
      </c>
      <c r="B3589" s="138">
        <f>'Acct Summary 7-8'!K79</f>
        <v>84452</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132606</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10042</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10042</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10042</v>
      </c>
      <c r="C3635" s="2" t="s">
        <v>594</v>
      </c>
      <c r="D3635" s="2" t="str">
        <f t="shared" si="55"/>
        <v>Error?</v>
      </c>
    </row>
    <row r="3636" spans="1:4" x14ac:dyDescent="0.2">
      <c r="A3636" s="5">
        <v>3575</v>
      </c>
      <c r="B3636" s="138">
        <f>'Expenditures 15-22'!E367</f>
        <v>10042</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2913</v>
      </c>
      <c r="D3639" s="2" t="str">
        <f t="shared" si="55"/>
        <v>Error?</v>
      </c>
    </row>
    <row r="3640" spans="1:4" x14ac:dyDescent="0.2">
      <c r="A3640" s="5">
        <v>3579</v>
      </c>
      <c r="B3640" s="138">
        <f>'Expenditures 15-22'!F350</f>
        <v>2913</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2913</v>
      </c>
      <c r="C3642" s="2" t="s">
        <v>594</v>
      </c>
      <c r="D3642" s="2" t="str">
        <f t="shared" si="55"/>
        <v>Error?</v>
      </c>
    </row>
    <row r="3643" spans="1:4" x14ac:dyDescent="0.2">
      <c r="A3643" s="5">
        <v>3582</v>
      </c>
      <c r="B3643" s="138">
        <f>'Expenditures 15-22'!F367</f>
        <v>2913</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10042</v>
      </c>
      <c r="C3668" s="2" t="s">
        <v>594</v>
      </c>
      <c r="D3668" s="2" t="str">
        <f t="shared" si="56"/>
        <v>Error?</v>
      </c>
    </row>
    <row r="3669" spans="1:4" x14ac:dyDescent="0.2">
      <c r="A3669" s="5">
        <v>3608</v>
      </c>
      <c r="B3669" s="138">
        <f>'Expenditures 15-22'!K349</f>
        <v>2913</v>
      </c>
      <c r="C3669" s="2" t="s">
        <v>594</v>
      </c>
      <c r="D3669" s="2" t="str">
        <f t="shared" si="56"/>
        <v>Error?</v>
      </c>
    </row>
    <row r="3670" spans="1:4" x14ac:dyDescent="0.2">
      <c r="A3670" s="5">
        <v>3609</v>
      </c>
      <c r="B3670" s="138">
        <f>'Expenditures 15-22'!K350</f>
        <v>12955</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12955</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12955</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48154</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59456</v>
      </c>
      <c r="C3725" s="2" t="s">
        <v>594</v>
      </c>
      <c r="D3725" s="2" t="str">
        <f t="shared" si="57"/>
        <v>Error?</v>
      </c>
    </row>
    <row r="3726" spans="1:4" x14ac:dyDescent="0.2">
      <c r="A3726" s="5">
        <v>3665</v>
      </c>
      <c r="B3726" s="138">
        <f>'Tax Sched 23'!D13</f>
        <v>58250</v>
      </c>
      <c r="C3726" s="2" t="s">
        <v>594</v>
      </c>
      <c r="D3726" s="2" t="str">
        <f t="shared" si="57"/>
        <v>Error?</v>
      </c>
    </row>
    <row r="3727" spans="1:4" x14ac:dyDescent="0.2">
      <c r="A3727" s="5">
        <v>3666</v>
      </c>
      <c r="B3727" s="138">
        <f>'Tax Sched 23'!C13</f>
        <v>1206</v>
      </c>
      <c r="D3727" s="2" t="str">
        <f t="shared" si="57"/>
        <v>Error?</v>
      </c>
    </row>
    <row r="3728" spans="1:4" x14ac:dyDescent="0.2">
      <c r="A3728" s="5">
        <v>3667</v>
      </c>
      <c r="B3728" s="138">
        <f>'Tax Sched 23'!F13</f>
        <v>59699</v>
      </c>
      <c r="C3728" s="2" t="s">
        <v>594</v>
      </c>
      <c r="D3728" s="2" t="str">
        <f t="shared" si="57"/>
        <v>Error?</v>
      </c>
    </row>
    <row r="3729" spans="1:4" x14ac:dyDescent="0.2">
      <c r="A3729" s="5">
        <v>3668</v>
      </c>
      <c r="B3729" s="138">
        <f>'Tax Sched 23'!E13</f>
        <v>60905</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2839165</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9875738</v>
      </c>
      <c r="C4122" s="2" t="s">
        <v>594</v>
      </c>
      <c r="D4122" s="2" t="str">
        <f t="shared" si="63"/>
        <v>Error?</v>
      </c>
    </row>
    <row r="4123" spans="1:4" x14ac:dyDescent="0.2">
      <c r="A4123" s="5">
        <v>4062</v>
      </c>
      <c r="B4123" s="138">
        <f>'Acct Summary 7-8'!D10</f>
        <v>659173</v>
      </c>
      <c r="C4123" s="2" t="s">
        <v>594</v>
      </c>
      <c r="D4123" s="2" t="str">
        <f t="shared" si="63"/>
        <v>Error?</v>
      </c>
    </row>
    <row r="4124" spans="1:4" x14ac:dyDescent="0.2">
      <c r="A4124" s="5">
        <v>4063</v>
      </c>
      <c r="B4124" s="138">
        <f>'Acct Summary 7-8'!E10</f>
        <v>907185</v>
      </c>
      <c r="C4124" s="2" t="s">
        <v>594</v>
      </c>
      <c r="D4124" s="2" t="str">
        <f t="shared" si="63"/>
        <v>Error?</v>
      </c>
    </row>
    <row r="4125" spans="1:4" x14ac:dyDescent="0.2">
      <c r="A4125" s="5">
        <v>4064</v>
      </c>
      <c r="B4125" s="138">
        <f>'Acct Summary 7-8'!F10</f>
        <v>740682</v>
      </c>
      <c r="C4125" s="2" t="s">
        <v>594</v>
      </c>
      <c r="D4125" s="2" t="str">
        <f t="shared" si="63"/>
        <v>Error?</v>
      </c>
    </row>
    <row r="4126" spans="1:4" x14ac:dyDescent="0.2">
      <c r="A4126" s="5">
        <v>4065</v>
      </c>
      <c r="B4126" s="138">
        <f>'Acct Summary 7-8'!G10</f>
        <v>190823</v>
      </c>
      <c r="C4126" s="2" t="s">
        <v>594</v>
      </c>
      <c r="D4126" s="2" t="str">
        <f t="shared" si="63"/>
        <v>Error?</v>
      </c>
    </row>
    <row r="4127" spans="1:4" x14ac:dyDescent="0.2">
      <c r="A4127" s="5">
        <v>4066</v>
      </c>
      <c r="B4127" s="138">
        <f>'Acct Summary 7-8'!H10</f>
        <v>665977</v>
      </c>
      <c r="C4127" s="2" t="s">
        <v>594</v>
      </c>
      <c r="D4127" s="2" t="str">
        <f t="shared" si="63"/>
        <v>Error?</v>
      </c>
    </row>
    <row r="4128" spans="1:4" x14ac:dyDescent="0.2">
      <c r="A4128" s="5">
        <v>4067</v>
      </c>
      <c r="B4128" s="138">
        <f>'Acct Summary 7-8'!I10</f>
        <v>66897</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61109</v>
      </c>
      <c r="C4130" s="2" t="s">
        <v>594</v>
      </c>
      <c r="D4130" s="2" t="str">
        <f t="shared" si="63"/>
        <v>Error?</v>
      </c>
    </row>
    <row r="4131" spans="1:4" x14ac:dyDescent="0.2">
      <c r="A4131" s="5">
        <v>4070</v>
      </c>
      <c r="B4131" s="138">
        <f>'Acct Summary 7-8'!C18</f>
        <v>2839165</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9796743</v>
      </c>
      <c r="C4136" s="2" t="s">
        <v>594</v>
      </c>
      <c r="D4136" s="2" t="str">
        <f t="shared" si="63"/>
        <v>Error?</v>
      </c>
    </row>
    <row r="4137" spans="1:4" x14ac:dyDescent="0.2">
      <c r="A4137" s="5">
        <v>4076</v>
      </c>
      <c r="B4137" s="138">
        <f>'Acct Summary 7-8'!D19</f>
        <v>656050</v>
      </c>
      <c r="C4137" s="2" t="s">
        <v>594</v>
      </c>
      <c r="D4137" s="2" t="str">
        <f t="shared" si="63"/>
        <v>Error?</v>
      </c>
    </row>
    <row r="4138" spans="1:4" x14ac:dyDescent="0.2">
      <c r="A4138" s="5">
        <v>4077</v>
      </c>
      <c r="B4138" s="138">
        <f>'Acct Summary 7-8'!E19</f>
        <v>906619</v>
      </c>
      <c r="C4138" s="2" t="s">
        <v>594</v>
      </c>
      <c r="D4138" s="2" t="str">
        <f t="shared" si="63"/>
        <v>Error?</v>
      </c>
    </row>
    <row r="4139" spans="1:4" x14ac:dyDescent="0.2">
      <c r="A4139" s="5">
        <v>4078</v>
      </c>
      <c r="B4139" s="138">
        <f>'Acct Summary 7-8'!F19</f>
        <v>630652</v>
      </c>
      <c r="C4139" s="2" t="s">
        <v>594</v>
      </c>
      <c r="D4139" s="2" t="str">
        <f t="shared" si="63"/>
        <v>Error?</v>
      </c>
    </row>
    <row r="4140" spans="1:4" x14ac:dyDescent="0.2">
      <c r="A4140" s="5">
        <v>4079</v>
      </c>
      <c r="B4140" s="138">
        <f>'Acct Summary 7-8'!G19</f>
        <v>194047</v>
      </c>
      <c r="C4140" s="2" t="s">
        <v>594</v>
      </c>
      <c r="D4140" s="2" t="str">
        <f t="shared" si="63"/>
        <v>Error?</v>
      </c>
    </row>
    <row r="4141" spans="1:4" x14ac:dyDescent="0.2">
      <c r="A4141" s="5">
        <v>4080</v>
      </c>
      <c r="B4141" s="138">
        <f>'Acct Summary 7-8'!H19</f>
        <v>590710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12955</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2775000</v>
      </c>
      <c r="C4171" s="2" t="s">
        <v>594</v>
      </c>
      <c r="D4171" s="2" t="str">
        <f t="shared" si="64"/>
        <v>Error?</v>
      </c>
    </row>
    <row r="4172" spans="1:4" x14ac:dyDescent="0.2">
      <c r="A4172" s="5">
        <v>4111</v>
      </c>
      <c r="B4172" s="138">
        <f>'Short-Term Long-Term Debt 24'!J49</f>
        <v>2668012</v>
      </c>
      <c r="C4172" s="2" t="s">
        <v>594</v>
      </c>
      <c r="D4172" s="2" t="str">
        <f t="shared" si="64"/>
        <v>Error?</v>
      </c>
    </row>
    <row r="4173" spans="1:4" x14ac:dyDescent="0.2">
      <c r="A4173" s="5">
        <v>4112</v>
      </c>
      <c r="B4173" s="138">
        <f>'Short-Term Long-Term Debt 24'!H49</f>
        <v>790000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16530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2750</v>
      </c>
      <c r="C4265" s="2" t="s">
        <v>594</v>
      </c>
      <c r="D4265" s="2" t="str">
        <f t="shared" si="65"/>
        <v>Error?</v>
      </c>
      <c r="E4265" s="128"/>
    </row>
    <row r="4266" spans="1:5" x14ac:dyDescent="0.2">
      <c r="A4266" s="12">
        <v>4205</v>
      </c>
      <c r="B4266" s="138">
        <f>('FP Info 3'!F10)*100000</f>
        <v>500</v>
      </c>
      <c r="C4266" s="2" t="s">
        <v>594</v>
      </c>
      <c r="D4266" s="2" t="str">
        <f t="shared" si="65"/>
        <v>Error?</v>
      </c>
      <c r="E4266" s="128"/>
    </row>
    <row r="4267" spans="1:5" x14ac:dyDescent="0.2">
      <c r="A4267" s="12">
        <v>4206</v>
      </c>
      <c r="B4267" s="138">
        <f>('FP Info 3'!H10)*100000</f>
        <v>200</v>
      </c>
      <c r="C4267" s="2" t="s">
        <v>594</v>
      </c>
      <c r="D4267" s="2" t="str">
        <f t="shared" si="65"/>
        <v>Error?</v>
      </c>
      <c r="E4267" s="128"/>
    </row>
    <row r="4268" spans="1:5" x14ac:dyDescent="0.2">
      <c r="A4268" s="12">
        <v>4207</v>
      </c>
      <c r="B4268" s="138">
        <f>('FP Info 3'!J10)*100000</f>
        <v>3450.0000000000005</v>
      </c>
      <c r="C4268" s="2" t="s">
        <v>594</v>
      </c>
      <c r="D4268" s="2" t="str">
        <f t="shared" si="65"/>
        <v>Error?</v>
      </c>
    </row>
    <row r="4269" spans="1:5" x14ac:dyDescent="0.2">
      <c r="A4269" s="12">
        <v>4208</v>
      </c>
      <c r="B4269" s="138">
        <f>'FP Info 3'!J16</f>
        <v>3588122</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17649</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77</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44607</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845</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121809369</v>
      </c>
      <c r="D4995" s="2" t="str">
        <f t="shared" si="77"/>
        <v>Error?</v>
      </c>
    </row>
    <row r="4996" spans="1:4" x14ac:dyDescent="0.2">
      <c r="A4996" s="12">
        <v>4935</v>
      </c>
      <c r="B4996" s="138">
        <f>'FP Info 3'!H31</f>
        <v>16809692.922000002</v>
      </c>
      <c r="D4996" s="2" t="str">
        <f t="shared" si="77"/>
        <v>Error?</v>
      </c>
    </row>
    <row r="4997" spans="1:4" x14ac:dyDescent="0.2">
      <c r="A4997" s="12">
        <v>4936</v>
      </c>
      <c r="B4997" s="138">
        <f>'FP Info 3'!H37</f>
        <v>2775000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59456</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3269373</v>
      </c>
      <c r="D5061" s="2" t="str">
        <f t="shared" si="78"/>
        <v>Error?</v>
      </c>
    </row>
    <row r="5062" spans="1:4" x14ac:dyDescent="0.2">
      <c r="A5062" s="10">
        <v>5001</v>
      </c>
      <c r="D5062" s="2" t="str">
        <f t="shared" si="78"/>
        <v>OK</v>
      </c>
    </row>
    <row r="5063" spans="1:4" x14ac:dyDescent="0.2">
      <c r="A5063" s="5">
        <v>5002</v>
      </c>
      <c r="B5063" s="138">
        <f>'Revenues 9-14'!C7</f>
        <v>47558</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3376387</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1464378</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1464378</v>
      </c>
      <c r="C5071" s="2" t="s">
        <v>594</v>
      </c>
      <c r="D5071" s="2" t="str">
        <f t="shared" si="78"/>
        <v>Error?</v>
      </c>
    </row>
    <row r="5072" spans="1:4" x14ac:dyDescent="0.2">
      <c r="A5072" s="5">
        <v>5011</v>
      </c>
      <c r="B5072" s="138">
        <f>'Revenues 9-14'!C20</f>
        <v>7280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7280</v>
      </c>
      <c r="C5087" s="2" t="s">
        <v>594</v>
      </c>
      <c r="D5087" s="2" t="str">
        <f t="shared" si="78"/>
        <v>Error?</v>
      </c>
    </row>
    <row r="5088" spans="1:4" x14ac:dyDescent="0.2">
      <c r="A5088" s="5">
        <v>5027</v>
      </c>
      <c r="B5088" s="138">
        <f>'Revenues 9-14'!C65</f>
        <v>39003</v>
      </c>
      <c r="D5088" s="2" t="str">
        <f t="shared" si="78"/>
        <v>Error?</v>
      </c>
    </row>
    <row r="5089" spans="1:4" x14ac:dyDescent="0.2">
      <c r="A5089" s="5">
        <v>5028</v>
      </c>
      <c r="B5089" s="138">
        <f>'Revenues 9-14'!C66</f>
        <v>0</v>
      </c>
      <c r="D5089" s="2" t="str">
        <f t="shared" si="78"/>
        <v>Error?</v>
      </c>
    </row>
    <row r="5090" spans="1:4" x14ac:dyDescent="0.2">
      <c r="A5090" s="5">
        <v>5029</v>
      </c>
      <c r="B5090" s="138">
        <f>'Revenues 9-14'!C67</f>
        <v>39003</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14791</v>
      </c>
      <c r="D5092" s="2" t="str">
        <f t="shared" si="78"/>
        <v>Error?</v>
      </c>
    </row>
    <row r="5093" spans="1:4" x14ac:dyDescent="0.2">
      <c r="A5093" s="5">
        <v>5032</v>
      </c>
      <c r="B5093" s="138">
        <f>'Revenues 9-14'!C72</f>
        <v>0</v>
      </c>
      <c r="D5093" s="2" t="str">
        <f t="shared" si="78"/>
        <v>Error?</v>
      </c>
    </row>
    <row r="5094" spans="1:4" x14ac:dyDescent="0.2">
      <c r="A5094" s="5">
        <v>5033</v>
      </c>
      <c r="B5094" s="138">
        <f>'Revenues 9-14'!C73</f>
        <v>1173</v>
      </c>
      <c r="D5094" s="2" t="str">
        <f t="shared" si="78"/>
        <v>Error?</v>
      </c>
    </row>
    <row r="5095" spans="1:4" x14ac:dyDescent="0.2">
      <c r="A5095" s="5">
        <v>5034</v>
      </c>
      <c r="B5095" s="138">
        <f>'Revenues 9-14'!C74</f>
        <v>0</v>
      </c>
      <c r="D5095" s="2" t="str">
        <f t="shared" si="78"/>
        <v>Error?</v>
      </c>
    </row>
    <row r="5096" spans="1:4" x14ac:dyDescent="0.2">
      <c r="A5096" s="5">
        <v>5035</v>
      </c>
      <c r="B5096" s="138">
        <f>'Revenues 9-14'!C75</f>
        <v>154077</v>
      </c>
      <c r="C5096" s="2" t="s">
        <v>594</v>
      </c>
      <c r="D5096" s="2" t="str">
        <f t="shared" si="78"/>
        <v>Error?</v>
      </c>
    </row>
    <row r="5097" spans="1:4" x14ac:dyDescent="0.2">
      <c r="A5097" s="5">
        <v>5036</v>
      </c>
      <c r="B5097" s="138">
        <f>'Revenues 9-14'!C77</f>
        <v>38389</v>
      </c>
      <c r="D5097" s="2" t="str">
        <f t="shared" si="78"/>
        <v>Error?</v>
      </c>
    </row>
    <row r="5098" spans="1:4" x14ac:dyDescent="0.2">
      <c r="A5098" s="5">
        <v>5037</v>
      </c>
      <c r="B5098" s="138">
        <f>'Revenues 9-14'!C78</f>
        <v>0</v>
      </c>
      <c r="D5098" s="2" t="str">
        <f t="shared" si="78"/>
        <v>Error?</v>
      </c>
    </row>
    <row r="5099" spans="1:4" x14ac:dyDescent="0.2">
      <c r="A5099" s="5">
        <v>5038</v>
      </c>
      <c r="B5099" s="138">
        <f>'Revenues 9-14'!C79</f>
        <v>8383</v>
      </c>
      <c r="D5099" s="2" t="str">
        <f t="shared" si="78"/>
        <v>Error?</v>
      </c>
    </row>
    <row r="5100" spans="1:4" x14ac:dyDescent="0.2">
      <c r="A5100" s="5">
        <v>5039</v>
      </c>
      <c r="B5100" s="138">
        <f>'Revenues 9-14'!C80</f>
        <v>0</v>
      </c>
      <c r="D5100" s="2" t="str">
        <f t="shared" si="78"/>
        <v>Error?</v>
      </c>
    </row>
    <row r="5101" spans="1:4" x14ac:dyDescent="0.2">
      <c r="A5101" s="5">
        <v>5040</v>
      </c>
      <c r="B5101" s="138">
        <f>'Revenues 9-14'!C81</f>
        <v>501</v>
      </c>
      <c r="D5101" s="2" t="str">
        <f t="shared" si="78"/>
        <v>Error?</v>
      </c>
    </row>
    <row r="5102" spans="1:4" x14ac:dyDescent="0.2">
      <c r="A5102" s="5">
        <v>5041</v>
      </c>
      <c r="B5102" s="138">
        <f>'Revenues 9-14'!C82</f>
        <v>47273</v>
      </c>
      <c r="C5102" s="2" t="s">
        <v>594</v>
      </c>
      <c r="D5102" s="2" t="str">
        <f t="shared" si="78"/>
        <v>Error?</v>
      </c>
    </row>
    <row r="5103" spans="1:4" x14ac:dyDescent="0.2">
      <c r="A5103" s="5">
        <v>5042</v>
      </c>
      <c r="B5103" s="138">
        <f>'Revenues 9-14'!C84</f>
        <v>49166</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49166</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1559</v>
      </c>
      <c r="D5118" s="2" t="str">
        <f t="shared" si="78"/>
        <v>Error?</v>
      </c>
    </row>
    <row r="5119" spans="1:4" x14ac:dyDescent="0.2">
      <c r="A5119" s="5">
        <v>5058</v>
      </c>
      <c r="B5119" s="138">
        <f>'Revenues 9-14'!C107</f>
        <v>189372</v>
      </c>
      <c r="D5119" s="2" t="str">
        <f t="shared" ref="D5119:D5182" si="79">IF(ISBLANK(B5119),"OK",IF(A5119-B5119=0,"OK","Error?"))</f>
        <v>Error?</v>
      </c>
    </row>
    <row r="5120" spans="1:4" x14ac:dyDescent="0.2">
      <c r="A5120" s="5">
        <v>5059</v>
      </c>
      <c r="B5120" s="138">
        <f>'Revenues 9-14'!C108</f>
        <v>194377</v>
      </c>
      <c r="C5120" s="2" t="s">
        <v>594</v>
      </c>
      <c r="D5120" s="2" t="str">
        <f t="shared" si="79"/>
        <v>Error?</v>
      </c>
    </row>
    <row r="5121" spans="1:4" x14ac:dyDescent="0.2">
      <c r="A5121" s="5">
        <v>5060</v>
      </c>
      <c r="B5121" s="138">
        <f>'Revenues 9-14'!C109</f>
        <v>5331941</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1249087</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1249087</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64641</v>
      </c>
      <c r="D5134" s="2" t="str">
        <f t="shared" si="79"/>
        <v>Error?</v>
      </c>
    </row>
    <row r="5135" spans="1:4" x14ac:dyDescent="0.2">
      <c r="A5135" s="5">
        <v>5074</v>
      </c>
      <c r="B5135" s="138">
        <f>'Revenues 9-14'!C126</f>
        <v>59324</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123965</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18143</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2504</v>
      </c>
      <c r="D5167" s="2" t="str">
        <f t="shared" si="79"/>
        <v>Error?</v>
      </c>
    </row>
    <row r="5168" spans="1:4" x14ac:dyDescent="0.2">
      <c r="A5168" s="5">
        <v>5107</v>
      </c>
      <c r="B5168" s="138">
        <f>'Revenues 9-14'!C147</f>
        <v>14606</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160063</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1409150</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137220</v>
      </c>
      <c r="D5239" s="2" t="str">
        <f t="shared" si="80"/>
        <v>Error?</v>
      </c>
    </row>
    <row r="5240" spans="1:4" x14ac:dyDescent="0.2">
      <c r="A5240" s="5">
        <v>5179</v>
      </c>
      <c r="B5240" s="138">
        <f>'Revenues 9-14'!C195</f>
        <v>530</v>
      </c>
      <c r="D5240" s="2" t="str">
        <f t="shared" si="80"/>
        <v>Error?</v>
      </c>
    </row>
    <row r="5241" spans="1:4" x14ac:dyDescent="0.2">
      <c r="A5241" s="5">
        <v>5180</v>
      </c>
      <c r="B5241" s="138">
        <f>'Revenues 9-14'!C196</f>
        <v>31767</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169517</v>
      </c>
      <c r="C5246" s="2" t="s">
        <v>594</v>
      </c>
      <c r="D5246" s="2" t="str">
        <f t="shared" si="80"/>
        <v>Error?</v>
      </c>
    </row>
    <row r="5247" spans="1:4" x14ac:dyDescent="0.2">
      <c r="A5247" s="5">
        <v>5186</v>
      </c>
      <c r="B5247" s="138">
        <f>'Revenues 9-14'!C203</f>
        <v>63632</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63632</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295482</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295482</v>
      </c>
      <c r="C5326" s="2" t="s">
        <v>594</v>
      </c>
      <c r="D5326" s="2" t="str">
        <f t="shared" si="82"/>
        <v>Error?</v>
      </c>
    </row>
    <row r="5327" spans="1:4" x14ac:dyDescent="0.2">
      <c r="A5327" s="5">
        <v>5266</v>
      </c>
      <c r="B5327" s="138">
        <f>'Revenues 9-14'!C275</f>
        <v>7036573</v>
      </c>
      <c r="C5327" s="2" t="s">
        <v>594</v>
      </c>
      <c r="D5327" s="2" t="str">
        <f t="shared" si="82"/>
        <v>Error?</v>
      </c>
    </row>
    <row r="5328" spans="1:4" x14ac:dyDescent="0.2">
      <c r="A5328" s="5">
        <v>5267</v>
      </c>
      <c r="B5328" s="138">
        <f>'Revenues 9-14'!D5</f>
        <v>594474</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594474</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7300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7300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6215</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1184</v>
      </c>
      <c r="D5354" s="2" t="str">
        <f t="shared" si="82"/>
        <v>Error?</v>
      </c>
    </row>
    <row r="5355" spans="1:4" x14ac:dyDescent="0.2">
      <c r="A5355" s="5">
        <v>5294</v>
      </c>
      <c r="B5355" s="138">
        <f>'Revenues 9-14'!D108</f>
        <v>7399</v>
      </c>
      <c r="C5355" s="2" t="s">
        <v>594</v>
      </c>
      <c r="D5355" s="2" t="str">
        <f t="shared" si="82"/>
        <v>Error?</v>
      </c>
    </row>
    <row r="5356" spans="1:4" x14ac:dyDescent="0.2">
      <c r="A5356" s="5">
        <v>5295</v>
      </c>
      <c r="B5356" s="138">
        <f>'Revenues 9-14'!D109</f>
        <v>609173</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50000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50000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50000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659173</v>
      </c>
      <c r="C5508" s="2" t="s">
        <v>594</v>
      </c>
      <c r="D5508" s="2" t="str">
        <f t="shared" si="85"/>
        <v>Error?</v>
      </c>
    </row>
    <row r="5509" spans="1:4" x14ac:dyDescent="0.2">
      <c r="A5509" s="5">
        <v>5448</v>
      </c>
      <c r="B5509" s="138">
        <f>'Revenues 9-14'!E5</f>
        <v>904338</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904338</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2847</v>
      </c>
      <c r="D5519" s="2" t="str">
        <f t="shared" si="85"/>
        <v>Error?</v>
      </c>
    </row>
    <row r="5520" spans="1:4" x14ac:dyDescent="0.2">
      <c r="A5520" s="5">
        <v>5459</v>
      </c>
      <c r="B5520" s="138">
        <f>'Revenues 9-14'!E66</f>
        <v>0</v>
      </c>
      <c r="D5520" s="2" t="str">
        <f t="shared" si="85"/>
        <v>Error?</v>
      </c>
    </row>
    <row r="5521" spans="1:4" x14ac:dyDescent="0.2">
      <c r="A5521" s="5">
        <v>5460</v>
      </c>
      <c r="B5521" s="138">
        <f>'Revenues 9-14'!E67</f>
        <v>2847</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907185</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907185</v>
      </c>
      <c r="C5552" s="2" t="s">
        <v>594</v>
      </c>
      <c r="D5552" s="2" t="str">
        <f t="shared" si="85"/>
        <v>Error?</v>
      </c>
    </row>
    <row r="5553" spans="1:4" x14ac:dyDescent="0.2">
      <c r="A5553" s="5">
        <v>5492</v>
      </c>
      <c r="B5553" s="138">
        <f>'Revenues 9-14'!F5</f>
        <v>237787</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237787</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4526</v>
      </c>
      <c r="D5580" s="2" t="str">
        <f t="shared" si="86"/>
        <v>Error?</v>
      </c>
    </row>
    <row r="5581" spans="1:4" x14ac:dyDescent="0.2">
      <c r="A5581" s="5">
        <v>5520</v>
      </c>
      <c r="B5581" s="138">
        <f>'Revenues 9-14'!F66</f>
        <v>0</v>
      </c>
      <c r="D5581" s="2" t="str">
        <f t="shared" si="86"/>
        <v>Error?</v>
      </c>
    </row>
    <row r="5582" spans="1:4" x14ac:dyDescent="0.2">
      <c r="A5582" s="5">
        <v>5521</v>
      </c>
      <c r="B5582" s="138">
        <f>'Revenues 9-14'!F67</f>
        <v>4526</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242313</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50000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50000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154743</v>
      </c>
      <c r="D5615" s="2" t="str">
        <f t="shared" si="86"/>
        <v>Error?</v>
      </c>
    </row>
    <row r="5616" spans="1:4" x14ac:dyDescent="0.2">
      <c r="A5616" s="10">
        <v>5555</v>
      </c>
      <c r="D5616" s="2" t="str">
        <f t="shared" si="86"/>
        <v>OK</v>
      </c>
    </row>
    <row r="5617" spans="1:4" x14ac:dyDescent="0.2">
      <c r="A5617" s="5">
        <v>5556</v>
      </c>
      <c r="B5617" s="138">
        <f>'Revenues 9-14'!F152</f>
        <v>293626</v>
      </c>
      <c r="D5617" s="2" t="str">
        <f t="shared" si="86"/>
        <v>Error?</v>
      </c>
    </row>
    <row r="5618" spans="1:4" x14ac:dyDescent="0.2">
      <c r="A5618" s="5">
        <v>5557</v>
      </c>
      <c r="B5618" s="138">
        <f>'Revenues 9-14'!F154</f>
        <v>448369</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448369</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498369</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740682</v>
      </c>
      <c r="C5720" s="2" t="s">
        <v>594</v>
      </c>
      <c r="D5720" s="2" t="str">
        <f t="shared" si="88"/>
        <v>Error?</v>
      </c>
    </row>
    <row r="5721" spans="1:4" x14ac:dyDescent="0.2">
      <c r="A5721" s="5">
        <v>5660</v>
      </c>
      <c r="B5721" s="138">
        <f>'Revenues 9-14'!G5</f>
        <v>79903</v>
      </c>
      <c r="D5721" s="2" t="str">
        <f t="shared" si="88"/>
        <v>Error?</v>
      </c>
    </row>
    <row r="5722" spans="1:4" x14ac:dyDescent="0.2">
      <c r="A5722" s="5">
        <v>5661</v>
      </c>
      <c r="B5722" s="138">
        <f>'Revenues 9-14'!G7</f>
        <v>0</v>
      </c>
      <c r="D5722" s="2" t="str">
        <f t="shared" si="88"/>
        <v>Error?</v>
      </c>
    </row>
    <row r="5723" spans="1:4" x14ac:dyDescent="0.2">
      <c r="A5723" s="5">
        <v>5662</v>
      </c>
      <c r="B5723" s="138">
        <f>'Revenues 9-14'!G8</f>
        <v>108909</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188812</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2011</v>
      </c>
      <c r="D5731" s="2" t="str">
        <f t="shared" si="88"/>
        <v>Error?</v>
      </c>
    </row>
    <row r="5732" spans="1:4" x14ac:dyDescent="0.2">
      <c r="A5732" s="5">
        <v>5671</v>
      </c>
      <c r="B5732" s="138">
        <f>'Revenues 9-14'!G66</f>
        <v>0</v>
      </c>
      <c r="D5732" s="2" t="str">
        <f t="shared" si="88"/>
        <v>Error?</v>
      </c>
    </row>
    <row r="5733" spans="1:4" x14ac:dyDescent="0.2">
      <c r="A5733" s="5">
        <v>5672</v>
      </c>
      <c r="B5733" s="138">
        <f>'Revenues 9-14'!G67</f>
        <v>2011</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190823</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4360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4360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2060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661617</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665977</v>
      </c>
      <c r="C5915" s="2" t="s">
        <v>594</v>
      </c>
      <c r="D5915" s="2" t="str">
        <f t="shared" si="91"/>
        <v>Error?</v>
      </c>
    </row>
    <row r="5916" spans="1:4" x14ac:dyDescent="0.2">
      <c r="A5916" s="5">
        <v>5855</v>
      </c>
      <c r="B5916" s="138">
        <f>'Revenues 9-14'!I5</f>
        <v>59453</v>
      </c>
      <c r="D5916" s="2" t="str">
        <f t="shared" si="91"/>
        <v>Error?</v>
      </c>
    </row>
    <row r="5917" spans="1:4" x14ac:dyDescent="0.2">
      <c r="A5917" s="5">
        <v>5856</v>
      </c>
      <c r="B5917" s="138">
        <f>'Revenues 9-14'!I11</f>
        <v>0</v>
      </c>
      <c r="D5917" s="2" t="str">
        <f t="shared" si="91"/>
        <v>Error?</v>
      </c>
    </row>
    <row r="5918" spans="1:4" x14ac:dyDescent="0.2">
      <c r="A5918" s="5">
        <v>5857</v>
      </c>
      <c r="B5918" s="138">
        <f>'Revenues 9-14'!I12</f>
        <v>59453</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7444</v>
      </c>
      <c r="D5924" s="2" t="str">
        <f t="shared" si="91"/>
        <v>Error?</v>
      </c>
    </row>
    <row r="5925" spans="1:4" x14ac:dyDescent="0.2">
      <c r="A5925" s="5">
        <v>5864</v>
      </c>
      <c r="B5925" s="138">
        <f>'Revenues 9-14'!I66</f>
        <v>0</v>
      </c>
      <c r="D5925" s="2" t="str">
        <f t="shared" si="91"/>
        <v>Error?</v>
      </c>
    </row>
    <row r="5926" spans="1:4" x14ac:dyDescent="0.2">
      <c r="A5926" s="5">
        <v>5865</v>
      </c>
      <c r="B5926" s="138">
        <f>'Revenues 9-14'!I67</f>
        <v>7444</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66897</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59453</v>
      </c>
      <c r="D5985" s="2" t="str">
        <f t="shared" si="92"/>
        <v>Error?</v>
      </c>
    </row>
    <row r="5986" spans="1:4" x14ac:dyDescent="0.2">
      <c r="A5986" s="5">
        <v>5925</v>
      </c>
      <c r="B5986" s="138">
        <f>'Revenues 9-14'!K11</f>
        <v>0</v>
      </c>
      <c r="D5986" s="2" t="str">
        <f t="shared" si="92"/>
        <v>Error?</v>
      </c>
    </row>
    <row r="5987" spans="1:4" x14ac:dyDescent="0.2">
      <c r="A5987" s="5">
        <v>5926</v>
      </c>
      <c r="B5987" s="138">
        <f>'Revenues 9-14'!K12</f>
        <v>59453</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1656</v>
      </c>
      <c r="D5993" s="2" t="str">
        <f t="shared" si="92"/>
        <v>Error?</v>
      </c>
    </row>
    <row r="5994" spans="1:4" x14ac:dyDescent="0.2">
      <c r="A5994" s="5">
        <v>5933</v>
      </c>
      <c r="B5994" s="138">
        <f>'Revenues 9-14'!K66</f>
        <v>0</v>
      </c>
      <c r="D5994" s="2" t="str">
        <f t="shared" si="92"/>
        <v>Error?</v>
      </c>
    </row>
    <row r="5995" spans="1:4" x14ac:dyDescent="0.2">
      <c r="A5995" s="5">
        <v>5934</v>
      </c>
      <c r="B5995" s="138">
        <f>'Revenues 9-14'!K67</f>
        <v>1656</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61109</v>
      </c>
      <c r="C6023" s="2" t="s">
        <v>594</v>
      </c>
      <c r="D6023" s="2" t="str">
        <f t="shared" si="93"/>
        <v>Error?</v>
      </c>
    </row>
    <row r="6024" spans="1:5" x14ac:dyDescent="0.2">
      <c r="A6024" s="5">
        <v>5963</v>
      </c>
      <c r="B6024" s="138">
        <f>'Revenues 9-14'!G109</f>
        <v>190823</v>
      </c>
      <c r="C6024" s="2" t="s">
        <v>594</v>
      </c>
      <c r="D6024" s="2" t="str">
        <f t="shared" si="93"/>
        <v>Error?</v>
      </c>
    </row>
    <row r="6025" spans="1:5" x14ac:dyDescent="0.2">
      <c r="A6025" s="5">
        <v>5964</v>
      </c>
      <c r="B6025" s="138">
        <f>'Revenues 9-14'!H109</f>
        <v>665977</v>
      </c>
      <c r="C6025" s="2" t="s">
        <v>594</v>
      </c>
      <c r="D6025" s="2" t="str">
        <f t="shared" si="93"/>
        <v>Error?</v>
      </c>
    </row>
    <row r="6026" spans="1:5" x14ac:dyDescent="0.2">
      <c r="A6026" s="5">
        <v>5965</v>
      </c>
      <c r="B6026" s="138">
        <f>'Revenues 9-14'!I109</f>
        <v>66897</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61109</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138113</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882.21</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2769</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274360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274360</v>
      </c>
      <c r="D6215" s="2" t="str">
        <f t="shared" si="96"/>
        <v>Error?</v>
      </c>
      <c r="E6215" s="2" t="s">
        <v>199</v>
      </c>
    </row>
    <row r="6216" spans="1:5" x14ac:dyDescent="0.2">
      <c r="A6216">
        <v>6155</v>
      </c>
      <c r="B6216" s="138">
        <f>'Assets-Liab 5-6'!J41</f>
        <v>274360</v>
      </c>
      <c r="D6216" s="2" t="str">
        <f t="shared" si="96"/>
        <v>Error?</v>
      </c>
      <c r="E6216" s="2" t="s">
        <v>199</v>
      </c>
    </row>
    <row r="6217" spans="1:5" x14ac:dyDescent="0.2">
      <c r="A6217">
        <v>6156</v>
      </c>
      <c r="B6217" s="138">
        <f>'Assets-Liab 5-6'!J4</f>
        <v>274360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403621</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403621</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403621</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330508</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330508</v>
      </c>
      <c r="D6229" s="2" t="str">
        <f t="shared" si="96"/>
        <v>Error?</v>
      </c>
      <c r="E6229" s="2" t="s">
        <v>199</v>
      </c>
    </row>
    <row r="6230" spans="1:5" x14ac:dyDescent="0.2">
      <c r="A6230">
        <v>6169</v>
      </c>
      <c r="B6230" s="138">
        <f>'Acct Summary 7-8'!J20</f>
        <v>73113</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73113</v>
      </c>
      <c r="D6263" s="2" t="str">
        <f t="shared" si="96"/>
        <v>Error?</v>
      </c>
      <c r="E6263" s="2" t="s">
        <v>199</v>
      </c>
    </row>
    <row r="6264" spans="1:5" x14ac:dyDescent="0.2">
      <c r="A6264">
        <v>6203</v>
      </c>
      <c r="B6264" s="138">
        <f>'Acct Summary 7-8'!J79</f>
        <v>201247</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274360</v>
      </c>
      <c r="D6266" s="2" t="str">
        <f t="shared" si="96"/>
        <v>Error?</v>
      </c>
      <c r="E6266" s="2" t="s">
        <v>199</v>
      </c>
    </row>
    <row r="6267" spans="1:5" x14ac:dyDescent="0.2">
      <c r="A6267">
        <v>6206</v>
      </c>
      <c r="B6267" s="138">
        <f>'Acct Summary 7-8'!C82</f>
        <v>78995</v>
      </c>
      <c r="D6267" s="2" t="str">
        <f t="shared" si="96"/>
        <v>Error?</v>
      </c>
      <c r="E6267" s="2" t="s">
        <v>199</v>
      </c>
    </row>
    <row r="6268" spans="1:5" x14ac:dyDescent="0.2">
      <c r="A6268">
        <v>6207</v>
      </c>
      <c r="B6268" s="138">
        <f>'Acct Summary 7-8'!D82</f>
        <v>3123</v>
      </c>
      <c r="D6268" s="2" t="str">
        <f t="shared" si="96"/>
        <v>Error?</v>
      </c>
      <c r="E6268" s="2" t="s">
        <v>199</v>
      </c>
    </row>
    <row r="6269" spans="1:5" x14ac:dyDescent="0.2">
      <c r="A6269">
        <v>6208</v>
      </c>
      <c r="B6269" s="138">
        <f>'Acct Summary 7-8'!E82</f>
        <v>566</v>
      </c>
      <c r="D6269" s="2" t="str">
        <f t="shared" si="96"/>
        <v>Error?</v>
      </c>
      <c r="E6269" s="2" t="s">
        <v>199</v>
      </c>
    </row>
    <row r="6270" spans="1:5" x14ac:dyDescent="0.2">
      <c r="A6270">
        <v>6209</v>
      </c>
      <c r="B6270" s="138">
        <f>'Acct Summary 7-8'!F82</f>
        <v>110030</v>
      </c>
      <c r="D6270" s="2" t="str">
        <f t="shared" si="96"/>
        <v>Error?</v>
      </c>
      <c r="E6270" s="2" t="s">
        <v>199</v>
      </c>
    </row>
    <row r="6271" spans="1:5" x14ac:dyDescent="0.2">
      <c r="A6271">
        <v>6210</v>
      </c>
      <c r="B6271" s="138">
        <f>'Acct Summary 7-8'!G82</f>
        <v>-3224</v>
      </c>
      <c r="D6271" s="2" t="str">
        <f t="shared" ref="D6271:D6334" si="97">IF(ISBLANK(B6271),"OK",IF(A6271-B6271=0,"OK","Error?"))</f>
        <v>Error?</v>
      </c>
      <c r="E6271" s="2" t="s">
        <v>199</v>
      </c>
    </row>
    <row r="6272" spans="1:5" x14ac:dyDescent="0.2">
      <c r="A6272">
        <v>6211</v>
      </c>
      <c r="B6272" s="138">
        <f>'Acct Summary 7-8'!H82</f>
        <v>75267</v>
      </c>
      <c r="D6272" s="2" t="str">
        <f t="shared" si="97"/>
        <v>Error?</v>
      </c>
      <c r="E6272" s="2" t="s">
        <v>199</v>
      </c>
    </row>
    <row r="6273" spans="1:5" x14ac:dyDescent="0.2">
      <c r="A6273">
        <v>6212</v>
      </c>
      <c r="B6273" s="138">
        <f>'Acct Summary 7-8'!I82</f>
        <v>66897</v>
      </c>
      <c r="D6273" s="2" t="str">
        <f t="shared" si="97"/>
        <v>Error?</v>
      </c>
      <c r="E6273" s="2" t="s">
        <v>199</v>
      </c>
    </row>
    <row r="6274" spans="1:5" x14ac:dyDescent="0.2">
      <c r="A6274">
        <v>6213</v>
      </c>
      <c r="B6274" s="138">
        <f>'Acct Summary 7-8'!J82</f>
        <v>73113</v>
      </c>
      <c r="D6274" s="2" t="str">
        <f t="shared" si="97"/>
        <v>Error?</v>
      </c>
      <c r="E6274" s="2" t="s">
        <v>199</v>
      </c>
    </row>
    <row r="6275" spans="1:5" x14ac:dyDescent="0.2">
      <c r="A6275">
        <v>6214</v>
      </c>
      <c r="B6275" s="138">
        <f>'Acct Summary 7-8'!K82</f>
        <v>48154</v>
      </c>
      <c r="D6275" s="2" t="str">
        <f t="shared" si="97"/>
        <v>Error?</v>
      </c>
      <c r="E6275" s="2" t="s">
        <v>199</v>
      </c>
    </row>
    <row r="6276" spans="1:5" x14ac:dyDescent="0.2">
      <c r="A6276">
        <v>6215</v>
      </c>
      <c r="B6276" s="138">
        <f>'Acct Summary 7-8'!C83</f>
        <v>3.4784190069321791E-2</v>
      </c>
      <c r="D6276" s="2" t="str">
        <f t="shared" si="97"/>
        <v>Error?</v>
      </c>
      <c r="E6276" s="2" t="s">
        <v>199</v>
      </c>
    </row>
    <row r="6277" spans="1:5" x14ac:dyDescent="0.2">
      <c r="A6277">
        <v>6216</v>
      </c>
      <c r="B6277" s="138">
        <f>'Acct Summary 7-8'!D83</f>
        <v>7.3317259723399307E-3</v>
      </c>
      <c r="D6277" s="2" t="str">
        <f t="shared" si="97"/>
        <v>Error?</v>
      </c>
      <c r="E6277" s="2" t="s">
        <v>199</v>
      </c>
    </row>
    <row r="6278" spans="1:5" x14ac:dyDescent="0.2">
      <c r="A6278">
        <v>6217</v>
      </c>
      <c r="B6278" s="138">
        <f>'Acct Summary 7-8'!E83</f>
        <v>5.2903129322914716E-3</v>
      </c>
      <c r="D6278" s="2" t="str">
        <f t="shared" si="97"/>
        <v>Error?</v>
      </c>
      <c r="E6278" s="2" t="s">
        <v>199</v>
      </c>
    </row>
    <row r="6279" spans="1:5" x14ac:dyDescent="0.2">
      <c r="A6279">
        <v>6218</v>
      </c>
      <c r="B6279" s="138">
        <f>'Acct Summary 7-8'!F83</f>
        <v>0.35920187517547125</v>
      </c>
      <c r="D6279" s="2" t="str">
        <f t="shared" si="97"/>
        <v>Error?</v>
      </c>
      <c r="E6279" s="2" t="s">
        <v>199</v>
      </c>
    </row>
    <row r="6280" spans="1:5" x14ac:dyDescent="0.2">
      <c r="A6280">
        <v>6219</v>
      </c>
      <c r="B6280" s="138">
        <f>'Acct Summary 7-8'!G83</f>
        <v>-3.114193535923343E-2</v>
      </c>
      <c r="D6280" s="2" t="str">
        <f t="shared" si="97"/>
        <v>Error?</v>
      </c>
      <c r="E6280" s="2" t="s">
        <v>199</v>
      </c>
    </row>
    <row r="6281" spans="1:5" x14ac:dyDescent="0.2">
      <c r="A6281">
        <v>6220</v>
      </c>
      <c r="B6281" s="138">
        <f>'Acct Summary 7-8'!H83</f>
        <v>0.13939494957913159</v>
      </c>
      <c r="D6281" s="2" t="str">
        <f t="shared" si="97"/>
        <v>Error?</v>
      </c>
      <c r="E6281" s="2" t="s">
        <v>199</v>
      </c>
    </row>
    <row r="6282" spans="1:5" x14ac:dyDescent="0.2">
      <c r="A6282">
        <v>6221</v>
      </c>
      <c r="B6282" s="138">
        <f>'Acct Summary 7-8'!I83</f>
        <v>0.11438434864681864</v>
      </c>
      <c r="D6282" s="2" t="str">
        <f t="shared" si="97"/>
        <v>Error?</v>
      </c>
      <c r="E6282" s="2" t="s">
        <v>199</v>
      </c>
    </row>
    <row r="6283" spans="1:5" x14ac:dyDescent="0.2">
      <c r="A6283">
        <v>6222</v>
      </c>
      <c r="B6283" s="138">
        <f>'Acct Summary 7-8'!J83</f>
        <v>0.26648563930602126</v>
      </c>
      <c r="D6283" s="2" t="str">
        <f t="shared" si="97"/>
        <v>Error?</v>
      </c>
      <c r="E6283" s="2" t="s">
        <v>199</v>
      </c>
    </row>
    <row r="6284" spans="1:5" x14ac:dyDescent="0.2">
      <c r="A6284">
        <v>6223</v>
      </c>
      <c r="B6284" s="138">
        <f>'Acct Summary 7-8'!K83</f>
        <v>0.36313590636924425</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399721</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399721</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3900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3900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3446</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403621</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1613</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128400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178752</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15520</v>
      </c>
      <c r="D6989" s="2" t="str">
        <f t="shared" si="108"/>
        <v>Error?</v>
      </c>
    </row>
    <row r="6990" spans="1:4" x14ac:dyDescent="0.2">
      <c r="A6990">
        <v>6929</v>
      </c>
      <c r="B6990" s="138">
        <f>'Expenditures 15-22'!K89</f>
        <v>15520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15520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330508</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403621</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8709</v>
      </c>
      <c r="D7073" s="2" t="str">
        <f t="shared" si="109"/>
        <v>Error?</v>
      </c>
    </row>
    <row r="7074" spans="1:4" x14ac:dyDescent="0.2">
      <c r="A7074">
        <v>7013</v>
      </c>
      <c r="B7074" s="138">
        <f>'Expenditures 15-22'!K216</f>
        <v>8709</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14207</v>
      </c>
      <c r="D7093" s="2" t="str">
        <f t="shared" si="109"/>
        <v>Error?</v>
      </c>
    </row>
    <row r="7094" spans="1:4" x14ac:dyDescent="0.2">
      <c r="A7094">
        <v>7033</v>
      </c>
      <c r="B7094" s="138">
        <f>'Expenditures 15-22'!K254</f>
        <v>14207</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29763</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29763</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598</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598</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23894</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23894</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175577</v>
      </c>
      <c r="D7172" s="2" t="str">
        <f t="shared" si="111"/>
        <v>Error?</v>
      </c>
    </row>
    <row r="7173" spans="1:4" x14ac:dyDescent="0.2">
      <c r="A7173">
        <v>7112</v>
      </c>
      <c r="B7173" s="138">
        <f>'Expenditures 15-22'!D325</f>
        <v>34076</v>
      </c>
      <c r="D7173" s="2" t="str">
        <f t="shared" si="111"/>
        <v>Error?</v>
      </c>
    </row>
    <row r="7174" spans="1:4" x14ac:dyDescent="0.2">
      <c r="A7174">
        <v>7113</v>
      </c>
      <c r="B7174" s="138">
        <f>'Expenditures 15-22'!E325</f>
        <v>450</v>
      </c>
      <c r="D7174" s="2" t="str">
        <f t="shared" si="111"/>
        <v>Error?</v>
      </c>
    </row>
    <row r="7175" spans="1:4" x14ac:dyDescent="0.2">
      <c r="A7175">
        <v>7114</v>
      </c>
      <c r="B7175" s="138">
        <f>'Expenditures 15-22'!F325</f>
        <v>1585</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211688</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6518</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6518</v>
      </c>
      <c r="D7198" s="2" t="str">
        <f t="shared" si="111"/>
        <v>Error?</v>
      </c>
    </row>
    <row r="7199" spans="1:4" x14ac:dyDescent="0.2">
      <c r="A7199">
        <v>7138</v>
      </c>
      <c r="B7199" s="138">
        <f>'Expenditures 15-22'!C330</f>
        <v>175577</v>
      </c>
      <c r="D7199" s="2" t="str">
        <f t="shared" si="111"/>
        <v>Error?</v>
      </c>
    </row>
    <row r="7200" spans="1:4" x14ac:dyDescent="0.2">
      <c r="A7200">
        <v>7139</v>
      </c>
      <c r="B7200" s="138">
        <f>'Expenditures 15-22'!D330</f>
        <v>34076</v>
      </c>
      <c r="D7200" s="2" t="str">
        <f t="shared" si="111"/>
        <v>Error?</v>
      </c>
    </row>
    <row r="7201" spans="1:4" x14ac:dyDescent="0.2">
      <c r="A7201">
        <v>7140</v>
      </c>
      <c r="B7201" s="138">
        <f>'Expenditures 15-22'!E330</f>
        <v>119270</v>
      </c>
      <c r="D7201" s="2" t="str">
        <f t="shared" si="111"/>
        <v>Error?</v>
      </c>
    </row>
    <row r="7202" spans="1:4" x14ac:dyDescent="0.2">
      <c r="A7202">
        <v>7141</v>
      </c>
      <c r="B7202" s="138">
        <f>'Expenditures 15-22'!F330</f>
        <v>1585</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330508</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175577</v>
      </c>
      <c r="D7216" s="2" t="str">
        <f t="shared" si="111"/>
        <v>Error?</v>
      </c>
    </row>
    <row r="7217" spans="1:4" x14ac:dyDescent="0.2">
      <c r="A7217">
        <v>7156</v>
      </c>
      <c r="B7217" s="138">
        <f>'Expenditures 15-22'!D342</f>
        <v>34076</v>
      </c>
      <c r="D7217" s="2" t="str">
        <f t="shared" si="111"/>
        <v>Error?</v>
      </c>
    </row>
    <row r="7218" spans="1:4" x14ac:dyDescent="0.2">
      <c r="A7218">
        <v>7157</v>
      </c>
      <c r="B7218" s="138">
        <f>'Expenditures 15-22'!E342</f>
        <v>119270</v>
      </c>
      <c r="D7218" s="2" t="str">
        <f t="shared" si="111"/>
        <v>Error?</v>
      </c>
    </row>
    <row r="7219" spans="1:4" x14ac:dyDescent="0.2">
      <c r="A7219">
        <v>7158</v>
      </c>
      <c r="B7219" s="138">
        <f>'Expenditures 15-22'!F342</f>
        <v>1585</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330508</v>
      </c>
      <c r="D7224" s="2" t="str">
        <f t="shared" si="111"/>
        <v>Error?</v>
      </c>
    </row>
    <row r="7225" spans="1:4" x14ac:dyDescent="0.2">
      <c r="A7225">
        <v>7164</v>
      </c>
      <c r="B7225" s="138">
        <f>'Expenditures 15-22'!K343</f>
        <v>73113</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49875</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477</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15-22'!C13</f>
        <v>197946</v>
      </c>
      <c r="D7257" s="2" t="str">
        <f t="shared" si="112"/>
        <v>Error?</v>
      </c>
    </row>
    <row r="7258" spans="1:4" x14ac:dyDescent="0.2">
      <c r="A7258">
        <f t="shared" si="113"/>
        <v>7197</v>
      </c>
      <c r="B7258" s="138">
        <f>'Expenditures 15-22'!D13</f>
        <v>52516</v>
      </c>
      <c r="D7258" s="2" t="str">
        <f t="shared" si="112"/>
        <v>Error?</v>
      </c>
    </row>
    <row r="7259" spans="1:4" x14ac:dyDescent="0.2">
      <c r="A7259">
        <f t="shared" si="113"/>
        <v>7198</v>
      </c>
      <c r="B7259" s="138">
        <f>'Expenditures 15-22'!E13</f>
        <v>947</v>
      </c>
      <c r="D7259" s="2" t="str">
        <f t="shared" si="112"/>
        <v>Error?</v>
      </c>
    </row>
    <row r="7260" spans="1:4" x14ac:dyDescent="0.2">
      <c r="A7260">
        <f t="shared" si="113"/>
        <v>7199</v>
      </c>
      <c r="B7260" s="138">
        <f>'Expenditures 15-22'!F13</f>
        <v>9993</v>
      </c>
      <c r="D7260" s="2" t="str">
        <f t="shared" si="112"/>
        <v>Error?</v>
      </c>
    </row>
    <row r="7261" spans="1:4" x14ac:dyDescent="0.2">
      <c r="A7261">
        <f t="shared" si="113"/>
        <v>7200</v>
      </c>
      <c r="B7261" s="138">
        <f>'Expenditures 15-22'!G13</f>
        <v>1500</v>
      </c>
      <c r="D7261" s="2" t="str">
        <f t="shared" si="112"/>
        <v>Error?</v>
      </c>
    </row>
    <row r="7262" spans="1:4" x14ac:dyDescent="0.2">
      <c r="A7262">
        <f t="shared" si="113"/>
        <v>7201</v>
      </c>
      <c r="B7262" s="138">
        <f>'Expenditures 15-22'!H13</f>
        <v>205</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583116</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54294</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54294</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3753</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3753</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443826</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3446</v>
      </c>
      <c r="D7712" s="2" t="str">
        <f t="shared" si="126"/>
        <v>Error?</v>
      </c>
      <c r="E7712" s="2" t="s">
        <v>881</v>
      </c>
    </row>
    <row r="7713" spans="1:6" x14ac:dyDescent="0.2">
      <c r="A7713">
        <v>7652</v>
      </c>
      <c r="B7713" s="138">
        <f>'Rest Tax Levies-Tort Im 25'!J8</f>
        <v>659557</v>
      </c>
      <c r="D7713" s="2" t="str">
        <f t="shared" si="126"/>
        <v>Error?</v>
      </c>
      <c r="E7713" s="2" t="s">
        <v>881</v>
      </c>
    </row>
    <row r="7714" spans="1:6" x14ac:dyDescent="0.2">
      <c r="A7714">
        <v>7653</v>
      </c>
      <c r="B7714" s="138">
        <f>'Rest Tax Levies-Tort Im 25'!K9</f>
        <v>14606</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659557</v>
      </c>
      <c r="D7718" s="2" t="str">
        <f t="shared" si="126"/>
        <v>Error?</v>
      </c>
      <c r="E7718" s="2" t="s">
        <v>881</v>
      </c>
    </row>
    <row r="7719" spans="1:6" x14ac:dyDescent="0.2">
      <c r="A7719">
        <v>7658</v>
      </c>
      <c r="B7719" s="138">
        <f>'Rest Tax Levies-Tort Im 25'!K12</f>
        <v>18052</v>
      </c>
      <c r="D7719" s="2" t="str">
        <f t="shared" si="126"/>
        <v>Error?</v>
      </c>
      <c r="E7719" s="2" t="s">
        <v>881</v>
      </c>
    </row>
    <row r="7720" spans="1:6" x14ac:dyDescent="0.2">
      <c r="A7720">
        <v>7659</v>
      </c>
      <c r="B7720" s="138">
        <f>'Rest Tax Levies-Tort Im 25'!H14</f>
        <v>47558</v>
      </c>
      <c r="D7720" s="2" t="str">
        <f t="shared" si="126"/>
        <v>Error?</v>
      </c>
      <c r="E7720" s="2" t="s">
        <v>881</v>
      </c>
    </row>
    <row r="7721" spans="1:6" x14ac:dyDescent="0.2">
      <c r="A7721">
        <v>7660</v>
      </c>
      <c r="B7721" s="138">
        <f>'Rest Tax Levies-Tort Im 25'!K14</f>
        <v>18052</v>
      </c>
      <c r="D7721" s="2" t="str">
        <f t="shared" si="126"/>
        <v>Error?</v>
      </c>
      <c r="E7721" s="2" t="s">
        <v>881</v>
      </c>
    </row>
    <row r="7722" spans="1:6" x14ac:dyDescent="0.2">
      <c r="A7722">
        <v>7661</v>
      </c>
      <c r="B7722" s="138">
        <f>'Rest Tax Levies-Tort Im 25'!J15</f>
        <v>590710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590710</v>
      </c>
      <c r="D7730" s="2" t="str">
        <f t="shared" si="126"/>
        <v>Error?</v>
      </c>
      <c r="E7730" s="2" t="s">
        <v>881</v>
      </c>
    </row>
    <row r="7731" spans="1:6" x14ac:dyDescent="0.2">
      <c r="A7731">
        <v>7670</v>
      </c>
      <c r="B7731" s="138">
        <f>'Revenues 9-14'!H103</f>
        <v>659557</v>
      </c>
      <c r="D7731" s="2" t="str">
        <f t="shared" si="126"/>
        <v>Error?</v>
      </c>
      <c r="E7731" s="2" t="s">
        <v>881</v>
      </c>
    </row>
    <row r="7732" spans="1:6" x14ac:dyDescent="0.2">
      <c r="A7732">
        <v>7671</v>
      </c>
      <c r="B7732" s="138">
        <f>'Rest Tax Levies-Tort Im 25'!J24</f>
        <v>512673</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512673</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0</v>
      </c>
      <c r="D7783" s="2" t="str">
        <f t="shared" si="127"/>
        <v>Error?</v>
      </c>
      <c r="E7783" s="4" t="s">
        <v>1966</v>
      </c>
    </row>
    <row r="7784" spans="1:5" x14ac:dyDescent="0.2">
      <c r="A7784">
        <v>7723</v>
      </c>
      <c r="B7784" s="138">
        <f>'Expenditures 15-22'!K282</f>
        <v>0</v>
      </c>
      <c r="D7784" s="2" t="str">
        <f t="shared" si="127"/>
        <v>Error?</v>
      </c>
      <c r="E7784" s="4" t="s">
        <v>1966</v>
      </c>
    </row>
    <row r="7785" spans="1:5" x14ac:dyDescent="0.2">
      <c r="A7785">
        <v>7724</v>
      </c>
      <c r="B7785" s="138">
        <f>'Expenditures 15-22'!H332</f>
        <v>0</v>
      </c>
      <c r="D7785" s="2" t="str">
        <f t="shared" si="127"/>
        <v>Error?</v>
      </c>
      <c r="E7785" s="4" t="s">
        <v>1966</v>
      </c>
    </row>
    <row r="7786" spans="1:5" x14ac:dyDescent="0.2">
      <c r="A7786">
        <v>7725</v>
      </c>
      <c r="B7786" s="138">
        <f>'Expenditures 15-22'!K332</f>
        <v>0</v>
      </c>
      <c r="D7786" s="2" t="str">
        <f t="shared" si="127"/>
        <v>Error?</v>
      </c>
      <c r="E7786" s="4" t="s">
        <v>1966</v>
      </c>
    </row>
    <row r="7787" spans="1:5" x14ac:dyDescent="0.2">
      <c r="A7787">
        <v>7726</v>
      </c>
      <c r="B7787" s="138">
        <f>'Expenditures 15-22'!H333</f>
        <v>0</v>
      </c>
      <c r="D7787" s="2" t="str">
        <f t="shared" si="127"/>
        <v>Error?</v>
      </c>
      <c r="E7787" s="4" t="s">
        <v>1966</v>
      </c>
    </row>
    <row r="7788" spans="1:5" x14ac:dyDescent="0.2">
      <c r="A7788">
        <v>7727</v>
      </c>
      <c r="B7788" s="138">
        <f>'Expenditures 15-22'!K333</f>
        <v>0</v>
      </c>
      <c r="D7788" s="2" t="str">
        <f t="shared" si="127"/>
        <v>Error?</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f>'Expenditures 15-22'!E138</f>
        <v>0</v>
      </c>
      <c r="D7795" s="2" t="str">
        <f t="shared" si="127"/>
        <v>Error?</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29'!D141</f>
        <v>0</v>
      </c>
      <c r="D7797" s="2" t="str">
        <f t="shared" si="127"/>
        <v>Error?</v>
      </c>
      <c r="E7797" s="4" t="s">
        <v>2019</v>
      </c>
    </row>
    <row r="7798" spans="1:5" x14ac:dyDescent="0.2">
      <c r="A7798">
        <v>7737</v>
      </c>
      <c r="B7798" s="138">
        <f>'Contracts Paid in CY 29'!F141</f>
        <v>0</v>
      </c>
      <c r="D7798" s="2" t="str">
        <f t="shared" si="127"/>
        <v>Error?</v>
      </c>
      <c r="E7798" s="4" t="s">
        <v>2019</v>
      </c>
    </row>
    <row r="7799" spans="1:5" x14ac:dyDescent="0.2">
      <c r="A7799">
        <v>7738</v>
      </c>
      <c r="B7799" s="138">
        <f>'Contracts Paid in CY 29'!G141</f>
        <v>0</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00" t="s">
        <v>1253</v>
      </c>
      <c r="B2" s="2400"/>
      <c r="C2" s="2400"/>
      <c r="D2" s="2400"/>
      <c r="E2" s="2400"/>
      <c r="F2" s="2400"/>
      <c r="G2" s="2400"/>
      <c r="H2" s="2400"/>
      <c r="I2" s="2400"/>
      <c r="J2" s="2400"/>
      <c r="K2" s="2400"/>
      <c r="L2" s="2400"/>
    </row>
    <row r="3" spans="1:29" ht="13.5" customHeight="1" x14ac:dyDescent="0.2">
      <c r="A3" s="2431" t="s">
        <v>1252</v>
      </c>
      <c r="B3" s="2431"/>
      <c r="C3" s="2431"/>
      <c r="D3" s="2431"/>
      <c r="E3" s="2431"/>
      <c r="F3" s="2431"/>
      <c r="G3" s="2431"/>
      <c r="H3" s="2431"/>
      <c r="I3" s="2431"/>
      <c r="J3" s="2431"/>
      <c r="K3" s="2431"/>
      <c r="L3" s="2431"/>
    </row>
    <row r="4" spans="1:29" ht="13.5" customHeight="1" x14ac:dyDescent="0.2">
      <c r="A4" s="2400" t="s">
        <v>1799</v>
      </c>
      <c r="B4" s="2421"/>
      <c r="C4" s="2421"/>
      <c r="D4" s="2421"/>
      <c r="E4" s="2421"/>
      <c r="F4" s="2421"/>
      <c r="G4" s="2421"/>
      <c r="H4" s="2421"/>
      <c r="I4" s="2421"/>
      <c r="J4" s="2421"/>
      <c r="K4" s="2421"/>
      <c r="L4" s="2421"/>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22" t="str">
        <f>COVER!A17</f>
        <v>Tuscola CUSD 301</v>
      </c>
      <c r="B7" s="2423"/>
      <c r="C7" s="2423"/>
      <c r="D7" s="2424"/>
      <c r="E7" s="2425">
        <f>COVER!A13</f>
        <v>11021301026</v>
      </c>
      <c r="F7" s="2426"/>
      <c r="G7" s="2432" t="str">
        <f>COVER!T23</f>
        <v>065.018319</v>
      </c>
      <c r="H7" s="2433"/>
      <c r="I7" s="2433"/>
      <c r="J7" s="2433"/>
      <c r="K7" s="2433"/>
      <c r="L7" s="2434"/>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5"/>
      <c r="B9" s="2436"/>
      <c r="C9" s="2436"/>
      <c r="D9" s="2436"/>
      <c r="E9" s="2436"/>
      <c r="F9" s="2437"/>
      <c r="G9" s="2406" t="str">
        <f>COVER!T13</f>
        <v>RUSSELL LEIGH &amp; ASSOCIATIES</v>
      </c>
      <c r="H9" s="2438"/>
      <c r="I9" s="2438"/>
      <c r="J9" s="2438"/>
      <c r="K9" s="2438"/>
      <c r="L9" s="2439"/>
    </row>
    <row r="10" spans="1:29" ht="13.5" customHeight="1" x14ac:dyDescent="0.2">
      <c r="A10" s="2412" t="str">
        <f>COVER!A38</f>
        <v>MICHAEL SMITH</v>
      </c>
      <c r="B10" s="2413"/>
      <c r="C10" s="2413"/>
      <c r="D10" s="2413"/>
      <c r="E10" s="2413"/>
      <c r="F10" s="2414"/>
      <c r="G10" s="2406" t="str">
        <f>COVER!T17</f>
        <v>228 E MAIN ST</v>
      </c>
      <c r="H10" s="2407"/>
      <c r="I10" s="2407"/>
      <c r="J10" s="2407"/>
      <c r="K10" s="2407"/>
      <c r="L10" s="2408"/>
    </row>
    <row r="11" spans="1:29" ht="13.5" customHeight="1" x14ac:dyDescent="0.2">
      <c r="A11" s="1185" t="s">
        <v>1599</v>
      </c>
      <c r="B11" s="1186"/>
      <c r="C11" s="1187"/>
      <c r="D11" s="1192"/>
      <c r="E11" s="1187"/>
      <c r="F11" s="1191"/>
      <c r="G11" s="2406" t="str">
        <f>COVER!T19</f>
        <v>HOOPESTON</v>
      </c>
      <c r="H11" s="2407"/>
      <c r="I11" s="2407"/>
      <c r="J11" s="2407"/>
      <c r="K11" s="2407"/>
      <c r="L11" s="2408"/>
    </row>
    <row r="12" spans="1:29" ht="13.5" customHeight="1" x14ac:dyDescent="0.2">
      <c r="A12" s="2415" t="s">
        <v>1598</v>
      </c>
      <c r="B12" s="2416"/>
      <c r="C12" s="2416"/>
      <c r="D12" s="2416"/>
      <c r="E12" s="2416"/>
      <c r="F12" s="2417"/>
      <c r="G12" s="2409"/>
      <c r="H12" s="2410"/>
      <c r="I12" s="2410"/>
      <c r="J12" s="2410"/>
      <c r="K12" s="2410"/>
      <c r="L12" s="2411"/>
    </row>
    <row r="13" spans="1:29" ht="13.5" customHeight="1" x14ac:dyDescent="0.2">
      <c r="A13" s="2406"/>
      <c r="B13" s="2407"/>
      <c r="C13" s="2407"/>
      <c r="D13" s="2407"/>
      <c r="E13" s="2407"/>
      <c r="F13" s="2408"/>
      <c r="G13" s="2401" t="s">
        <v>1600</v>
      </c>
      <c r="H13" s="2402"/>
      <c r="I13" s="2418" t="str">
        <f>COVER!T25</f>
        <v>admin@russleigh.com</v>
      </c>
      <c r="J13" s="2419"/>
      <c r="K13" s="2419"/>
      <c r="L13" s="2420"/>
    </row>
    <row r="14" spans="1:29" ht="13.5" customHeight="1" x14ac:dyDescent="0.2">
      <c r="A14" s="2406" t="str">
        <f>COVER!A19</f>
        <v>409 SOUTH PRAIRIE STREET</v>
      </c>
      <c r="B14" s="2407"/>
      <c r="C14" s="2407"/>
      <c r="D14" s="2407"/>
      <c r="E14" s="2407"/>
      <c r="F14" s="2408"/>
      <c r="G14" s="1196" t="s">
        <v>1247</v>
      </c>
      <c r="H14" s="1194"/>
      <c r="I14" s="1194"/>
      <c r="J14" s="1194"/>
      <c r="K14" s="1194"/>
      <c r="L14" s="1195"/>
    </row>
    <row r="15" spans="1:29" ht="13.5" customHeight="1" x14ac:dyDescent="0.2">
      <c r="A15" s="2406" t="str">
        <f>COVER!A21</f>
        <v>TUSCOLA</v>
      </c>
      <c r="B15" s="2407"/>
      <c r="C15" s="2407"/>
      <c r="D15" s="2407"/>
      <c r="E15" s="2407"/>
      <c r="F15" s="2408"/>
      <c r="G15" s="2403" t="str">
        <f>COVER!T15</f>
        <v>RUSS LEIGH</v>
      </c>
      <c r="H15" s="2404"/>
      <c r="I15" s="2404"/>
      <c r="J15" s="2404"/>
      <c r="K15" s="2404"/>
      <c r="L15" s="2405"/>
    </row>
    <row r="16" spans="1:29" ht="12.2" customHeight="1" x14ac:dyDescent="0.2">
      <c r="A16" s="2428">
        <f>COVER!A25</f>
        <v>61953</v>
      </c>
      <c r="B16" s="2429"/>
      <c r="C16" s="2429"/>
      <c r="D16" s="2429"/>
      <c r="E16" s="2429"/>
      <c r="F16" s="2430"/>
      <c r="G16" s="2440"/>
      <c r="H16" s="2441"/>
      <c r="I16" s="2441"/>
      <c r="J16" s="2441"/>
      <c r="K16" s="2441"/>
      <c r="L16" s="2442"/>
    </row>
    <row r="17" spans="1:13" ht="12.2" customHeight="1" x14ac:dyDescent="0.2">
      <c r="A17" s="2443"/>
      <c r="B17" s="2429"/>
      <c r="C17" s="2429"/>
      <c r="D17" s="2429"/>
      <c r="E17" s="2429"/>
      <c r="F17" s="2430"/>
      <c r="G17" s="1196" t="s">
        <v>1246</v>
      </c>
      <c r="H17" s="1194"/>
      <c r="I17" s="1194"/>
      <c r="J17" s="1194"/>
      <c r="K17" s="1198" t="s">
        <v>1245</v>
      </c>
      <c r="L17" s="1191"/>
      <c r="M17" s="1184"/>
    </row>
    <row r="18" spans="1:13" ht="12.2" customHeight="1" x14ac:dyDescent="0.2">
      <c r="A18" s="2412"/>
      <c r="B18" s="2413"/>
      <c r="C18" s="2413"/>
      <c r="D18" s="2413"/>
      <c r="E18" s="2413"/>
      <c r="F18" s="2414"/>
      <c r="G18" s="2422" t="str">
        <f>COVER!T21</f>
        <v>217-283-9336</v>
      </c>
      <c r="H18" s="2423"/>
      <c r="I18" s="2423"/>
      <c r="J18" s="2423"/>
      <c r="K18" s="2422" t="str">
        <f>COVER!X21</f>
        <v>217-283-9736</v>
      </c>
      <c r="L18" s="2427"/>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1946</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4" t="str">
        <f>'Single Audit Cover'!A7</f>
        <v>Tuscola CUSD 301</v>
      </c>
      <c r="B1" s="2421"/>
      <c r="C1" s="2421"/>
      <c r="D1" s="2421"/>
    </row>
    <row r="2" spans="1:11" s="1215" customFormat="1" ht="12.75" x14ac:dyDescent="0.2">
      <c r="A2" s="2445">
        <f>'Single Audit Cover'!E7</f>
        <v>11021301026</v>
      </c>
      <c r="B2" s="2446"/>
      <c r="C2" s="2446"/>
      <c r="D2" s="2446"/>
    </row>
    <row r="3" spans="1:11" s="1215" customFormat="1" ht="12.75" x14ac:dyDescent="0.2">
      <c r="A3" s="2444" t="s">
        <v>1593</v>
      </c>
      <c r="B3" s="2421"/>
      <c r="C3" s="2421"/>
      <c r="D3" s="2421"/>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1947</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8" t="str">
        <f>'Single Audit Cover'!A7</f>
        <v>Tuscola CUSD 301</v>
      </c>
      <c r="B1" s="2448"/>
      <c r="C1" s="2448"/>
      <c r="D1" s="2448"/>
      <c r="E1" s="2448"/>
    </row>
    <row r="2" spans="1:5" x14ac:dyDescent="0.2">
      <c r="A2" s="2449">
        <f>'Single Audit Cover'!E7</f>
        <v>11021301026</v>
      </c>
      <c r="B2" s="2449"/>
      <c r="C2" s="2449"/>
      <c r="D2" s="2449"/>
      <c r="E2" s="2449"/>
    </row>
    <row r="3" spans="1:5" ht="4.5" customHeight="1" x14ac:dyDescent="0.2"/>
    <row r="4" spans="1:5" x14ac:dyDescent="0.2">
      <c r="A4" s="2448" t="s">
        <v>1307</v>
      </c>
      <c r="B4" s="2448"/>
      <c r="C4" s="2448"/>
      <c r="D4" s="2448"/>
      <c r="E4" s="2448"/>
    </row>
    <row r="5" spans="1:5" x14ac:dyDescent="0.2">
      <c r="A5" s="2451" t="str">
        <f>'Single Audit Cover'!A4</f>
        <v>Year Ending June 30, 2018</v>
      </c>
      <c r="B5" s="2451"/>
      <c r="C5" s="2451"/>
      <c r="D5" s="2451"/>
      <c r="E5" s="2451"/>
    </row>
    <row r="6" spans="1:5" x14ac:dyDescent="0.2">
      <c r="A6" s="2448" t="s">
        <v>1306</v>
      </c>
      <c r="B6" s="2448"/>
      <c r="C6" s="2448"/>
      <c r="D6" s="2448"/>
      <c r="E6" s="2448"/>
    </row>
    <row r="8" spans="1:5" x14ac:dyDescent="0.2">
      <c r="A8" s="1260" t="s">
        <v>1305</v>
      </c>
    </row>
    <row r="10" spans="1:5" x14ac:dyDescent="0.2">
      <c r="A10" s="1261" t="s">
        <v>1304</v>
      </c>
      <c r="B10" s="1262" t="s">
        <v>1303</v>
      </c>
      <c r="C10" s="1262"/>
      <c r="D10" s="1263">
        <f>SUM('Acct Summary 7-8'!C7:K7)</f>
        <v>295482</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1955</v>
      </c>
      <c r="B16" s="1262"/>
      <c r="C16" s="1262"/>
    </row>
    <row r="17" spans="1:4" x14ac:dyDescent="0.2">
      <c r="A17" s="1261" t="s">
        <v>1601</v>
      </c>
      <c r="B17" s="1262" t="s">
        <v>1298</v>
      </c>
      <c r="C17" s="1262"/>
      <c r="D17" s="1264">
        <f>-SUM('Revenues 9-14'!C271:D271,'Revenues 9-14'!F271:G271)</f>
        <v>-77</v>
      </c>
    </row>
    <row r="19" spans="1:4" ht="13.5" thickBot="1" x14ac:dyDescent="0.25">
      <c r="A19" s="1265" t="s">
        <v>1297</v>
      </c>
      <c r="D19" s="1266">
        <f>SUM(D10:D17)</f>
        <v>295405</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50"/>
      <c r="B24" s="2450"/>
      <c r="D24" s="1268"/>
    </row>
    <row r="25" spans="1:4" x14ac:dyDescent="0.2">
      <c r="A25" s="2447"/>
      <c r="B25" s="2447"/>
      <c r="D25" s="1268"/>
    </row>
    <row r="26" spans="1:4" x14ac:dyDescent="0.2">
      <c r="A26" s="2447"/>
      <c r="B26" s="2447"/>
      <c r="D26" s="1268"/>
    </row>
    <row r="27" spans="1:4" x14ac:dyDescent="0.2">
      <c r="A27" s="2447"/>
      <c r="B27" s="2447"/>
      <c r="D27" s="1268"/>
    </row>
    <row r="28" spans="1:4" x14ac:dyDescent="0.2">
      <c r="A28" s="2447"/>
      <c r="B28" s="2447"/>
      <c r="D28" s="1268"/>
    </row>
    <row r="29" spans="1:4" x14ac:dyDescent="0.2">
      <c r="A29" s="2447"/>
      <c r="B29" s="2447"/>
      <c r="D29" s="1268"/>
    </row>
    <row r="30" spans="1:4" x14ac:dyDescent="0.2">
      <c r="A30" s="2447"/>
      <c r="B30" s="2447"/>
      <c r="D30" s="1268"/>
    </row>
    <row r="32" spans="1:4" x14ac:dyDescent="0.2">
      <c r="A32" s="1260" t="s">
        <v>1295</v>
      </c>
      <c r="D32" s="1263">
        <f>SUM(D19:D30)</f>
        <v>295405</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7"/>
      <c r="B40" s="2447"/>
      <c r="D40" s="1268"/>
    </row>
    <row r="41" spans="1:4" x14ac:dyDescent="0.2">
      <c r="A41" s="2447"/>
      <c r="B41" s="2447"/>
      <c r="D41" s="1271"/>
    </row>
    <row r="42" spans="1:4" x14ac:dyDescent="0.2">
      <c r="A42" s="2447"/>
      <c r="B42" s="2447"/>
      <c r="D42" s="1271"/>
    </row>
    <row r="43" spans="1:4" x14ac:dyDescent="0.2">
      <c r="A43" s="2447"/>
      <c r="B43" s="2447"/>
      <c r="D43" s="1271"/>
    </row>
    <row r="44" spans="1:4" x14ac:dyDescent="0.2">
      <c r="A44" s="2447"/>
      <c r="B44" s="2447"/>
      <c r="D44" s="1271"/>
    </row>
    <row r="45" spans="1:4" x14ac:dyDescent="0.2">
      <c r="A45" s="2447"/>
      <c r="B45" s="2447"/>
      <c r="D45" s="1271"/>
    </row>
    <row r="47" spans="1:4" x14ac:dyDescent="0.2">
      <c r="B47" s="1272" t="s">
        <v>1289</v>
      </c>
      <c r="C47" s="1272"/>
      <c r="D47" s="1273">
        <f>SUM(D35:D45)</f>
        <v>0</v>
      </c>
    </row>
    <row r="49" spans="2:4" x14ac:dyDescent="0.2">
      <c r="B49" s="1272" t="s">
        <v>1288</v>
      </c>
      <c r="C49" s="1272"/>
      <c r="D49" s="1273">
        <f>D32-D47</f>
        <v>295405</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61" t="str">
        <f>'Single Audit Cover'!A7</f>
        <v>Tuscola CUSD 301</v>
      </c>
      <c r="B1" s="2461"/>
      <c r="C1" s="2461"/>
      <c r="D1" s="2461"/>
      <c r="E1" s="2461"/>
      <c r="F1" s="2461"/>
    </row>
    <row r="2" spans="1:7" ht="13.5" customHeight="1" x14ac:dyDescent="0.2">
      <c r="A2" s="2462">
        <f>'Single Audit Cover'!E7</f>
        <v>11021301026</v>
      </c>
      <c r="B2" s="2462"/>
      <c r="C2" s="2462"/>
      <c r="D2" s="2462"/>
      <c r="E2" s="2462"/>
      <c r="F2" s="2462"/>
      <c r="G2" s="1275"/>
    </row>
    <row r="3" spans="1:7" ht="15.75" customHeight="1" x14ac:dyDescent="0.2">
      <c r="A3" s="2463" t="s">
        <v>1333</v>
      </c>
      <c r="B3" s="2463"/>
      <c r="C3" s="2463"/>
      <c r="D3" s="2463"/>
      <c r="E3" s="2463"/>
      <c r="F3" s="2463"/>
    </row>
    <row r="4" spans="1:7" ht="13.5" customHeight="1" x14ac:dyDescent="0.2">
      <c r="A4" s="2464" t="str">
        <f>'Single Audit Cover'!A4</f>
        <v>Year Ending June 30, 2018</v>
      </c>
      <c r="B4" s="2464"/>
      <c r="C4" s="2464"/>
      <c r="D4" s="2464"/>
      <c r="E4" s="2464"/>
      <c r="F4" s="2464"/>
    </row>
    <row r="5" spans="1:7" ht="8.25" customHeight="1" x14ac:dyDescent="0.2">
      <c r="C5" s="317"/>
      <c r="D5" s="317"/>
    </row>
    <row r="6" spans="1:7" ht="13.5" customHeight="1" x14ac:dyDescent="0.2">
      <c r="A6" s="1276" t="s">
        <v>1831</v>
      </c>
      <c r="C6" s="317"/>
      <c r="D6" s="317"/>
    </row>
    <row r="7" spans="1:7" ht="60.95" customHeight="1" x14ac:dyDescent="0.2">
      <c r="A7" s="2460" t="s">
        <v>1832</v>
      </c>
      <c r="B7" s="2460"/>
      <c r="C7" s="2460"/>
      <c r="D7" s="2460"/>
      <c r="E7" s="2460"/>
      <c r="F7" s="2460"/>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60" t="s">
        <v>1834</v>
      </c>
      <c r="B13" s="2460"/>
      <c r="C13" s="2460"/>
      <c r="D13" s="2460"/>
      <c r="E13" s="2460"/>
      <c r="F13" s="2460"/>
    </row>
    <row r="14" spans="1:7" ht="9.75" customHeight="1" x14ac:dyDescent="0.2">
      <c r="C14" s="1260"/>
      <c r="D14" s="1260"/>
    </row>
    <row r="15" spans="1:7" ht="13.5" customHeight="1" x14ac:dyDescent="0.2">
      <c r="C15" s="1871" t="s">
        <v>1332</v>
      </c>
      <c r="D15" s="2458" t="s">
        <v>1331</v>
      </c>
      <c r="E15" s="2458"/>
      <c r="F15" s="2458"/>
    </row>
    <row r="16" spans="1:7" ht="13.5" customHeight="1" x14ac:dyDescent="0.2">
      <c r="A16" s="1282"/>
      <c r="B16" s="1276" t="s">
        <v>1330</v>
      </c>
      <c r="C16" s="1871" t="s">
        <v>1329</v>
      </c>
      <c r="D16" s="2459" t="s">
        <v>1670</v>
      </c>
      <c r="E16" s="2459"/>
      <c r="F16" s="2459"/>
    </row>
    <row r="17" spans="1:6" ht="20.45" customHeight="1" x14ac:dyDescent="0.2">
      <c r="A17" s="1283"/>
      <c r="B17" s="1284"/>
      <c r="C17" s="1285"/>
      <c r="D17" s="2453"/>
      <c r="E17" s="2453"/>
      <c r="F17" s="2453"/>
    </row>
    <row r="18" spans="1:6" ht="20.65" customHeight="1" x14ac:dyDescent="0.2">
      <c r="A18" s="1283"/>
      <c r="B18" s="1284"/>
      <c r="C18" s="1285"/>
      <c r="D18" s="2453"/>
      <c r="E18" s="2453"/>
      <c r="F18" s="2453"/>
    </row>
    <row r="19" spans="1:6" ht="20.65" customHeight="1" x14ac:dyDescent="0.2">
      <c r="A19" s="1283"/>
      <c r="B19" s="1284"/>
      <c r="C19" s="1285"/>
      <c r="D19" s="2453"/>
      <c r="E19" s="2453"/>
      <c r="F19" s="2453"/>
    </row>
    <row r="20" spans="1:6" ht="20.65" customHeight="1" x14ac:dyDescent="0.2">
      <c r="A20" s="1283"/>
      <c r="B20" s="1284"/>
      <c r="C20" s="1285"/>
      <c r="D20" s="2453"/>
      <c r="E20" s="2453"/>
      <c r="F20" s="2453"/>
    </row>
    <row r="21" spans="1:6" ht="20.65" customHeight="1" x14ac:dyDescent="0.2">
      <c r="A21" s="1283"/>
      <c r="B21" s="1284"/>
      <c r="C21" s="1285"/>
      <c r="D21" s="2453"/>
      <c r="E21" s="2453"/>
      <c r="F21" s="2453"/>
    </row>
    <row r="22" spans="1:6" ht="20.65" customHeight="1" x14ac:dyDescent="0.2">
      <c r="A22" s="1283"/>
      <c r="B22" s="1284"/>
      <c r="C22" s="1285"/>
      <c r="D22" s="2453"/>
      <c r="E22" s="2453"/>
      <c r="F22" s="2453"/>
    </row>
    <row r="23" spans="1:6" ht="20.65" customHeight="1" x14ac:dyDescent="0.2">
      <c r="A23" s="1283"/>
      <c r="B23" s="1284"/>
      <c r="C23" s="1285"/>
      <c r="D23" s="2453"/>
      <c r="E23" s="2453"/>
      <c r="F23" s="2453"/>
    </row>
    <row r="24" spans="1:6" ht="20.65" customHeight="1" x14ac:dyDescent="0.2">
      <c r="A24" s="1283"/>
      <c r="B24" s="1284"/>
      <c r="C24" s="1285"/>
      <c r="D24" s="2453"/>
      <c r="E24" s="2453"/>
      <c r="F24" s="2453"/>
    </row>
    <row r="25" spans="1:6" ht="20.65" customHeight="1" x14ac:dyDescent="0.2">
      <c r="A25" s="1283"/>
      <c r="B25" s="1284"/>
      <c r="C25" s="1285"/>
      <c r="D25" s="2453"/>
      <c r="E25" s="2453"/>
      <c r="F25" s="2453"/>
    </row>
    <row r="26" spans="1:6" ht="20.65" customHeight="1" x14ac:dyDescent="0.2">
      <c r="A26" s="1283"/>
      <c r="B26" s="1284"/>
      <c r="C26" s="1285"/>
      <c r="D26" s="2453"/>
      <c r="E26" s="2453"/>
      <c r="F26" s="2453"/>
    </row>
    <row r="27" spans="1:6" ht="20.65" customHeight="1" x14ac:dyDescent="0.2">
      <c r="A27" s="1283"/>
      <c r="B27" s="1284"/>
      <c r="C27" s="1285"/>
      <c r="D27" s="2453"/>
      <c r="E27" s="2453"/>
      <c r="F27" s="2453"/>
    </row>
    <row r="28" spans="1:6" ht="20.65" customHeight="1" x14ac:dyDescent="0.2">
      <c r="A28" s="1283"/>
      <c r="B28" s="1284"/>
      <c r="C28" s="1285"/>
      <c r="D28" s="2453"/>
      <c r="E28" s="2453"/>
      <c r="F28" s="2453"/>
    </row>
    <row r="29" spans="1:6" ht="20.65" customHeight="1" x14ac:dyDescent="0.2">
      <c r="A29" s="1283"/>
      <c r="B29" s="1284"/>
      <c r="C29" s="1285"/>
      <c r="D29" s="2453"/>
      <c r="E29" s="2453"/>
      <c r="F29" s="2453"/>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4" t="s">
        <v>1835</v>
      </c>
      <c r="B32" s="2454"/>
      <c r="C32" s="2454"/>
      <c r="D32" s="2454"/>
      <c r="E32" s="2454"/>
      <c r="F32" s="2454"/>
    </row>
    <row r="33" spans="1:6" ht="13.5" customHeight="1" x14ac:dyDescent="0.2">
      <c r="A33" s="328" t="s">
        <v>1509</v>
      </c>
      <c r="B33" s="328"/>
      <c r="C33" s="1288">
        <v>0</v>
      </c>
      <c r="D33" s="1928"/>
      <c r="E33" s="1286"/>
    </row>
    <row r="34" spans="1:6" ht="13.5" customHeight="1" x14ac:dyDescent="0.2">
      <c r="A34" s="328" t="s">
        <v>1948</v>
      </c>
      <c r="B34" s="328"/>
      <c r="C34" s="1289">
        <v>0</v>
      </c>
      <c r="D34" s="1928" t="s">
        <v>1671</v>
      </c>
      <c r="E34" s="2455">
        <f>+C33+C34</f>
        <v>0</v>
      </c>
      <c r="F34" s="2456"/>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7" t="s">
        <v>1672</v>
      </c>
      <c r="C49" s="2457"/>
      <c r="D49" s="2457"/>
      <c r="E49" s="1399"/>
    </row>
    <row r="50" spans="1:5" s="1300" customFormat="1" ht="3.75" customHeight="1" x14ac:dyDescent="0.2">
      <c r="A50" s="1299"/>
      <c r="B50" s="1870"/>
      <c r="C50" s="1870"/>
      <c r="D50" s="1870"/>
      <c r="E50" s="1399"/>
    </row>
    <row r="51" spans="1:5" s="1300" customFormat="1" ht="20.25" customHeight="1" x14ac:dyDescent="0.2">
      <c r="A51" s="1301">
        <v>6</v>
      </c>
      <c r="B51" s="2452" t="s">
        <v>1632</v>
      </c>
      <c r="C51" s="2452"/>
      <c r="D51" s="2452"/>
    </row>
    <row r="52" spans="1:5" ht="14.25" customHeight="1" x14ac:dyDescent="0.2">
      <c r="A52" s="1301"/>
      <c r="B52" s="2452"/>
      <c r="C52" s="2452"/>
      <c r="D52" s="2452"/>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31" t="str">
        <f>'Single Audit Cover'!A7</f>
        <v>Tuscola CUSD 301</v>
      </c>
      <c r="C1" s="2465"/>
      <c r="D1" s="2465"/>
      <c r="E1" s="2465"/>
      <c r="F1" s="2465"/>
      <c r="G1" s="2465"/>
      <c r="H1" s="2465"/>
      <c r="I1" s="2465"/>
      <c r="J1" s="2465"/>
      <c r="K1" s="2465"/>
      <c r="L1" s="2465"/>
      <c r="M1" s="2465"/>
    </row>
    <row r="2" spans="2:14" ht="15" x14ac:dyDescent="0.2">
      <c r="B2" s="2462">
        <f>'Single Audit Cover'!E7</f>
        <v>11021301026</v>
      </c>
      <c r="C2" s="2462"/>
      <c r="D2" s="2462"/>
      <c r="E2" s="2462"/>
      <c r="F2" s="2462"/>
      <c r="G2" s="2462"/>
      <c r="H2" s="2462"/>
      <c r="I2" s="2462"/>
      <c r="J2" s="2462"/>
      <c r="K2" s="2462"/>
      <c r="L2" s="2462"/>
      <c r="M2" s="2462"/>
      <c r="N2" s="1302"/>
    </row>
    <row r="3" spans="2:14" ht="15" x14ac:dyDescent="0.2">
      <c r="B3" s="2466" t="s">
        <v>1281</v>
      </c>
      <c r="C3" s="2466"/>
      <c r="D3" s="2466"/>
      <c r="E3" s="2466"/>
      <c r="F3" s="2466"/>
      <c r="G3" s="2466"/>
      <c r="H3" s="2466"/>
      <c r="I3" s="2466"/>
      <c r="J3" s="2466"/>
      <c r="K3" s="2466"/>
      <c r="L3" s="2466"/>
      <c r="M3" s="2466"/>
      <c r="N3" s="1302"/>
    </row>
    <row r="4" spans="2:14" ht="15" x14ac:dyDescent="0.2">
      <c r="B4" s="2467" t="str">
        <f>'Single Audit Cover'!A4</f>
        <v>Year Ending June 30, 2018</v>
      </c>
      <c r="C4" s="2467"/>
      <c r="D4" s="2467"/>
      <c r="E4" s="2467"/>
      <c r="F4" s="2467"/>
      <c r="G4" s="2467"/>
      <c r="H4" s="2467"/>
      <c r="I4" s="2467"/>
      <c r="J4" s="2467"/>
      <c r="K4" s="2467"/>
      <c r="L4" s="2467"/>
      <c r="M4" s="2467"/>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1949</v>
      </c>
      <c r="K8" s="1319" t="s">
        <v>1323</v>
      </c>
      <c r="L8" s="1320" t="s">
        <v>1319</v>
      </c>
      <c r="M8" s="1321" t="s">
        <v>30</v>
      </c>
    </row>
    <row r="9" spans="2:14" ht="14.25" x14ac:dyDescent="0.2">
      <c r="B9" s="1325" t="s">
        <v>1321</v>
      </c>
      <c r="C9" s="1313" t="s">
        <v>1838</v>
      </c>
      <c r="D9" s="1314" t="s">
        <v>1839</v>
      </c>
      <c r="E9" s="1322" t="s">
        <v>1663</v>
      </c>
      <c r="F9" s="1323" t="s">
        <v>1949</v>
      </c>
      <c r="G9" s="1324" t="s">
        <v>1663</v>
      </c>
      <c r="H9" s="1317" t="s">
        <v>1664</v>
      </c>
      <c r="I9" s="1319" t="s">
        <v>1949</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1950</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3" t="s">
        <v>1230</v>
      </c>
      <c r="B2" s="2073"/>
      <c r="C2" s="2073"/>
      <c r="D2" s="2073"/>
      <c r="E2" s="2073"/>
      <c r="F2" s="2073"/>
      <c r="G2" s="2073"/>
      <c r="H2" s="2073"/>
      <c r="I2" s="2073"/>
      <c r="J2" s="2073"/>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7" t="s">
        <v>1731</v>
      </c>
      <c r="B35" s="2088"/>
      <c r="C35" s="2088"/>
      <c r="D35" s="2088"/>
      <c r="E35" s="2089"/>
      <c r="F35" s="2089"/>
      <c r="G35" s="2089"/>
      <c r="H35" s="2089"/>
      <c r="I35" s="2089"/>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7" t="s">
        <v>331</v>
      </c>
      <c r="B47" s="2090"/>
      <c r="C47" s="2090"/>
      <c r="D47" s="2090"/>
      <c r="E47" s="2091"/>
      <c r="F47" s="2091"/>
      <c r="G47" s="2091"/>
      <c r="H47" s="2091"/>
      <c r="I47" s="2091"/>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4"/>
      <c r="C57" s="2095"/>
      <c r="D57" s="2095"/>
      <c r="E57" s="2095"/>
      <c r="F57" s="2095"/>
      <c r="G57" s="2095"/>
      <c r="H57" s="2095"/>
      <c r="I57" s="2095"/>
      <c r="J57" s="2096"/>
    </row>
    <row r="58" spans="1:10" s="181" customFormat="1" x14ac:dyDescent="0.2">
      <c r="A58" s="253"/>
      <c r="B58" s="2097"/>
      <c r="C58" s="2098"/>
      <c r="D58" s="2098"/>
      <c r="E58" s="2098"/>
      <c r="F58" s="2098"/>
      <c r="G58" s="2098"/>
      <c r="H58" s="2098"/>
      <c r="I58" s="2098"/>
      <c r="J58" s="2099"/>
    </row>
    <row r="59" spans="1:10" s="181" customFormat="1" x14ac:dyDescent="0.2">
      <c r="A59" s="253"/>
      <c r="B59" s="2097"/>
      <c r="C59" s="2098"/>
      <c r="D59" s="2098"/>
      <c r="E59" s="2098"/>
      <c r="F59" s="2098"/>
      <c r="G59" s="2098"/>
      <c r="H59" s="2098"/>
      <c r="I59" s="2098"/>
      <c r="J59" s="2099"/>
    </row>
    <row r="60" spans="1:10" s="181" customFormat="1" x14ac:dyDescent="0.2">
      <c r="A60" s="253"/>
      <c r="B60" s="2097"/>
      <c r="C60" s="2098"/>
      <c r="D60" s="2098"/>
      <c r="E60" s="2098"/>
      <c r="F60" s="2098"/>
      <c r="G60" s="2098"/>
      <c r="H60" s="2098"/>
      <c r="I60" s="2098"/>
      <c r="J60" s="2099"/>
    </row>
    <row r="61" spans="1:10" s="181" customFormat="1" x14ac:dyDescent="0.2">
      <c r="A61" s="253"/>
      <c r="B61" s="2097"/>
      <c r="C61" s="2098"/>
      <c r="D61" s="2098"/>
      <c r="E61" s="2098"/>
      <c r="F61" s="2098"/>
      <c r="G61" s="2098"/>
      <c r="H61" s="2098"/>
      <c r="I61" s="2098"/>
      <c r="J61" s="2099"/>
    </row>
    <row r="62" spans="1:10" s="181" customFormat="1" x14ac:dyDescent="0.2">
      <c r="A62" s="253"/>
      <c r="B62" s="2097"/>
      <c r="C62" s="2098"/>
      <c r="D62" s="2098"/>
      <c r="E62" s="2098"/>
      <c r="F62" s="2098"/>
      <c r="G62" s="2098"/>
      <c r="H62" s="2098"/>
      <c r="I62" s="2098"/>
      <c r="J62" s="2099"/>
    </row>
    <row r="63" spans="1:10" s="181" customFormat="1" x14ac:dyDescent="0.2">
      <c r="A63" s="253"/>
      <c r="B63" s="2097"/>
      <c r="C63" s="2098"/>
      <c r="D63" s="2098"/>
      <c r="E63" s="2098"/>
      <c r="F63" s="2098"/>
      <c r="G63" s="2098"/>
      <c r="H63" s="2098"/>
      <c r="I63" s="2098"/>
      <c r="J63" s="2099"/>
    </row>
    <row r="64" spans="1:10" s="181" customFormat="1" x14ac:dyDescent="0.2">
      <c r="A64" s="253"/>
      <c r="B64" s="2097"/>
      <c r="C64" s="2098"/>
      <c r="D64" s="2098"/>
      <c r="E64" s="2098"/>
      <c r="F64" s="2098"/>
      <c r="G64" s="2098"/>
      <c r="H64" s="2098"/>
      <c r="I64" s="2098"/>
      <c r="J64" s="2099"/>
    </row>
    <row r="65" spans="1:10" s="181" customFormat="1" x14ac:dyDescent="0.2">
      <c r="A65" s="253"/>
      <c r="B65" s="2097"/>
      <c r="C65" s="2098"/>
      <c r="D65" s="2098"/>
      <c r="E65" s="2098"/>
      <c r="F65" s="2098"/>
      <c r="G65" s="2098"/>
      <c r="H65" s="2098"/>
      <c r="I65" s="2098"/>
      <c r="J65" s="2099"/>
    </row>
    <row r="66" spans="1:10" s="181" customFormat="1" x14ac:dyDescent="0.2">
      <c r="A66" s="253"/>
      <c r="B66" s="2097"/>
      <c r="C66" s="2098"/>
      <c r="D66" s="2098"/>
      <c r="E66" s="2098"/>
      <c r="F66" s="2098"/>
      <c r="G66" s="2098"/>
      <c r="H66" s="2098"/>
      <c r="I66" s="2098"/>
      <c r="J66" s="2099"/>
    </row>
    <row r="67" spans="1:10" s="181" customFormat="1" ht="9" customHeight="1" x14ac:dyDescent="0.2">
      <c r="A67" s="254"/>
      <c r="B67" s="2100"/>
      <c r="C67" s="2101"/>
      <c r="D67" s="2101"/>
      <c r="E67" s="2101"/>
      <c r="F67" s="2101"/>
      <c r="G67" s="2101"/>
      <c r="H67" s="2101"/>
      <c r="I67" s="2101"/>
      <c r="J67" s="2102"/>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7" t="s">
        <v>1390</v>
      </c>
      <c r="B70" s="2090"/>
      <c r="C70" s="2090"/>
      <c r="D70" s="2090"/>
      <c r="E70" s="2091"/>
      <c r="F70" s="2091"/>
      <c r="G70" s="2091"/>
      <c r="H70" s="2091"/>
      <c r="I70" s="2091"/>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2020</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2" t="s">
        <v>1387</v>
      </c>
      <c r="B83" s="2092"/>
      <c r="C83" s="2092"/>
      <c r="D83" s="2093"/>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4"/>
      <c r="C102" s="2075"/>
      <c r="D102" s="2075"/>
      <c r="E102" s="2075"/>
      <c r="F102" s="2075"/>
      <c r="G102" s="2075"/>
      <c r="H102" s="2075"/>
      <c r="I102" s="2076"/>
    </row>
    <row r="103" spans="1:9" s="181" customFormat="1" ht="11.25" customHeight="1" x14ac:dyDescent="0.2">
      <c r="A103" s="316"/>
      <c r="B103" s="2077"/>
      <c r="C103" s="2078"/>
      <c r="D103" s="2078"/>
      <c r="E103" s="2078"/>
      <c r="F103" s="2078"/>
      <c r="G103" s="2078"/>
      <c r="H103" s="2078"/>
      <c r="I103" s="2079"/>
    </row>
    <row r="104" spans="1:9" s="181" customFormat="1" ht="11.25" customHeight="1" x14ac:dyDescent="0.2">
      <c r="A104" s="316"/>
      <c r="B104" s="2077"/>
      <c r="C104" s="2078"/>
      <c r="D104" s="2078"/>
      <c r="E104" s="2078"/>
      <c r="F104" s="2078"/>
      <c r="G104" s="2078"/>
      <c r="H104" s="2078"/>
      <c r="I104" s="2079"/>
    </row>
    <row r="105" spans="1:9" s="181" customFormat="1" x14ac:dyDescent="0.2">
      <c r="A105" s="316"/>
      <c r="B105" s="2077"/>
      <c r="C105" s="2078"/>
      <c r="D105" s="2078"/>
      <c r="E105" s="2078"/>
      <c r="F105" s="2078"/>
      <c r="G105" s="2078"/>
      <c r="H105" s="2078"/>
      <c r="I105" s="2079"/>
    </row>
    <row r="106" spans="1:9" s="181" customFormat="1" ht="11.25" customHeight="1" x14ac:dyDescent="0.2">
      <c r="A106" s="316"/>
      <c r="B106" s="2077"/>
      <c r="C106" s="2078"/>
      <c r="D106" s="2078"/>
      <c r="E106" s="2078"/>
      <c r="F106" s="2078"/>
      <c r="G106" s="2078"/>
      <c r="H106" s="2078"/>
      <c r="I106" s="2079"/>
    </row>
    <row r="107" spans="1:9" s="181" customFormat="1" ht="11.25" customHeight="1" x14ac:dyDescent="0.2">
      <c r="A107" s="316"/>
      <c r="B107" s="2077"/>
      <c r="C107" s="2078"/>
      <c r="D107" s="2078"/>
      <c r="E107" s="2078"/>
      <c r="F107" s="2078"/>
      <c r="G107" s="2078"/>
      <c r="H107" s="2078"/>
      <c r="I107" s="2079"/>
    </row>
    <row r="108" spans="1:9" s="181" customFormat="1" ht="11.25" customHeight="1" x14ac:dyDescent="0.2">
      <c r="A108" s="316"/>
      <c r="B108" s="2077"/>
      <c r="C108" s="2078"/>
      <c r="D108" s="2078"/>
      <c r="E108" s="2078"/>
      <c r="F108" s="2078"/>
      <c r="G108" s="2078"/>
      <c r="H108" s="2078"/>
      <c r="I108" s="2079"/>
    </row>
    <row r="109" spans="1:9" s="181" customFormat="1" ht="11.25" customHeight="1" x14ac:dyDescent="0.2">
      <c r="A109" s="316"/>
      <c r="B109" s="2077"/>
      <c r="C109" s="2078"/>
      <c r="D109" s="2078"/>
      <c r="E109" s="2078"/>
      <c r="F109" s="2078"/>
      <c r="G109" s="2078"/>
      <c r="H109" s="2078"/>
      <c r="I109" s="2079"/>
    </row>
    <row r="110" spans="1:9" s="181" customFormat="1" ht="11.25" customHeight="1" x14ac:dyDescent="0.2">
      <c r="A110" s="316"/>
      <c r="B110" s="2077"/>
      <c r="C110" s="2078"/>
      <c r="D110" s="2078"/>
      <c r="E110" s="2078"/>
      <c r="F110" s="2078"/>
      <c r="G110" s="2078"/>
      <c r="H110" s="2078"/>
      <c r="I110" s="2079"/>
    </row>
    <row r="111" spans="1:9" s="181" customFormat="1" ht="11.25" customHeight="1" x14ac:dyDescent="0.2">
      <c r="A111" s="316"/>
      <c r="B111" s="2077"/>
      <c r="C111" s="2078"/>
      <c r="D111" s="2078"/>
      <c r="E111" s="2078"/>
      <c r="F111" s="2078"/>
      <c r="G111" s="2078"/>
      <c r="H111" s="2078"/>
      <c r="I111" s="2079"/>
    </row>
    <row r="112" spans="1:9" s="181" customFormat="1" ht="11.25" customHeight="1" x14ac:dyDescent="0.2">
      <c r="A112" s="316"/>
      <c r="B112" s="2080"/>
      <c r="C112" s="2081"/>
      <c r="D112" s="2081"/>
      <c r="E112" s="2081"/>
      <c r="F112" s="2081"/>
      <c r="G112" s="2081"/>
      <c r="H112" s="2081"/>
      <c r="I112" s="2082"/>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3"/>
      <c r="D114" s="2083"/>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4" t="s">
        <v>1397</v>
      </c>
      <c r="D117" s="2085"/>
      <c r="E117" s="2086"/>
      <c r="F117" s="2086"/>
      <c r="G117" s="2086"/>
      <c r="H117" s="2086"/>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2021</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9" t="str">
        <f>'Single Audit Cover'!A7</f>
        <v>Tuscola CUSD 301</v>
      </c>
      <c r="C1" s="2480"/>
      <c r="D1" s="2480"/>
      <c r="E1" s="2480"/>
      <c r="F1" s="2480"/>
      <c r="G1" s="2480"/>
      <c r="H1" s="2480"/>
      <c r="I1" s="2480"/>
      <c r="J1" s="1422"/>
    </row>
    <row r="2" spans="2:10" s="317" customFormat="1" ht="12.75" customHeight="1" x14ac:dyDescent="0.2">
      <c r="B2" s="2481">
        <f>'Single Audit Cover'!E7</f>
        <v>11021301026</v>
      </c>
      <c r="C2" s="2482"/>
      <c r="D2" s="2482"/>
      <c r="E2" s="2482"/>
      <c r="F2" s="2482"/>
      <c r="G2" s="2482"/>
      <c r="H2" s="2482"/>
      <c r="I2" s="2482"/>
      <c r="J2" s="1422"/>
    </row>
    <row r="3" spans="2:10" s="317" customFormat="1" ht="12.75" customHeight="1" x14ac:dyDescent="0.2">
      <c r="B3" s="2483" t="s">
        <v>1347</v>
      </c>
      <c r="C3" s="2484"/>
      <c r="D3" s="2484"/>
      <c r="E3" s="2484"/>
      <c r="F3" s="2484"/>
      <c r="G3" s="2484"/>
      <c r="H3" s="2484"/>
      <c r="I3" s="2484"/>
      <c r="J3" s="1423"/>
    </row>
    <row r="4" spans="2:10" s="317" customFormat="1" ht="12.75" customHeight="1" x14ac:dyDescent="0.2">
      <c r="B4" s="2483" t="str">
        <f>'Single Audit Cover'!A4</f>
        <v>Year Ending June 30, 2018</v>
      </c>
      <c r="C4" s="2484"/>
      <c r="D4" s="2484"/>
      <c r="E4" s="2484"/>
      <c r="F4" s="2484"/>
      <c r="G4" s="2484"/>
      <c r="H4" s="2484"/>
      <c r="I4" s="2484"/>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3" t="s">
        <v>1346</v>
      </c>
      <c r="C7" s="2484"/>
      <c r="D7" s="2484"/>
      <c r="E7" s="2484"/>
      <c r="F7" s="2484"/>
      <c r="G7" s="2484"/>
      <c r="H7" s="2484"/>
      <c r="I7" s="2484"/>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5"/>
      <c r="D11" s="2485"/>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6"/>
      <c r="E29" s="2486"/>
      <c r="F29" s="2486"/>
      <c r="G29" s="2486"/>
      <c r="H29" s="2486"/>
      <c r="I29" s="2486"/>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87" t="s">
        <v>1854</v>
      </c>
      <c r="D37" s="2488"/>
      <c r="E37" s="2488"/>
      <c r="F37" s="2489"/>
      <c r="G37" s="2487" t="s">
        <v>1674</v>
      </c>
      <c r="H37" s="2488"/>
      <c r="I37" s="2489"/>
    </row>
    <row r="38" spans="2:9" ht="16.5" customHeight="1" x14ac:dyDescent="0.2">
      <c r="B38" s="1444"/>
      <c r="C38" s="2475"/>
      <c r="D38" s="2476"/>
      <c r="E38" s="2476"/>
      <c r="F38" s="2477"/>
      <c r="G38" s="2490"/>
      <c r="H38" s="2491"/>
      <c r="I38" s="2492"/>
    </row>
    <row r="39" spans="2:9" ht="16.5" customHeight="1" x14ac:dyDescent="0.2">
      <c r="B39" s="1444"/>
      <c r="C39" s="2475"/>
      <c r="D39" s="2476"/>
      <c r="E39" s="2476"/>
      <c r="F39" s="2477"/>
      <c r="G39" s="2478"/>
      <c r="H39" s="2478"/>
      <c r="I39" s="2478"/>
    </row>
    <row r="40" spans="2:9" ht="16.5" customHeight="1" x14ac:dyDescent="0.2">
      <c r="B40" s="1444"/>
      <c r="C40" s="2475"/>
      <c r="D40" s="2476"/>
      <c r="E40" s="2476"/>
      <c r="F40" s="2477"/>
      <c r="G40" s="2478"/>
      <c r="H40" s="2478"/>
      <c r="I40" s="2478"/>
    </row>
    <row r="41" spans="2:9" ht="16.5" customHeight="1" x14ac:dyDescent="0.2">
      <c r="B41" s="1444"/>
      <c r="C41" s="2475"/>
      <c r="D41" s="2476"/>
      <c r="E41" s="2476"/>
      <c r="F41" s="2477"/>
      <c r="G41" s="2478"/>
      <c r="H41" s="2478"/>
      <c r="I41" s="2478"/>
    </row>
    <row r="42" spans="2:9" ht="16.5" customHeight="1" x14ac:dyDescent="0.2">
      <c r="B42" s="1444"/>
      <c r="C42" s="2475"/>
      <c r="D42" s="2476"/>
      <c r="E42" s="2476"/>
      <c r="F42" s="2477"/>
      <c r="G42" s="2478"/>
      <c r="H42" s="2478"/>
      <c r="I42" s="2478"/>
    </row>
    <row r="43" spans="2:9" ht="16.5" customHeight="1" x14ac:dyDescent="0.2">
      <c r="B43" s="1444"/>
      <c r="C43" s="2468" t="s">
        <v>1675</v>
      </c>
      <c r="D43" s="2469"/>
      <c r="E43" s="2469"/>
      <c r="F43" s="2470"/>
      <c r="G43" s="2471">
        <f>SUM(G38:I42)</f>
        <v>0</v>
      </c>
      <c r="H43" s="2471"/>
      <c r="I43" s="2471"/>
    </row>
    <row r="44" spans="2:9" ht="12.75" customHeight="1" x14ac:dyDescent="0.2"/>
    <row r="45" spans="2:9" ht="12.75" customHeight="1" x14ac:dyDescent="0.2">
      <c r="B45" s="1435" t="s">
        <v>1951</v>
      </c>
      <c r="D45" s="2472">
        <v>0</v>
      </c>
      <c r="E45" s="2473"/>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74"/>
      <c r="F49" s="2474"/>
      <c r="G49" s="2474"/>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9" t="str">
        <f>'Single Audit Cover'!A7</f>
        <v>Tuscola CUSD 301</v>
      </c>
      <c r="C1" s="2479"/>
      <c r="D1" s="2479"/>
      <c r="E1" s="2479"/>
      <c r="F1" s="2479"/>
      <c r="G1" s="2479"/>
      <c r="H1" s="2479"/>
      <c r="I1" s="2479"/>
      <c r="J1" s="2479"/>
      <c r="K1" s="2479"/>
      <c r="L1" s="1374"/>
      <c r="M1" s="1374"/>
    </row>
    <row r="2" spans="1:13" ht="12" customHeight="1" x14ac:dyDescent="0.2">
      <c r="B2" s="2481">
        <f>'Single Audit Cover'!E7</f>
        <v>11021301026</v>
      </c>
      <c r="C2" s="2481"/>
      <c r="D2" s="2481"/>
      <c r="E2" s="2481"/>
      <c r="F2" s="2481"/>
      <c r="G2" s="2481"/>
      <c r="H2" s="2481"/>
      <c r="I2" s="2481"/>
      <c r="J2" s="2481"/>
      <c r="K2" s="2481"/>
      <c r="L2" s="1375"/>
      <c r="M2" s="1376"/>
    </row>
    <row r="3" spans="1:13" ht="10.35" customHeight="1" x14ac:dyDescent="0.2">
      <c r="B3" s="2495" t="s">
        <v>1347</v>
      </c>
      <c r="C3" s="2495"/>
      <c r="D3" s="2495"/>
      <c r="E3" s="2495"/>
      <c r="F3" s="2495"/>
      <c r="G3" s="2495"/>
      <c r="H3" s="2495"/>
      <c r="I3" s="2495"/>
      <c r="J3" s="2495"/>
      <c r="K3" s="2495"/>
      <c r="L3" s="1377"/>
      <c r="M3" s="1377"/>
    </row>
    <row r="4" spans="1:13" ht="14.25" customHeight="1" x14ac:dyDescent="0.2">
      <c r="B4" s="2496" t="str">
        <f>'Single Audit Cover'!A4</f>
        <v>Year Ending June 30, 2018</v>
      </c>
      <c r="C4" s="2496"/>
      <c r="D4" s="2496"/>
      <c r="E4" s="2496"/>
      <c r="F4" s="2496"/>
      <c r="G4" s="2496"/>
      <c r="H4" s="2496"/>
      <c r="I4" s="2496"/>
      <c r="J4" s="2496"/>
      <c r="K4" s="2496"/>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6" t="s">
        <v>1363</v>
      </c>
      <c r="C7" s="2496"/>
      <c r="D7" s="2497"/>
      <c r="E7" s="2497"/>
      <c r="F7" s="2497"/>
      <c r="G7" s="2497"/>
      <c r="H7" s="2497"/>
      <c r="I7" s="2497"/>
      <c r="J7" s="2497"/>
      <c r="K7" s="2497"/>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1952</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4"/>
      <c r="C14" s="2494"/>
      <c r="D14" s="2494"/>
      <c r="E14" s="2494"/>
      <c r="F14" s="2494"/>
      <c r="G14" s="2494"/>
      <c r="H14" s="2494"/>
      <c r="I14" s="2494"/>
      <c r="J14" s="2494"/>
      <c r="K14" s="2494"/>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4"/>
      <c r="C17" s="2494"/>
      <c r="D17" s="2494"/>
      <c r="E17" s="2494"/>
      <c r="F17" s="2494"/>
      <c r="G17" s="2494"/>
      <c r="H17" s="2494"/>
      <c r="I17" s="2494"/>
      <c r="J17" s="2494"/>
      <c r="K17" s="2494"/>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8"/>
      <c r="C20" s="2498"/>
      <c r="D20" s="2494"/>
      <c r="E20" s="2494"/>
      <c r="F20" s="2494"/>
      <c r="G20" s="2494"/>
      <c r="H20" s="2494"/>
      <c r="I20" s="2494"/>
      <c r="J20" s="2494"/>
      <c r="K20" s="2494"/>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4"/>
      <c r="C23" s="2494"/>
      <c r="D23" s="2494"/>
      <c r="E23" s="2494"/>
      <c r="F23" s="2494"/>
      <c r="G23" s="2494"/>
      <c r="H23" s="2494"/>
      <c r="I23" s="2494"/>
      <c r="J23" s="2494"/>
      <c r="K23" s="2494"/>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4"/>
      <c r="C26" s="2494"/>
      <c r="D26" s="2494"/>
      <c r="E26" s="2494"/>
      <c r="F26" s="2494"/>
      <c r="G26" s="2494"/>
      <c r="H26" s="2494"/>
      <c r="I26" s="2494"/>
      <c r="J26" s="2494"/>
      <c r="K26" s="2494"/>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3"/>
      <c r="C29" s="2493"/>
      <c r="D29" s="2494"/>
      <c r="E29" s="2494"/>
      <c r="F29" s="2494"/>
      <c r="G29" s="2494"/>
      <c r="H29" s="2494"/>
      <c r="I29" s="2494"/>
      <c r="J29" s="2494"/>
      <c r="K29" s="2494"/>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3"/>
      <c r="C32" s="2493"/>
      <c r="D32" s="2494"/>
      <c r="E32" s="2494"/>
      <c r="F32" s="2494"/>
      <c r="G32" s="2494"/>
      <c r="H32" s="2494"/>
      <c r="I32" s="2494"/>
      <c r="J32" s="2494"/>
      <c r="K32" s="2494"/>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1953</v>
      </c>
      <c r="C36" s="1300"/>
      <c r="L36" s="1381"/>
    </row>
    <row r="37" spans="1:13" ht="9.6" customHeight="1" x14ac:dyDescent="0.2">
      <c r="B37" s="1300" t="s">
        <v>1954</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2" t="str">
        <f>'Single Audit Cover'!A7</f>
        <v>Tuscola CUSD 301</v>
      </c>
      <c r="C1" s="2502"/>
      <c r="D1" s="2502"/>
      <c r="E1" s="2502"/>
      <c r="F1" s="2502"/>
      <c r="G1" s="2502"/>
      <c r="H1" s="2502"/>
      <c r="I1" s="2502"/>
      <c r="J1" s="2502"/>
      <c r="K1" s="2502"/>
      <c r="L1" s="1465"/>
    </row>
    <row r="2" spans="1:12" ht="12.75" customHeight="1" x14ac:dyDescent="0.2">
      <c r="B2" s="2503">
        <f>'Single Audit Cover'!E7</f>
        <v>11021301026</v>
      </c>
      <c r="C2" s="2503"/>
      <c r="D2" s="2503"/>
      <c r="E2" s="2503"/>
      <c r="F2" s="2503"/>
      <c r="G2" s="2503"/>
      <c r="H2" s="2503"/>
      <c r="I2" s="2503"/>
      <c r="J2" s="2503"/>
      <c r="K2" s="2503"/>
      <c r="L2" s="1466"/>
    </row>
    <row r="3" spans="1:12" ht="12.75" customHeight="1" x14ac:dyDescent="0.2">
      <c r="B3" s="2495" t="s">
        <v>1347</v>
      </c>
      <c r="C3" s="2495"/>
      <c r="D3" s="2495"/>
      <c r="E3" s="2495"/>
      <c r="F3" s="2495"/>
      <c r="G3" s="2495"/>
      <c r="H3" s="2495"/>
      <c r="I3" s="2495"/>
      <c r="J3" s="2495"/>
      <c r="K3" s="2495"/>
      <c r="L3" s="1377"/>
    </row>
    <row r="4" spans="1:12" ht="12.75" customHeight="1" x14ac:dyDescent="0.2">
      <c r="B4" s="2495" t="str">
        <f>'Single Audit Cover'!A4</f>
        <v>Year Ending June 30, 2018</v>
      </c>
      <c r="C4" s="2495"/>
      <c r="D4" s="2495"/>
      <c r="E4" s="2495"/>
      <c r="F4" s="2495"/>
      <c r="G4" s="2495"/>
      <c r="H4" s="2495"/>
      <c r="I4" s="2495"/>
      <c r="J4" s="2495"/>
      <c r="K4" s="2495"/>
      <c r="L4" s="1377"/>
    </row>
    <row r="5" spans="1:12" ht="5.25" customHeight="1" x14ac:dyDescent="0.2">
      <c r="B5" s="1260" t="s">
        <v>1231</v>
      </c>
      <c r="C5" s="1260"/>
      <c r="L5" s="322"/>
    </row>
    <row r="6" spans="1:12" ht="30.75" customHeight="1" x14ac:dyDescent="0.2">
      <c r="A6" s="322"/>
      <c r="B6" s="2504" t="s">
        <v>1375</v>
      </c>
      <c r="C6" s="2504"/>
      <c r="D6" s="2504"/>
      <c r="E6" s="2504"/>
      <c r="F6" s="2504"/>
      <c r="G6" s="2504"/>
      <c r="H6" s="2504"/>
      <c r="I6" s="2504"/>
      <c r="J6" s="2504"/>
      <c r="K6" s="2504"/>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1952</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6"/>
      <c r="G12" s="2486"/>
      <c r="H12" s="2486"/>
      <c r="I12" s="2486"/>
      <c r="J12" s="2486"/>
      <c r="K12" s="2486"/>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9"/>
      <c r="E14" s="2499"/>
      <c r="F14" s="2499"/>
      <c r="H14" s="1475" t="s">
        <v>1370</v>
      </c>
      <c r="I14" s="2500"/>
      <c r="J14" s="2500"/>
      <c r="K14" s="2500"/>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0"/>
      <c r="E16" s="2500"/>
      <c r="F16" s="2500"/>
      <c r="G16" s="2500"/>
      <c r="H16" s="2500"/>
      <c r="I16" s="2500"/>
      <c r="J16" s="2500"/>
      <c r="K16" s="2500"/>
      <c r="L16" s="322"/>
    </row>
    <row r="17" spans="2:12" ht="13.5" customHeight="1" x14ac:dyDescent="0.2">
      <c r="B17" s="1387" t="s">
        <v>1368</v>
      </c>
      <c r="C17" s="1387"/>
      <c r="D17" s="2501"/>
      <c r="E17" s="2501"/>
      <c r="F17" s="2501"/>
      <c r="G17" s="2501"/>
      <c r="H17" s="2501"/>
      <c r="I17" s="2501"/>
      <c r="J17" s="2501"/>
      <c r="K17" s="2501"/>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4"/>
      <c r="C20" s="2494"/>
      <c r="D20" s="2494"/>
      <c r="E20" s="2494"/>
      <c r="F20" s="2494"/>
      <c r="G20" s="2494"/>
      <c r="H20" s="2494"/>
      <c r="I20" s="2494"/>
      <c r="J20" s="2494"/>
      <c r="K20" s="2494"/>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4"/>
      <c r="C23" s="2494"/>
      <c r="D23" s="2494"/>
      <c r="E23" s="2494"/>
      <c r="F23" s="2494"/>
      <c r="G23" s="2494"/>
      <c r="H23" s="2494"/>
      <c r="I23" s="2494"/>
      <c r="J23" s="2494"/>
      <c r="K23" s="2494"/>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4"/>
      <c r="C26" s="2494"/>
      <c r="D26" s="2494"/>
      <c r="E26" s="2494"/>
      <c r="F26" s="2494"/>
      <c r="G26" s="2494"/>
      <c r="H26" s="2494"/>
      <c r="I26" s="2494"/>
      <c r="J26" s="2494"/>
      <c r="K26" s="2494"/>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4"/>
      <c r="C29" s="2494"/>
      <c r="D29" s="2494"/>
      <c r="E29" s="2494"/>
      <c r="F29" s="2494"/>
      <c r="G29" s="2494"/>
      <c r="H29" s="2494"/>
      <c r="I29" s="2494"/>
      <c r="J29" s="2494"/>
      <c r="K29" s="2494"/>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4"/>
      <c r="C32" s="2494"/>
      <c r="D32" s="2494"/>
      <c r="E32" s="2494"/>
      <c r="F32" s="2494"/>
      <c r="G32" s="2494"/>
      <c r="H32" s="2494"/>
      <c r="I32" s="2494"/>
      <c r="J32" s="2494"/>
      <c r="K32" s="2494"/>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4"/>
      <c r="C35" s="2494"/>
      <c r="D35" s="2494"/>
      <c r="E35" s="2494"/>
      <c r="F35" s="2494"/>
      <c r="G35" s="2494"/>
      <c r="H35" s="2494"/>
      <c r="I35" s="2494"/>
      <c r="J35" s="2494"/>
      <c r="K35" s="2494"/>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4"/>
      <c r="C38" s="2494"/>
      <c r="D38" s="2494"/>
      <c r="E38" s="2494"/>
      <c r="F38" s="2494"/>
      <c r="G38" s="2494"/>
      <c r="H38" s="2494"/>
      <c r="I38" s="2494"/>
      <c r="J38" s="2494"/>
      <c r="K38" s="2494"/>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4"/>
      <c r="C41" s="2494"/>
      <c r="D41" s="2494"/>
      <c r="E41" s="2494"/>
      <c r="F41" s="2494"/>
      <c r="G41" s="2494"/>
      <c r="H41" s="2494"/>
      <c r="I41" s="2494"/>
      <c r="J41" s="2494"/>
      <c r="K41" s="2494"/>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9" t="str">
        <f>'Single Audit Cover'!A7</f>
        <v>Tuscola CUSD 301</v>
      </c>
      <c r="C1" s="2479"/>
      <c r="D1" s="2479"/>
      <c r="E1" s="1491"/>
    </row>
    <row r="2" spans="2:5" s="1282" customFormat="1" ht="12.75" customHeight="1" x14ac:dyDescent="0.2">
      <c r="B2" s="2481">
        <f>'Single Audit Cover'!E7</f>
        <v>11021301026</v>
      </c>
      <c r="C2" s="2481"/>
      <c r="D2" s="2481"/>
      <c r="E2" s="1492"/>
    </row>
    <row r="3" spans="2:5" ht="12.75" customHeight="1" x14ac:dyDescent="0.2">
      <c r="B3" s="2495" t="s">
        <v>1869</v>
      </c>
      <c r="C3" s="2495"/>
      <c r="D3" s="2495"/>
      <c r="E3" s="1274"/>
    </row>
    <row r="4" spans="2:5" s="1282" customFormat="1" ht="12.75" customHeight="1" x14ac:dyDescent="0.2">
      <c r="B4" s="2505" t="str">
        <f>'Single Audit Cover'!A4</f>
        <v>Year Ending June 30, 2018</v>
      </c>
      <c r="C4" s="2505"/>
      <c r="D4" s="2505"/>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3" t="s">
        <v>404</v>
      </c>
      <c r="B1" s="2103"/>
      <c r="C1" s="2103"/>
      <c r="D1" s="2103"/>
      <c r="E1" s="2103"/>
      <c r="F1" s="2103"/>
      <c r="G1" s="2103"/>
      <c r="H1" s="2103"/>
      <c r="I1" s="2103"/>
      <c r="J1" s="2103"/>
      <c r="K1" s="2103"/>
      <c r="L1" s="2103"/>
      <c r="M1" s="2103"/>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121809369</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2.75E-2</v>
      </c>
      <c r="E10" s="356" t="s">
        <v>1062</v>
      </c>
      <c r="F10" s="355">
        <v>5.0000000000000001E-3</v>
      </c>
      <c r="G10" s="356" t="s">
        <v>1062</v>
      </c>
      <c r="H10" s="355">
        <v>2E-3</v>
      </c>
      <c r="I10" s="356" t="s">
        <v>1063</v>
      </c>
      <c r="J10" s="1754">
        <f>ROUND(D10+F10+H10,5)</f>
        <v>3.4500000000000003E-2</v>
      </c>
      <c r="K10" s="222"/>
      <c r="L10" s="355">
        <v>5.0000000000000001E-4</v>
      </c>
      <c r="M10" s="222"/>
    </row>
    <row r="11" spans="1:14" ht="7.5" customHeight="1" x14ac:dyDescent="0.2">
      <c r="B11" s="222"/>
      <c r="C11" s="222"/>
      <c r="D11" s="2113" t="str">
        <f>IF(SUM(J10)&lt;=0.0999999,"","Enter the Tax Rates by moving the decimal two places to the left.")</f>
        <v/>
      </c>
      <c r="E11" s="2114"/>
      <c r="F11" s="2114"/>
      <c r="G11" s="2114"/>
      <c r="H11" s="2114"/>
      <c r="I11" s="2114"/>
      <c r="J11" s="2114"/>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8503325</v>
      </c>
      <c r="E16" s="356"/>
      <c r="F16" s="1755">
        <f>SUM('Acct Summary 7-8'!C17,'Acct Summary 7-8'!D17,'Acct Summary 7-8'!F17)</f>
        <v>8244280</v>
      </c>
      <c r="G16" s="356"/>
      <c r="H16" s="1755">
        <f>SUM(D16-F16)</f>
        <v>259045</v>
      </c>
      <c r="I16" s="222"/>
      <c r="J16" s="1755">
        <f>SUM('Acct Summary 7-8'!C81,'Acct Summary 7-8'!D81,'Acct Summary 7-8'!F81,'Acct Summary 7-8'!I81)</f>
        <v>3588122</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f>IF(B31="X",(J7*0.069),IF(B32="X",(J7*0.138),"Enter x in a.or b."))</f>
        <v>16809692.922000002</v>
      </c>
      <c r="I31" s="368"/>
      <c r="J31" s="222"/>
      <c r="K31" s="222"/>
      <c r="L31" s="222"/>
      <c r="M31" s="222"/>
    </row>
    <row r="32" spans="1:13" ht="13.35" customHeight="1" x14ac:dyDescent="0.2">
      <c r="B32" s="369" t="s">
        <v>2077</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2775000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4"/>
      <c r="C54" s="2105"/>
      <c r="D54" s="2105"/>
      <c r="E54" s="2105"/>
      <c r="F54" s="2105"/>
      <c r="G54" s="2105"/>
      <c r="H54" s="2105"/>
      <c r="I54" s="2105"/>
      <c r="J54" s="2105"/>
      <c r="K54" s="2105"/>
      <c r="L54" s="2106"/>
      <c r="M54" s="380"/>
    </row>
    <row r="55" spans="1:13" ht="12.75" customHeight="1" x14ac:dyDescent="0.2">
      <c r="B55" s="2107"/>
      <c r="C55" s="2108"/>
      <c r="D55" s="2108"/>
      <c r="E55" s="2108"/>
      <c r="F55" s="2108"/>
      <c r="G55" s="2108"/>
      <c r="H55" s="2108"/>
      <c r="I55" s="2108"/>
      <c r="J55" s="2108"/>
      <c r="K55" s="2108"/>
      <c r="L55" s="2109"/>
      <c r="M55" s="380"/>
    </row>
    <row r="56" spans="1:13" ht="12.75" customHeight="1" x14ac:dyDescent="0.2">
      <c r="B56" s="2107"/>
      <c r="C56" s="2108"/>
      <c r="D56" s="2108"/>
      <c r="E56" s="2108"/>
      <c r="F56" s="2108"/>
      <c r="G56" s="2108"/>
      <c r="H56" s="2108"/>
      <c r="I56" s="2108"/>
      <c r="J56" s="2108"/>
      <c r="K56" s="2108"/>
      <c r="L56" s="2109"/>
      <c r="M56" s="222"/>
    </row>
    <row r="57" spans="1:13" ht="12.75" customHeight="1" x14ac:dyDescent="0.2">
      <c r="B57" s="2107"/>
      <c r="C57" s="2108"/>
      <c r="D57" s="2108"/>
      <c r="E57" s="2108"/>
      <c r="F57" s="2108"/>
      <c r="G57" s="2108"/>
      <c r="H57" s="2108"/>
      <c r="I57" s="2108"/>
      <c r="J57" s="2108"/>
      <c r="K57" s="2108"/>
      <c r="L57" s="2109"/>
      <c r="M57" s="222"/>
    </row>
    <row r="58" spans="1:13" x14ac:dyDescent="0.2">
      <c r="B58" s="2110"/>
      <c r="C58" s="2111"/>
      <c r="D58" s="2111"/>
      <c r="E58" s="2111"/>
      <c r="F58" s="2111"/>
      <c r="G58" s="2111"/>
      <c r="H58" s="2111"/>
      <c r="I58" s="2111"/>
      <c r="J58" s="2111"/>
      <c r="K58" s="2111"/>
      <c r="L58" s="2112"/>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5"/>
      <c r="D61" s="2116"/>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sqref="A1:M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8"/>
      <c r="B1" s="2119"/>
      <c r="C1" s="2119"/>
      <c r="D1" s="384"/>
      <c r="E1" s="384"/>
      <c r="F1" s="384"/>
      <c r="G1" s="384"/>
      <c r="H1" s="384"/>
      <c r="I1" s="384"/>
      <c r="J1" s="384"/>
      <c r="K1" s="384"/>
      <c r="L1" s="384"/>
      <c r="M1" s="384"/>
      <c r="N1" s="384"/>
      <c r="O1" s="2118"/>
      <c r="P1" s="2119"/>
      <c r="Q1" s="2119"/>
    </row>
    <row r="2" spans="1:18" ht="15" x14ac:dyDescent="0.2">
      <c r="A2" s="2122" t="s">
        <v>577</v>
      </c>
      <c r="B2" s="2122"/>
      <c r="C2" s="2122"/>
      <c r="D2" s="2122"/>
      <c r="E2" s="2122"/>
      <c r="F2" s="2122"/>
      <c r="G2" s="2122"/>
      <c r="H2" s="2122"/>
      <c r="I2" s="2122"/>
      <c r="J2" s="2122"/>
      <c r="K2" s="2122"/>
      <c r="L2" s="2122"/>
      <c r="M2" s="2122"/>
      <c r="N2" s="2122"/>
      <c r="O2" s="2122"/>
      <c r="P2" s="2122"/>
      <c r="Q2" s="2122"/>
      <c r="R2" s="2122"/>
    </row>
    <row r="3" spans="1:18" ht="12.75" x14ac:dyDescent="0.2">
      <c r="A3" s="2123" t="s">
        <v>1480</v>
      </c>
      <c r="B3" s="2123"/>
      <c r="C3" s="2123"/>
      <c r="D3" s="2123"/>
      <c r="E3" s="2123"/>
      <c r="F3" s="2123"/>
      <c r="G3" s="2123"/>
      <c r="H3" s="2123"/>
      <c r="I3" s="2123"/>
      <c r="J3" s="2123"/>
      <c r="K3" s="2123"/>
      <c r="L3" s="2123"/>
      <c r="M3" s="2123"/>
      <c r="N3" s="2123"/>
      <c r="O3" s="2123"/>
      <c r="P3" s="2123"/>
      <c r="Q3" s="2123"/>
      <c r="R3" s="2123"/>
    </row>
    <row r="4" spans="1:18" x14ac:dyDescent="0.2">
      <c r="A4" s="2124" t="s">
        <v>1635</v>
      </c>
      <c r="B4" s="2124"/>
      <c r="C4" s="2124"/>
      <c r="D4" s="2124"/>
      <c r="E4" s="2124"/>
      <c r="F4" s="2124"/>
      <c r="G4" s="2124"/>
      <c r="H4" s="2124"/>
      <c r="I4" s="2124"/>
      <c r="J4" s="2124"/>
      <c r="K4" s="2124"/>
      <c r="L4" s="2124"/>
      <c r="M4" s="2124"/>
      <c r="N4" s="2124"/>
      <c r="O4" s="2124"/>
      <c r="P4" s="2124"/>
      <c r="Q4" s="2124"/>
      <c r="R4" s="2124"/>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Tuscola CUSD 301</v>
      </c>
      <c r="E7" s="391"/>
      <c r="G7" s="252"/>
      <c r="H7" s="387"/>
      <c r="I7" s="387"/>
      <c r="J7" s="387"/>
      <c r="K7" s="387"/>
      <c r="L7" s="329"/>
      <c r="M7" s="329"/>
      <c r="N7" s="329"/>
      <c r="O7" s="329"/>
      <c r="P7" s="329"/>
    </row>
    <row r="8" spans="1:18" ht="12.75" x14ac:dyDescent="0.2">
      <c r="A8" s="329"/>
      <c r="B8" s="329"/>
      <c r="C8" s="389" t="s">
        <v>1187</v>
      </c>
      <c r="D8" s="392">
        <f>COVER!A13</f>
        <v>11021301026</v>
      </c>
      <c r="E8" s="393"/>
      <c r="G8" s="329"/>
      <c r="H8" s="329"/>
      <c r="I8" s="329"/>
      <c r="J8" s="329"/>
      <c r="K8" s="329"/>
      <c r="L8" s="329"/>
      <c r="M8" s="329"/>
      <c r="N8" s="329"/>
      <c r="O8" s="329"/>
      <c r="P8" s="329"/>
    </row>
    <row r="9" spans="1:18" ht="12.75" x14ac:dyDescent="0.2">
      <c r="A9" s="329"/>
      <c r="B9" s="329"/>
      <c r="C9" s="389" t="s">
        <v>737</v>
      </c>
      <c r="D9" s="394" t="str">
        <f>COVER!A15</f>
        <v>DOUGLAS</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3588122</v>
      </c>
      <c r="I12" s="404"/>
      <c r="J12" s="404"/>
      <c r="K12" s="405">
        <f>TRUNC((H12/H13*100000),5)/100000</f>
        <v>0.42196693639999999</v>
      </c>
      <c r="L12" s="406"/>
      <c r="M12" s="360" t="s">
        <v>1206</v>
      </c>
      <c r="N12" s="360"/>
      <c r="O12" s="407">
        <v>0.35</v>
      </c>
      <c r="P12" s="218"/>
      <c r="Q12" s="218"/>
    </row>
    <row r="13" spans="1:18" s="408" customFormat="1" ht="12.75" x14ac:dyDescent="0.2">
      <c r="A13" s="218"/>
      <c r="B13" s="401"/>
      <c r="C13" s="2120" t="s">
        <v>1391</v>
      </c>
      <c r="D13" s="2121"/>
      <c r="E13" s="218"/>
      <c r="F13" s="409" t="s">
        <v>826</v>
      </c>
      <c r="G13" s="402"/>
      <c r="H13" s="403">
        <f>SUM('Acct Summary 7-8'!C8+'Acct Summary 7-8'!D8+'Acct Summary 7-8'!F8+'Acct Summary 7-8'!I8)+H14</f>
        <v>8503325</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8244280</v>
      </c>
      <c r="I17" s="404"/>
      <c r="J17" s="416"/>
      <c r="K17" s="405">
        <f>TRUNC((H17/H18*100000),5)/100000</f>
        <v>0.96953603440000002</v>
      </c>
      <c r="L17" s="406"/>
      <c r="M17" s="417" t="s">
        <v>1233</v>
      </c>
      <c r="O17" s="418" t="str">
        <f>IF(AND(O16="2", J20 &gt; 2),"1",IF(AND(O16 = "1", J20 &gt; 2),"2",IF(AND(O16="1", J20 &gt;1),"1","0")))</f>
        <v>0</v>
      </c>
      <c r="P17" s="218"/>
    </row>
    <row r="18" spans="1:18" s="408" customFormat="1" ht="11.25" x14ac:dyDescent="0.2">
      <c r="A18" s="218"/>
      <c r="B18" s="401"/>
      <c r="C18" s="2120" t="s">
        <v>1384</v>
      </c>
      <c r="D18" s="2121"/>
      <c r="E18" s="218"/>
      <c r="F18" s="419" t="s">
        <v>827</v>
      </c>
      <c r="G18" s="402"/>
      <c r="H18" s="403">
        <f>SUM('Acct Summary 7-8'!C8+'Acct Summary 7-8'!D8+'Acct Summary 7-8'!F8+'Acct Summary 7-8'!I8)+H19</f>
        <v>8503325</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3</v>
      </c>
      <c r="P23" s="216"/>
      <c r="R23" s="384"/>
    </row>
    <row r="24" spans="1:18" s="408" customFormat="1" ht="11.25" x14ac:dyDescent="0.2">
      <c r="A24" s="218"/>
      <c r="B24" s="401"/>
      <c r="C24" s="2117" t="s">
        <v>1479</v>
      </c>
      <c r="D24" s="2117"/>
      <c r="E24" s="218"/>
      <c r="F24" s="218" t="s">
        <v>465</v>
      </c>
      <c r="G24" s="402"/>
      <c r="H24" s="403">
        <f>SUM('Assets-Liab 5-6'!C4+'Assets-Liab 5-6'!D4+'Assets-Liab 5-6'!F4+'Assets-Liab 5-6'!I4+'Assets-Liab 5-6'!C5+'Assets-Liab 5-6'!D5+'Assets-Liab 5-6'!F5+'Assets-Liab 5-6'!I5)</f>
        <v>3587030</v>
      </c>
      <c r="I24" s="422"/>
      <c r="J24" s="422"/>
      <c r="K24" s="423">
        <f>TRUNC(((H24/H25*100000)/100000),2)</f>
        <v>156.63</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22900.77778</v>
      </c>
      <c r="I25" s="425"/>
      <c r="J25" s="425"/>
      <c r="K25" s="410"/>
      <c r="L25" s="218"/>
      <c r="M25" s="360" t="s">
        <v>1207</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3572059.7459300002</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2775000</v>
      </c>
      <c r="I32" s="420"/>
      <c r="J32" s="420"/>
      <c r="K32" s="423">
        <f>TRUNC(100-((((H32/H33*100))*100)/100),2)</f>
        <v>83.49</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16809692.922000002</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3.8999999999999995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6" activePane="bottomLeft" state="frozen"/>
      <selection sqref="A1:M1"/>
      <selection pane="bottomLeft" sqref="A1:A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5"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6"/>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7" t="s">
        <v>1030</v>
      </c>
      <c r="B3" s="2128"/>
      <c r="C3" s="1581"/>
      <c r="D3" s="1582"/>
      <c r="E3" s="1582"/>
      <c r="F3" s="1582"/>
      <c r="G3" s="1582"/>
      <c r="H3" s="1582"/>
      <c r="I3" s="1582"/>
      <c r="J3" s="1582"/>
      <c r="K3" s="1582"/>
      <c r="L3" s="1582"/>
      <c r="M3" s="1583"/>
      <c r="N3" s="1584"/>
    </row>
    <row r="4" spans="1:14" ht="13.5" customHeight="1" x14ac:dyDescent="0.2">
      <c r="A4" s="463" t="s">
        <v>1750</v>
      </c>
      <c r="B4" s="464"/>
      <c r="C4" s="465">
        <v>2269911</v>
      </c>
      <c r="D4" s="466">
        <v>425957</v>
      </c>
      <c r="E4" s="466">
        <v>106988</v>
      </c>
      <c r="F4" s="466">
        <v>306318</v>
      </c>
      <c r="G4" s="466">
        <v>103526</v>
      </c>
      <c r="H4" s="466">
        <v>539955</v>
      </c>
      <c r="I4" s="466">
        <v>584844</v>
      </c>
      <c r="J4" s="467">
        <v>274360</v>
      </c>
      <c r="K4" s="466">
        <v>132606</v>
      </c>
      <c r="L4" s="466">
        <v>277597</v>
      </c>
      <c r="M4" s="468"/>
      <c r="N4" s="469"/>
    </row>
    <row r="5" spans="1:14" x14ac:dyDescent="0.2">
      <c r="A5" s="463" t="s">
        <v>1049</v>
      </c>
      <c r="B5" s="470">
        <v>120</v>
      </c>
      <c r="C5" s="465"/>
      <c r="D5" s="466"/>
      <c r="E5" s="466"/>
      <c r="F5" s="466"/>
      <c r="G5" s="466"/>
      <c r="H5" s="466"/>
      <c r="I5" s="466"/>
      <c r="J5" s="467"/>
      <c r="K5" s="471"/>
      <c r="L5" s="472">
        <v>18332</v>
      </c>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v>2769</v>
      </c>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2272680</v>
      </c>
      <c r="D13" s="1759">
        <f t="shared" ref="D13:L13" si="0">SUM(D4:D12)</f>
        <v>425957</v>
      </c>
      <c r="E13" s="1759">
        <f t="shared" si="0"/>
        <v>106988</v>
      </c>
      <c r="F13" s="1759">
        <f t="shared" si="0"/>
        <v>306318</v>
      </c>
      <c r="G13" s="1759">
        <f t="shared" si="0"/>
        <v>103526</v>
      </c>
      <c r="H13" s="1759">
        <f t="shared" si="0"/>
        <v>539955</v>
      </c>
      <c r="I13" s="1759">
        <f t="shared" si="0"/>
        <v>584844</v>
      </c>
      <c r="J13" s="1759">
        <f t="shared" si="0"/>
        <v>274360</v>
      </c>
      <c r="K13" s="1759">
        <f t="shared" si="0"/>
        <v>132606</v>
      </c>
      <c r="L13" s="1759">
        <f t="shared" si="0"/>
        <v>295929</v>
      </c>
      <c r="M13" s="468"/>
      <c r="N13" s="469"/>
    </row>
    <row r="14" spans="1:14" ht="18" customHeight="1" thickTop="1" x14ac:dyDescent="0.2">
      <c r="A14" s="2129" t="s">
        <v>149</v>
      </c>
      <c r="B14" s="2130"/>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508739</v>
      </c>
      <c r="N16" s="484"/>
    </row>
    <row r="17" spans="1:14" s="485" customFormat="1" ht="12.75" customHeight="1" x14ac:dyDescent="0.2">
      <c r="A17" s="482" t="s">
        <v>1470</v>
      </c>
      <c r="B17" s="483">
        <v>230</v>
      </c>
      <c r="C17" s="477"/>
      <c r="D17" s="477"/>
      <c r="E17" s="477"/>
      <c r="F17" s="477"/>
      <c r="G17" s="477"/>
      <c r="H17" s="477"/>
      <c r="I17" s="477"/>
      <c r="J17" s="477"/>
      <c r="K17" s="477"/>
      <c r="L17" s="477"/>
      <c r="M17" s="467">
        <v>16406267</v>
      </c>
      <c r="N17" s="484"/>
    </row>
    <row r="18" spans="1:14" s="485" customFormat="1" ht="12.75" customHeight="1" x14ac:dyDescent="0.2">
      <c r="A18" s="482" t="s">
        <v>1471</v>
      </c>
      <c r="B18" s="483">
        <v>240</v>
      </c>
      <c r="C18" s="477"/>
      <c r="D18" s="477"/>
      <c r="E18" s="477"/>
      <c r="F18" s="477"/>
      <c r="G18" s="477"/>
      <c r="H18" s="477"/>
      <c r="I18" s="477"/>
      <c r="J18" s="477"/>
      <c r="K18" s="477"/>
      <c r="L18" s="477"/>
      <c r="M18" s="467">
        <v>3659043</v>
      </c>
      <c r="N18" s="484"/>
    </row>
    <row r="19" spans="1:14" s="485" customFormat="1" ht="12.75" customHeight="1" x14ac:dyDescent="0.2">
      <c r="A19" s="482" t="s">
        <v>1472</v>
      </c>
      <c r="B19" s="483">
        <v>250</v>
      </c>
      <c r="C19" s="477"/>
      <c r="D19" s="477"/>
      <c r="E19" s="477"/>
      <c r="F19" s="477"/>
      <c r="G19" s="477"/>
      <c r="H19" s="477"/>
      <c r="I19" s="477"/>
      <c r="J19" s="477"/>
      <c r="K19" s="477"/>
      <c r="L19" s="477"/>
      <c r="M19" s="467">
        <v>1767149</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106988</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2668012</v>
      </c>
    </row>
    <row r="23" spans="1:14" ht="13.5" customHeight="1" thickBot="1" x14ac:dyDescent="0.25">
      <c r="A23" s="1758" t="s">
        <v>664</v>
      </c>
      <c r="B23" s="1763"/>
      <c r="C23" s="468"/>
      <c r="D23" s="468"/>
      <c r="E23" s="468"/>
      <c r="F23" s="468"/>
      <c r="G23" s="468"/>
      <c r="H23" s="468"/>
      <c r="I23" s="468"/>
      <c r="J23" s="468"/>
      <c r="K23" s="468"/>
      <c r="L23" s="468"/>
      <c r="M23" s="1710">
        <f>SUM(M15:M22)</f>
        <v>22341198</v>
      </c>
      <c r="N23" s="1710">
        <f>SUM(N21:N22)</f>
        <v>2775000</v>
      </c>
    </row>
    <row r="24" spans="1:14" ht="18" customHeight="1" thickTop="1" x14ac:dyDescent="0.2">
      <c r="A24" s="2131" t="s">
        <v>619</v>
      </c>
      <c r="B24" s="2132"/>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v>1677</v>
      </c>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c r="M33" s="468"/>
      <c r="N33" s="469"/>
    </row>
    <row r="34" spans="1:14" ht="13.5" customHeight="1" thickBot="1" x14ac:dyDescent="0.25">
      <c r="A34" s="1760" t="s">
        <v>675</v>
      </c>
      <c r="B34" s="1761"/>
      <c r="C34" s="1762">
        <f>SUM(C25:C33)</f>
        <v>1677</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0</v>
      </c>
      <c r="M34" s="468"/>
      <c r="N34" s="480"/>
    </row>
    <row r="35" spans="1:14" ht="18" customHeight="1" thickTop="1" x14ac:dyDescent="0.2">
      <c r="A35" s="2133" t="s">
        <v>550</v>
      </c>
      <c r="B35" s="2134"/>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2775000</v>
      </c>
    </row>
    <row r="37" spans="1:14" ht="13.5" thickBot="1" x14ac:dyDescent="0.25">
      <c r="A37" s="1758" t="s">
        <v>674</v>
      </c>
      <c r="B37" s="1763"/>
      <c r="C37" s="477"/>
      <c r="D37" s="477"/>
      <c r="E37" s="477"/>
      <c r="F37" s="477"/>
      <c r="G37" s="477"/>
      <c r="H37" s="477"/>
      <c r="I37" s="477"/>
      <c r="J37" s="477"/>
      <c r="K37" s="477"/>
      <c r="L37" s="480"/>
      <c r="M37" s="468"/>
      <c r="N37" s="1710">
        <f>SUM(N36:N36)</f>
        <v>2775000</v>
      </c>
    </row>
    <row r="38" spans="1:14" s="329" customFormat="1" ht="13.5" customHeight="1" thickTop="1" x14ac:dyDescent="0.2">
      <c r="A38" s="496" t="s">
        <v>440</v>
      </c>
      <c r="B38" s="483">
        <v>714</v>
      </c>
      <c r="C38" s="466"/>
      <c r="D38" s="466"/>
      <c r="E38" s="466"/>
      <c r="F38" s="466"/>
      <c r="G38" s="466">
        <v>131536</v>
      </c>
      <c r="H38" s="466">
        <v>512673</v>
      </c>
      <c r="I38" s="466"/>
      <c r="J38" s="467"/>
      <c r="K38" s="466"/>
      <c r="L38" s="481"/>
      <c r="M38" s="497"/>
      <c r="N38" s="497"/>
    </row>
    <row r="39" spans="1:14" s="329" customFormat="1" ht="13.5" customHeight="1" x14ac:dyDescent="0.2">
      <c r="A39" s="496" t="s">
        <v>360</v>
      </c>
      <c r="B39" s="483">
        <v>730</v>
      </c>
      <c r="C39" s="466">
        <v>2271003</v>
      </c>
      <c r="D39" s="466">
        <v>425957</v>
      </c>
      <c r="E39" s="466">
        <v>106988</v>
      </c>
      <c r="F39" s="466">
        <v>306318</v>
      </c>
      <c r="G39" s="466">
        <v>-28010</v>
      </c>
      <c r="H39" s="466">
        <v>27282</v>
      </c>
      <c r="I39" s="466">
        <v>584844</v>
      </c>
      <c r="J39" s="467">
        <v>274360</v>
      </c>
      <c r="K39" s="466">
        <v>132606</v>
      </c>
      <c r="L39" s="466">
        <v>295929</v>
      </c>
      <c r="M39" s="497"/>
      <c r="N39" s="497"/>
    </row>
    <row r="40" spans="1:14" s="329" customFormat="1" ht="13.5" customHeight="1" x14ac:dyDescent="0.2">
      <c r="A40" s="498" t="s">
        <v>150</v>
      </c>
      <c r="B40" s="499"/>
      <c r="C40" s="500"/>
      <c r="D40" s="500"/>
      <c r="E40" s="500"/>
      <c r="F40" s="500"/>
      <c r="G40" s="500"/>
      <c r="H40" s="500"/>
      <c r="I40" s="500"/>
      <c r="J40" s="500"/>
      <c r="K40" s="500"/>
      <c r="L40" s="500"/>
      <c r="M40" s="467">
        <v>22341198</v>
      </c>
      <c r="N40" s="497"/>
    </row>
    <row r="41" spans="1:14" ht="13.5" customHeight="1" thickBot="1" x14ac:dyDescent="0.25">
      <c r="A41" s="1758" t="s">
        <v>676</v>
      </c>
      <c r="B41" s="1728"/>
      <c r="C41" s="1710">
        <f>(SUM(C34,C37,C38,C39))</f>
        <v>2272680</v>
      </c>
      <c r="D41" s="1710">
        <f t="shared" ref="D41:L41" si="2">SUM(D34,D37,D38:D39)</f>
        <v>425957</v>
      </c>
      <c r="E41" s="1710">
        <f t="shared" si="2"/>
        <v>106988</v>
      </c>
      <c r="F41" s="1710">
        <f t="shared" si="2"/>
        <v>306318</v>
      </c>
      <c r="G41" s="1710">
        <f t="shared" si="2"/>
        <v>103526</v>
      </c>
      <c r="H41" s="1710">
        <f t="shared" si="2"/>
        <v>539955</v>
      </c>
      <c r="I41" s="1710">
        <f t="shared" si="2"/>
        <v>584844</v>
      </c>
      <c r="J41" s="1710">
        <f t="shared" si="2"/>
        <v>274360</v>
      </c>
      <c r="K41" s="1710">
        <f t="shared" si="2"/>
        <v>132606</v>
      </c>
      <c r="L41" s="1710">
        <f t="shared" si="2"/>
        <v>295929</v>
      </c>
      <c r="M41" s="1710">
        <f>SUM(M40)</f>
        <v>22341198</v>
      </c>
      <c r="N41" s="1710">
        <f>SUM(N37)</f>
        <v>2775000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sqref="A1:M1"/>
      <selection pane="bottomLeft" sqref="A1:M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3"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4"/>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5" t="s">
        <v>1237</v>
      </c>
      <c r="B3" s="2156"/>
      <c r="C3" s="1595"/>
      <c r="D3" s="1596"/>
      <c r="E3" s="1596"/>
      <c r="F3" s="1596"/>
      <c r="G3" s="1596"/>
      <c r="H3" s="1596"/>
      <c r="I3" s="1596"/>
      <c r="J3" s="1596"/>
      <c r="K3" s="1597"/>
      <c r="L3" s="506"/>
    </row>
    <row r="4" spans="1:13" ht="15.75" customHeight="1" x14ac:dyDescent="0.2">
      <c r="A4" s="1954" t="s">
        <v>1579</v>
      </c>
      <c r="B4" s="1955">
        <v>1000</v>
      </c>
      <c r="C4" s="1764">
        <f>'Revenues 9-14'!C109</f>
        <v>5331941</v>
      </c>
      <c r="D4" s="1764">
        <f>'Revenues 9-14'!D109</f>
        <v>609173</v>
      </c>
      <c r="E4" s="1764">
        <f>'Revenues 9-14'!E109</f>
        <v>907185</v>
      </c>
      <c r="F4" s="1764">
        <f>'Revenues 9-14'!F109</f>
        <v>242313</v>
      </c>
      <c r="G4" s="1764">
        <f>'Revenues 9-14'!G109</f>
        <v>190823</v>
      </c>
      <c r="H4" s="1764">
        <f>'Revenues 9-14'!H109</f>
        <v>665977</v>
      </c>
      <c r="I4" s="1764">
        <f>'Revenues 9-14'!I109</f>
        <v>66897</v>
      </c>
      <c r="J4" s="1764">
        <f>'Revenues 9-14'!J109</f>
        <v>403621</v>
      </c>
      <c r="K4" s="1764">
        <f>'Revenues 9-14'!K109</f>
        <v>61109</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1409150</v>
      </c>
      <c r="D6" s="1765">
        <f>'Revenues 9-14'!D173</f>
        <v>50000</v>
      </c>
      <c r="E6" s="1765">
        <f>'Revenues 9-14'!E173</f>
        <v>0</v>
      </c>
      <c r="F6" s="1765">
        <f>'Revenues 9-14'!F173</f>
        <v>498369</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295482</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7036573</v>
      </c>
      <c r="D8" s="1710">
        <f t="shared" ref="D8:K8" si="0">SUM(D4:D7)</f>
        <v>659173</v>
      </c>
      <c r="E8" s="1710">
        <f t="shared" si="0"/>
        <v>907185</v>
      </c>
      <c r="F8" s="1710">
        <f t="shared" si="0"/>
        <v>740682</v>
      </c>
      <c r="G8" s="1710">
        <f t="shared" si="0"/>
        <v>190823</v>
      </c>
      <c r="H8" s="1710">
        <f t="shared" si="0"/>
        <v>665977</v>
      </c>
      <c r="I8" s="1710">
        <f t="shared" si="0"/>
        <v>66897</v>
      </c>
      <c r="J8" s="1710">
        <f t="shared" si="0"/>
        <v>403621</v>
      </c>
      <c r="K8" s="1710">
        <f t="shared" si="0"/>
        <v>61109</v>
      </c>
      <c r="L8" s="347"/>
    </row>
    <row r="9" spans="1:13" ht="15.75" thickTop="1" x14ac:dyDescent="0.2">
      <c r="A9" s="514" t="s">
        <v>1752</v>
      </c>
      <c r="B9" s="515">
        <v>3998</v>
      </c>
      <c r="C9" s="481">
        <v>2839165</v>
      </c>
      <c r="D9" s="516"/>
      <c r="E9" s="481"/>
      <c r="F9" s="481"/>
      <c r="G9" s="517"/>
      <c r="H9" s="481"/>
      <c r="I9" s="509" t="s">
        <v>1231</v>
      </c>
      <c r="J9" s="478"/>
      <c r="K9" s="481"/>
      <c r="L9" s="347"/>
    </row>
    <row r="10" spans="1:13" s="519" customFormat="1" ht="13.5" thickBot="1" x14ac:dyDescent="0.25">
      <c r="A10" s="1758" t="s">
        <v>1235</v>
      </c>
      <c r="B10" s="1731"/>
      <c r="C10" s="1710">
        <f>SUM(C8:C9)</f>
        <v>9875738</v>
      </c>
      <c r="D10" s="1710">
        <f t="shared" ref="D10:K10" si="1">SUM(D8:D9)</f>
        <v>659173</v>
      </c>
      <c r="E10" s="1710">
        <f t="shared" si="1"/>
        <v>907185</v>
      </c>
      <c r="F10" s="1710">
        <f t="shared" si="1"/>
        <v>740682</v>
      </c>
      <c r="G10" s="1710">
        <f t="shared" si="1"/>
        <v>190823</v>
      </c>
      <c r="H10" s="1710">
        <f t="shared" si="1"/>
        <v>665977</v>
      </c>
      <c r="I10" s="1710">
        <f t="shared" si="1"/>
        <v>66897</v>
      </c>
      <c r="J10" s="1710">
        <f t="shared" si="1"/>
        <v>403621</v>
      </c>
      <c r="K10" s="1710">
        <f t="shared" si="1"/>
        <v>61109</v>
      </c>
      <c r="L10" s="518"/>
    </row>
    <row r="11" spans="1:13" s="519" customFormat="1" ht="16.7" customHeight="1" thickTop="1" x14ac:dyDescent="0.2">
      <c r="A11" s="2129" t="s">
        <v>1238</v>
      </c>
      <c r="B11" s="2130"/>
      <c r="C11" s="1592"/>
      <c r="D11" s="1593"/>
      <c r="E11" s="1593"/>
      <c r="F11" s="1593"/>
      <c r="G11" s="1593"/>
      <c r="H11" s="1593"/>
      <c r="I11" s="1593"/>
      <c r="J11" s="1593"/>
      <c r="K11" s="1594"/>
      <c r="L11" s="518"/>
    </row>
    <row r="12" spans="1:13" ht="15.75" customHeight="1" x14ac:dyDescent="0.2">
      <c r="A12" s="1598" t="s">
        <v>476</v>
      </c>
      <c r="B12" s="1600">
        <v>1000</v>
      </c>
      <c r="C12" s="1764">
        <f>'Expenditures 15-22'!K33</f>
        <v>5311547</v>
      </c>
      <c r="D12" s="520" t="s">
        <v>1231</v>
      </c>
      <c r="E12" s="468" t="s">
        <v>1231</v>
      </c>
      <c r="F12" s="468" t="s">
        <v>1231</v>
      </c>
      <c r="G12" s="1764">
        <f>'Expenditures 15-22'!K229</f>
        <v>97690</v>
      </c>
      <c r="H12" s="521"/>
      <c r="I12" s="468" t="s">
        <v>1231</v>
      </c>
      <c r="J12" s="468" t="s">
        <v>1231</v>
      </c>
      <c r="K12" s="521" t="s">
        <v>1231</v>
      </c>
      <c r="L12" s="347"/>
    </row>
    <row r="13" spans="1:13" ht="15.75" customHeight="1" x14ac:dyDescent="0.2">
      <c r="A13" s="1598" t="s">
        <v>477</v>
      </c>
      <c r="B13" s="1600">
        <v>2000</v>
      </c>
      <c r="C13" s="1765">
        <f>'Expenditures 15-22'!K74</f>
        <v>1540527</v>
      </c>
      <c r="D13" s="1765">
        <f>'Expenditures 15-22'!K129</f>
        <v>656050</v>
      </c>
      <c r="E13" s="469" t="s">
        <v>1231</v>
      </c>
      <c r="F13" s="1765">
        <f>'Expenditures 15-22'!K184</f>
        <v>630652</v>
      </c>
      <c r="G13" s="1765">
        <f>'Expenditures 15-22'!K279</f>
        <v>96357</v>
      </c>
      <c r="H13" s="1765">
        <f>'Expenditures 15-22'!K303</f>
        <v>590710</v>
      </c>
      <c r="I13" s="468" t="s">
        <v>1231</v>
      </c>
      <c r="J13" s="1765">
        <f>'Expenditures 15-22'!K330</f>
        <v>330508</v>
      </c>
      <c r="K13" s="1769">
        <f>'Expenditures 15-22'!K352</f>
        <v>12955</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105504</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906619</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6957578</v>
      </c>
      <c r="D17" s="1710">
        <f t="shared" si="2"/>
        <v>656050</v>
      </c>
      <c r="E17" s="1710">
        <f t="shared" si="2"/>
        <v>906619</v>
      </c>
      <c r="F17" s="1710">
        <f t="shared" si="2"/>
        <v>630652</v>
      </c>
      <c r="G17" s="1710">
        <f t="shared" si="2"/>
        <v>194047</v>
      </c>
      <c r="H17" s="1710">
        <f t="shared" si="2"/>
        <v>590710</v>
      </c>
      <c r="I17" s="468"/>
      <c r="J17" s="1710">
        <f>SUM(J12:J16)</f>
        <v>330508</v>
      </c>
      <c r="K17" s="1710">
        <f>SUM(K12:K16)</f>
        <v>12955</v>
      </c>
      <c r="L17" s="347"/>
    </row>
    <row r="18" spans="1:12" ht="15" customHeight="1" thickTop="1" x14ac:dyDescent="0.2">
      <c r="A18" s="1766" t="s">
        <v>1753</v>
      </c>
      <c r="B18" s="1767">
        <v>4180</v>
      </c>
      <c r="C18" s="1764">
        <f t="shared" ref="C18:H18" si="3">C9</f>
        <v>2839165</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9796743</v>
      </c>
      <c r="D19" s="1710">
        <f t="shared" si="4"/>
        <v>656050</v>
      </c>
      <c r="E19" s="1710">
        <f t="shared" si="4"/>
        <v>906619</v>
      </c>
      <c r="F19" s="1710">
        <f t="shared" si="4"/>
        <v>630652</v>
      </c>
      <c r="G19" s="1710">
        <f t="shared" si="4"/>
        <v>194047</v>
      </c>
      <c r="H19" s="1710">
        <f t="shared" si="4"/>
        <v>590710</v>
      </c>
      <c r="I19" s="468"/>
      <c r="J19" s="1710">
        <f>SUM(J17:J18)</f>
        <v>330508</v>
      </c>
      <c r="K19" s="1710">
        <f>SUM(K17:K18)</f>
        <v>12955</v>
      </c>
      <c r="L19" s="347"/>
    </row>
    <row r="20" spans="1:12" ht="16.5" thickTop="1" thickBot="1" x14ac:dyDescent="0.25">
      <c r="A20" s="2145" t="s">
        <v>1754</v>
      </c>
      <c r="B20" s="2146"/>
      <c r="C20" s="1768">
        <f>C8-C17</f>
        <v>78995</v>
      </c>
      <c r="D20" s="1768">
        <f t="shared" ref="D20:K20" si="5">D8-D17</f>
        <v>3123</v>
      </c>
      <c r="E20" s="1768">
        <f t="shared" si="5"/>
        <v>566</v>
      </c>
      <c r="F20" s="1768">
        <f t="shared" si="5"/>
        <v>110030</v>
      </c>
      <c r="G20" s="1768">
        <f t="shared" si="5"/>
        <v>-3224</v>
      </c>
      <c r="H20" s="1768">
        <f t="shared" si="5"/>
        <v>75267</v>
      </c>
      <c r="I20" s="1768">
        <f t="shared" si="5"/>
        <v>66897</v>
      </c>
      <c r="J20" s="1768">
        <f t="shared" si="5"/>
        <v>73113</v>
      </c>
      <c r="K20" s="1768">
        <f t="shared" si="5"/>
        <v>48154</v>
      </c>
      <c r="L20" s="347"/>
    </row>
    <row r="21" spans="1:12" ht="16.7" customHeight="1" thickTop="1" x14ac:dyDescent="0.2">
      <c r="A21" s="2157" t="s">
        <v>616</v>
      </c>
      <c r="B21" s="2158"/>
      <c r="C21" s="1592"/>
      <c r="D21" s="1593"/>
      <c r="E21" s="1593"/>
      <c r="F21" s="1593"/>
      <c r="G21" s="1593"/>
      <c r="H21" s="1593"/>
      <c r="I21" s="1593"/>
      <c r="J21" s="1593"/>
      <c r="K21" s="1594"/>
      <c r="L21" s="524"/>
    </row>
    <row r="22" spans="1:12" ht="15.75" customHeight="1" collapsed="1" x14ac:dyDescent="0.2">
      <c r="A22" s="2153" t="s">
        <v>617</v>
      </c>
      <c r="B22" s="2154"/>
      <c r="C22" s="477"/>
      <c r="D22" s="477"/>
      <c r="E22" s="477"/>
      <c r="F22" s="477"/>
      <c r="G22" s="477"/>
      <c r="H22" s="477"/>
      <c r="I22" s="477"/>
      <c r="J22" s="477"/>
      <c r="K22" s="477"/>
      <c r="L22" s="347"/>
    </row>
    <row r="23" spans="1:12" s="485" customFormat="1" ht="15.75" customHeight="1" x14ac:dyDescent="0.2">
      <c r="A23" s="2149" t="s">
        <v>311</v>
      </c>
      <c r="B23" s="2150"/>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51" t="s">
        <v>1038</v>
      </c>
      <c r="B32" s="2152"/>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9" t="s">
        <v>392</v>
      </c>
      <c r="B44" s="2160"/>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3" t="s">
        <v>110</v>
      </c>
      <c r="B45" s="2154"/>
      <c r="C45" s="528"/>
      <c r="D45" s="528"/>
      <c r="E45" s="528"/>
      <c r="F45" s="528"/>
      <c r="G45" s="528"/>
      <c r="H45" s="528"/>
      <c r="I45" s="528"/>
      <c r="J45" s="528"/>
      <c r="K45" s="528"/>
      <c r="L45" s="347"/>
    </row>
    <row r="46" spans="1:12" s="485" customFormat="1" ht="15.75" customHeight="1" x14ac:dyDescent="0.2">
      <c r="A46" s="2161" t="s">
        <v>111</v>
      </c>
      <c r="B46" s="2162"/>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5" t="s">
        <v>460</v>
      </c>
      <c r="B76" s="2136"/>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7" t="s">
        <v>1239</v>
      </c>
      <c r="B77" s="2138"/>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41" t="s">
        <v>618</v>
      </c>
      <c r="B78" s="2142"/>
      <c r="C78" s="1724">
        <f t="shared" ref="C78:K78" si="9">C20+C77</f>
        <v>78995</v>
      </c>
      <c r="D78" s="1724">
        <f t="shared" si="9"/>
        <v>3123</v>
      </c>
      <c r="E78" s="1724">
        <f t="shared" si="9"/>
        <v>566</v>
      </c>
      <c r="F78" s="1724">
        <f t="shared" si="9"/>
        <v>110030</v>
      </c>
      <c r="G78" s="1724">
        <f t="shared" si="9"/>
        <v>-3224</v>
      </c>
      <c r="H78" s="1724">
        <f t="shared" si="9"/>
        <v>75267</v>
      </c>
      <c r="I78" s="1724">
        <f t="shared" si="9"/>
        <v>66897</v>
      </c>
      <c r="J78" s="1724">
        <f t="shared" si="9"/>
        <v>73113</v>
      </c>
      <c r="K78" s="1724">
        <f t="shared" si="9"/>
        <v>48154</v>
      </c>
      <c r="L78" s="533"/>
    </row>
    <row r="79" spans="1:12" ht="13.5" thickTop="1" x14ac:dyDescent="0.2">
      <c r="A79" s="1516" t="s">
        <v>2071</v>
      </c>
      <c r="B79" s="534"/>
      <c r="C79" s="478">
        <v>2192008</v>
      </c>
      <c r="D79" s="535">
        <v>422834</v>
      </c>
      <c r="E79" s="535">
        <v>106422</v>
      </c>
      <c r="F79" s="535">
        <v>196288</v>
      </c>
      <c r="G79" s="535">
        <v>106750</v>
      </c>
      <c r="H79" s="535">
        <v>464688</v>
      </c>
      <c r="I79" s="535">
        <v>517947</v>
      </c>
      <c r="J79" s="535">
        <v>201247</v>
      </c>
      <c r="K79" s="535">
        <v>84452</v>
      </c>
      <c r="L79" s="347"/>
    </row>
    <row r="80" spans="1:12" x14ac:dyDescent="0.2">
      <c r="A80" s="2147" t="s">
        <v>1898</v>
      </c>
      <c r="B80" s="2148"/>
      <c r="C80" s="467"/>
      <c r="D80" s="467"/>
      <c r="E80" s="467"/>
      <c r="F80" s="467"/>
      <c r="G80" s="467"/>
      <c r="H80" s="467"/>
      <c r="I80" s="467"/>
      <c r="J80" s="467"/>
      <c r="K80" s="467"/>
      <c r="L80" s="347"/>
    </row>
    <row r="81" spans="1:12" ht="13.5" thickBot="1" x14ac:dyDescent="0.25">
      <c r="A81" s="2139" t="s">
        <v>2072</v>
      </c>
      <c r="B81" s="2140"/>
      <c r="C81" s="1710">
        <f>(SUM(C78:C80))</f>
        <v>2271003</v>
      </c>
      <c r="D81" s="1710">
        <f>SUM(D78:D80)</f>
        <v>425957</v>
      </c>
      <c r="E81" s="1710">
        <f t="shared" ref="E81:K81" si="10">SUM(E78:E80)</f>
        <v>106988</v>
      </c>
      <c r="F81" s="1710">
        <f t="shared" si="10"/>
        <v>306318</v>
      </c>
      <c r="G81" s="1710">
        <f t="shared" si="10"/>
        <v>103526</v>
      </c>
      <c r="H81" s="1710">
        <f t="shared" si="10"/>
        <v>539955</v>
      </c>
      <c r="I81" s="1710">
        <f t="shared" si="10"/>
        <v>584844</v>
      </c>
      <c r="J81" s="1710">
        <f t="shared" si="10"/>
        <v>274360</v>
      </c>
      <c r="K81" s="1710">
        <f t="shared" si="10"/>
        <v>132606</v>
      </c>
      <c r="L81" s="347"/>
    </row>
    <row r="82" spans="1:12" ht="0.75" customHeight="1" thickTop="1" thickBot="1" x14ac:dyDescent="0.25">
      <c r="A82" s="536" t="s">
        <v>361</v>
      </c>
      <c r="B82" s="537"/>
      <c r="C82" s="538">
        <f>(C81-C79)</f>
        <v>78995</v>
      </c>
      <c r="D82" s="538">
        <f t="shared" ref="D82:K82" si="11">(D81-D79)</f>
        <v>3123</v>
      </c>
      <c r="E82" s="538">
        <f t="shared" si="11"/>
        <v>566</v>
      </c>
      <c r="F82" s="538">
        <f t="shared" si="11"/>
        <v>110030</v>
      </c>
      <c r="G82" s="538">
        <f t="shared" si="11"/>
        <v>-3224</v>
      </c>
      <c r="H82" s="538">
        <f t="shared" si="11"/>
        <v>75267</v>
      </c>
      <c r="I82" s="538">
        <f t="shared" si="11"/>
        <v>66897</v>
      </c>
      <c r="J82" s="538">
        <f t="shared" si="11"/>
        <v>73113</v>
      </c>
      <c r="K82" s="538">
        <f t="shared" si="11"/>
        <v>48154</v>
      </c>
    </row>
    <row r="83" spans="1:12" ht="14.25" hidden="1" thickTop="1" thickBot="1" x14ac:dyDescent="0.25">
      <c r="A83" s="539" t="s">
        <v>362</v>
      </c>
      <c r="B83" s="464"/>
      <c r="C83" s="540">
        <f>C82/C81</f>
        <v>3.4784190069321791E-2</v>
      </c>
      <c r="D83" s="540">
        <f t="shared" ref="D83:K83" si="12">D82/D81</f>
        <v>7.3317259723399307E-3</v>
      </c>
      <c r="E83" s="540">
        <f t="shared" si="12"/>
        <v>5.2903129322914716E-3</v>
      </c>
      <c r="F83" s="540">
        <f t="shared" si="12"/>
        <v>0.35920187517547125</v>
      </c>
      <c r="G83" s="540">
        <f t="shared" si="12"/>
        <v>-3.114193535923343E-2</v>
      </c>
      <c r="H83" s="540">
        <f t="shared" si="12"/>
        <v>0.13939494957913159</v>
      </c>
      <c r="I83" s="540">
        <f t="shared" si="12"/>
        <v>0.11438434864681864</v>
      </c>
      <c r="J83" s="540">
        <f t="shared" si="12"/>
        <v>0.26648563930602126</v>
      </c>
      <c r="K83" s="540">
        <f t="shared" si="12"/>
        <v>0.36313590636924425</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33" activePane="bottomLeft" state="frozen"/>
      <selection sqref="A1:M1"/>
      <selection pane="bottomLeft" sqref="A1:M2"/>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3" t="s">
        <v>1905</v>
      </c>
      <c r="B1" s="452"/>
      <c r="C1" s="453" t="s">
        <v>445</v>
      </c>
      <c r="D1" s="453" t="s">
        <v>446</v>
      </c>
      <c r="E1" s="453" t="s">
        <v>447</v>
      </c>
      <c r="F1" s="453" t="s">
        <v>448</v>
      </c>
      <c r="G1" s="453" t="s">
        <v>449</v>
      </c>
      <c r="H1" s="453" t="s">
        <v>450</v>
      </c>
      <c r="I1" s="453" t="s">
        <v>451</v>
      </c>
      <c r="J1" s="453" t="s">
        <v>452</v>
      </c>
      <c r="K1" s="453" t="s">
        <v>780</v>
      </c>
    </row>
    <row r="2" spans="1:12" ht="36" x14ac:dyDescent="0.2">
      <c r="A2" s="2144"/>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3269373</v>
      </c>
      <c r="D5" s="481">
        <v>594474</v>
      </c>
      <c r="E5" s="466">
        <v>904338</v>
      </c>
      <c r="F5" s="548">
        <v>237787</v>
      </c>
      <c r="G5" s="466">
        <v>79903</v>
      </c>
      <c r="H5" s="466"/>
      <c r="I5" s="466">
        <v>59453</v>
      </c>
      <c r="J5" s="467">
        <v>399721</v>
      </c>
      <c r="K5" s="466">
        <v>59453</v>
      </c>
    </row>
    <row r="6" spans="1:12" ht="15" x14ac:dyDescent="0.2">
      <c r="A6" s="463" t="s">
        <v>1761</v>
      </c>
      <c r="B6" s="470">
        <v>1130</v>
      </c>
      <c r="C6" s="466">
        <v>59456</v>
      </c>
      <c r="D6" s="466"/>
      <c r="E6" s="475"/>
      <c r="F6" s="475"/>
      <c r="G6" s="468"/>
      <c r="H6" s="468"/>
      <c r="I6" s="468"/>
      <c r="J6" s="468"/>
      <c r="K6" s="468"/>
    </row>
    <row r="7" spans="1:12" x14ac:dyDescent="0.2">
      <c r="A7" s="463" t="s">
        <v>112</v>
      </c>
      <c r="B7" s="549">
        <v>1140</v>
      </c>
      <c r="C7" s="466">
        <v>47558</v>
      </c>
      <c r="D7" s="466"/>
      <c r="E7" s="468"/>
      <c r="F7" s="467"/>
      <c r="G7" s="467"/>
      <c r="H7" s="467"/>
      <c r="I7" s="468"/>
      <c r="J7" s="468"/>
      <c r="K7" s="468"/>
    </row>
    <row r="8" spans="1:12" x14ac:dyDescent="0.2">
      <c r="A8" s="463" t="s">
        <v>433</v>
      </c>
      <c r="B8" s="470">
        <v>1150</v>
      </c>
      <c r="C8" s="475"/>
      <c r="D8" s="475"/>
      <c r="E8" s="477"/>
      <c r="F8" s="477"/>
      <c r="G8" s="481">
        <v>108909</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3376387</v>
      </c>
      <c r="D12" s="1729">
        <f t="shared" si="0"/>
        <v>594474</v>
      </c>
      <c r="E12" s="1729">
        <f t="shared" si="0"/>
        <v>904338</v>
      </c>
      <c r="F12" s="1729">
        <f t="shared" si="0"/>
        <v>237787</v>
      </c>
      <c r="G12" s="1729">
        <f t="shared" si="0"/>
        <v>188812</v>
      </c>
      <c r="H12" s="1729">
        <f t="shared" si="0"/>
        <v>0</v>
      </c>
      <c r="I12" s="1729">
        <f t="shared" si="0"/>
        <v>59453</v>
      </c>
      <c r="J12" s="1729">
        <f t="shared" si="0"/>
        <v>399721</v>
      </c>
      <c r="K12" s="1710">
        <f t="shared" si="0"/>
        <v>59453</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1464378</v>
      </c>
      <c r="D16" s="466"/>
      <c r="E16" s="466"/>
      <c r="F16" s="466"/>
      <c r="G16" s="466"/>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1464378</v>
      </c>
      <c r="D18" s="1732">
        <f t="shared" ref="D18:K18" si="1">SUM(D14:D17)</f>
        <v>0</v>
      </c>
      <c r="E18" s="1732">
        <f t="shared" si="1"/>
        <v>0</v>
      </c>
      <c r="F18" s="1732">
        <f t="shared" si="1"/>
        <v>0</v>
      </c>
      <c r="G18" s="1732">
        <f t="shared" si="1"/>
        <v>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v>7280</v>
      </c>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7280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39003</v>
      </c>
      <c r="D65" s="466">
        <v>7300</v>
      </c>
      <c r="E65" s="466">
        <v>2847</v>
      </c>
      <c r="F65" s="467">
        <v>4526</v>
      </c>
      <c r="G65" s="466">
        <v>2011</v>
      </c>
      <c r="H65" s="466">
        <v>4360</v>
      </c>
      <c r="I65" s="466">
        <v>7444</v>
      </c>
      <c r="J65" s="467">
        <v>3900</v>
      </c>
      <c r="K65" s="466">
        <v>1656</v>
      </c>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39003</v>
      </c>
      <c r="D67" s="1710">
        <f t="shared" ref="D67:K67" si="2">SUM(D65:D66)</f>
        <v>7300</v>
      </c>
      <c r="E67" s="1710">
        <f t="shared" si="2"/>
        <v>2847</v>
      </c>
      <c r="F67" s="1710">
        <f t="shared" si="2"/>
        <v>4526</v>
      </c>
      <c r="G67" s="1710">
        <f t="shared" si="2"/>
        <v>2011</v>
      </c>
      <c r="H67" s="1710">
        <f t="shared" si="2"/>
        <v>4360</v>
      </c>
      <c r="I67" s="1710">
        <f t="shared" si="2"/>
        <v>7444</v>
      </c>
      <c r="J67" s="1710">
        <f t="shared" si="2"/>
        <v>3900</v>
      </c>
      <c r="K67" s="1710">
        <f t="shared" si="2"/>
        <v>1656</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138113</v>
      </c>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v>14791</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1173</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154077</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38389</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8383</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v>501</v>
      </c>
      <c r="D81" s="466"/>
      <c r="E81" s="468"/>
      <c r="F81" s="468"/>
      <c r="G81" s="468"/>
      <c r="H81" s="468"/>
      <c r="I81" s="468"/>
      <c r="J81" s="468"/>
      <c r="K81" s="468"/>
    </row>
    <row r="82" spans="1:11" ht="12.75" customHeight="1" thickBot="1" x14ac:dyDescent="0.25">
      <c r="A82" s="1730" t="s">
        <v>259</v>
      </c>
      <c r="B82" s="1731"/>
      <c r="C82" s="1729">
        <f>SUM(C77:C81)</f>
        <v>47273</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49166</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49166</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v>6215</v>
      </c>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v>3446</v>
      </c>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v>659557</v>
      </c>
      <c r="I103" s="468"/>
      <c r="J103" s="510"/>
      <c r="K103" s="510"/>
    </row>
    <row r="104" spans="1:12" ht="12.75" customHeight="1" x14ac:dyDescent="0.2">
      <c r="A104" s="463" t="s">
        <v>885</v>
      </c>
      <c r="B104" s="470">
        <v>1991</v>
      </c>
      <c r="C104" s="489"/>
      <c r="D104" s="466"/>
      <c r="E104" s="481"/>
      <c r="F104" s="467"/>
      <c r="G104" s="467"/>
      <c r="H104" s="466">
        <v>2060</v>
      </c>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v>1559</v>
      </c>
      <c r="D106" s="489"/>
      <c r="E106" s="467"/>
      <c r="F106" s="467"/>
      <c r="G106" s="467"/>
      <c r="H106" s="467"/>
      <c r="I106" s="521"/>
      <c r="J106" s="467"/>
      <c r="K106" s="467"/>
    </row>
    <row r="107" spans="1:12" ht="12.75" customHeight="1" x14ac:dyDescent="0.2">
      <c r="A107" s="463" t="s">
        <v>80</v>
      </c>
      <c r="B107" s="470">
        <v>1999</v>
      </c>
      <c r="C107" s="551">
        <v>189372</v>
      </c>
      <c r="D107" s="466">
        <v>1184</v>
      </c>
      <c r="E107" s="466"/>
      <c r="F107" s="466"/>
      <c r="G107" s="466"/>
      <c r="H107" s="466"/>
      <c r="I107" s="466"/>
      <c r="J107" s="467"/>
      <c r="K107" s="466"/>
    </row>
    <row r="108" spans="1:12" ht="12.75" customHeight="1" thickBot="1" x14ac:dyDescent="0.25">
      <c r="A108" s="1730" t="s">
        <v>508</v>
      </c>
      <c r="B108" s="1734"/>
      <c r="C108" s="1729">
        <f>SUM(C95:C107)</f>
        <v>194377</v>
      </c>
      <c r="D108" s="1729">
        <f t="shared" ref="D108:K108" si="3">SUM(D95:D107)</f>
        <v>7399</v>
      </c>
      <c r="E108" s="1729">
        <f t="shared" si="3"/>
        <v>0</v>
      </c>
      <c r="F108" s="1729">
        <f t="shared" si="3"/>
        <v>0</v>
      </c>
      <c r="G108" s="1729">
        <f t="shared" si="3"/>
        <v>0</v>
      </c>
      <c r="H108" s="1729">
        <f t="shared" si="3"/>
        <v>661617</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5331941</v>
      </c>
      <c r="D109" s="1737">
        <f t="shared" si="4"/>
        <v>609173</v>
      </c>
      <c r="E109" s="1737">
        <f t="shared" si="4"/>
        <v>907185</v>
      </c>
      <c r="F109" s="1737">
        <f t="shared" si="4"/>
        <v>242313</v>
      </c>
      <c r="G109" s="1737">
        <f t="shared" si="4"/>
        <v>190823</v>
      </c>
      <c r="H109" s="1737">
        <f t="shared" si="4"/>
        <v>665977</v>
      </c>
      <c r="I109" s="1737">
        <f t="shared" si="4"/>
        <v>66897</v>
      </c>
      <c r="J109" s="1737">
        <f t="shared" si="4"/>
        <v>403621</v>
      </c>
      <c r="K109" s="1724">
        <f t="shared" si="4"/>
        <v>61109</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1249087</v>
      </c>
      <c r="D117" s="481">
        <v>50000</v>
      </c>
      <c r="E117" s="466"/>
      <c r="F117" s="481">
        <v>50000</v>
      </c>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1249087</v>
      </c>
      <c r="D121" s="1729">
        <f t="shared" si="5"/>
        <v>50000</v>
      </c>
      <c r="E121" s="1729">
        <f t="shared" si="5"/>
        <v>0</v>
      </c>
      <c r="F121" s="1729">
        <f t="shared" si="5"/>
        <v>50000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v>64641</v>
      </c>
      <c r="D125" s="561"/>
      <c r="E125" s="468"/>
      <c r="F125" s="466"/>
      <c r="G125" s="468"/>
      <c r="H125" s="468"/>
      <c r="I125" s="468"/>
      <c r="J125" s="468"/>
      <c r="K125" s="468"/>
    </row>
    <row r="126" spans="1:11" ht="12.75" customHeight="1" x14ac:dyDescent="0.2">
      <c r="A126" s="463" t="s">
        <v>922</v>
      </c>
      <c r="B126" s="562">
        <v>3110</v>
      </c>
      <c r="C126" s="551">
        <v>59324</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123965</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v>1613</v>
      </c>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v>16530</v>
      </c>
      <c r="D139" s="466"/>
      <c r="E139" s="561"/>
      <c r="F139" s="477"/>
      <c r="G139" s="467"/>
      <c r="H139" s="468"/>
      <c r="I139" s="468"/>
      <c r="J139" s="468"/>
      <c r="K139" s="468"/>
    </row>
    <row r="140" spans="1:11" ht="12.75" customHeight="1" thickBot="1" x14ac:dyDescent="0.25">
      <c r="A140" s="1730" t="s">
        <v>624</v>
      </c>
      <c r="B140" s="1742"/>
      <c r="C140" s="1729">
        <f>SUM(C133:C139)</f>
        <v>18143</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2504</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14606</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154743</v>
      </c>
      <c r="G151" s="467"/>
      <c r="H151" s="468"/>
      <c r="I151" s="468"/>
      <c r="J151" s="468"/>
      <c r="K151" s="468"/>
    </row>
    <row r="152" spans="1:11" ht="12.75" customHeight="1" x14ac:dyDescent="0.2">
      <c r="A152" s="463" t="s">
        <v>1117</v>
      </c>
      <c r="B152" s="562">
        <v>3510</v>
      </c>
      <c r="C152" s="551"/>
      <c r="D152" s="466"/>
      <c r="E152" s="561"/>
      <c r="F152" s="466">
        <v>293626</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448369</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845</v>
      </c>
      <c r="D171" s="580"/>
      <c r="E171" s="580"/>
      <c r="F171" s="580"/>
      <c r="G171" s="581"/>
      <c r="H171" s="582"/>
      <c r="I171" s="581"/>
      <c r="J171" s="581"/>
      <c r="K171" s="582"/>
    </row>
    <row r="172" spans="1:11" ht="12.75" customHeight="1" thickTop="1" thickBot="1" x14ac:dyDescent="0.25">
      <c r="A172" s="2163" t="s">
        <v>418</v>
      </c>
      <c r="B172" s="2164"/>
      <c r="C172" s="1744">
        <f t="shared" ref="C172:K172" si="6">SUM(C131,C140,C144,C145:C149,C154,C155:C170,C171)</f>
        <v>160063</v>
      </c>
      <c r="D172" s="1744">
        <f t="shared" si="6"/>
        <v>0</v>
      </c>
      <c r="E172" s="1744">
        <f t="shared" si="6"/>
        <v>0</v>
      </c>
      <c r="F172" s="1744">
        <f t="shared" si="6"/>
        <v>448369</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1409150</v>
      </c>
      <c r="D173" s="1737">
        <f>SUM(D121,D172)</f>
        <v>50000</v>
      </c>
      <c r="E173" s="1737">
        <f>SUM(E121,E172)</f>
        <v>0</v>
      </c>
      <c r="F173" s="1737">
        <f t="shared" ref="F173:K173" si="7">SUM(F121,F172)</f>
        <v>498369</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5" t="s">
        <v>1572</v>
      </c>
      <c r="B175" s="2166"/>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9" t="s">
        <v>1764</v>
      </c>
      <c r="B178" s="2170"/>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3" t="s">
        <v>1763</v>
      </c>
      <c r="B179" s="2174"/>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71" t="s">
        <v>818</v>
      </c>
      <c r="B184" s="2172"/>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7" t="s">
        <v>1906</v>
      </c>
      <c r="B185" s="2168"/>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137220</v>
      </c>
      <c r="D194" s="468"/>
      <c r="E194" s="561"/>
      <c r="F194" s="468"/>
      <c r="G194" s="585"/>
      <c r="H194" s="468"/>
      <c r="I194" s="468"/>
      <c r="J194" s="468"/>
      <c r="K194" s="468"/>
    </row>
    <row r="195" spans="1:11" ht="12.75" customHeight="1" x14ac:dyDescent="0.2">
      <c r="A195" s="463" t="s">
        <v>1107</v>
      </c>
      <c r="B195" s="470">
        <v>4215</v>
      </c>
      <c r="C195" s="551">
        <v>530</v>
      </c>
      <c r="D195" s="468"/>
      <c r="E195" s="561"/>
      <c r="F195" s="468"/>
      <c r="G195" s="585"/>
      <c r="H195" s="468"/>
      <c r="I195" s="468"/>
      <c r="J195" s="468"/>
      <c r="K195" s="468"/>
    </row>
    <row r="196" spans="1:11" ht="12.75" customHeight="1" x14ac:dyDescent="0.2">
      <c r="A196" s="463" t="s">
        <v>1119</v>
      </c>
      <c r="B196" s="470">
        <v>4220</v>
      </c>
      <c r="C196" s="551">
        <v>31767</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169517</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63632</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63632</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44607</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17649</v>
      </c>
      <c r="D270" s="576"/>
      <c r="E270" s="468"/>
      <c r="F270" s="576"/>
      <c r="G270" s="576"/>
      <c r="H270" s="468"/>
      <c r="I270" s="468"/>
      <c r="J270" s="468"/>
      <c r="K270" s="468"/>
    </row>
    <row r="271" spans="1:11" ht="12.75" customHeight="1" thickTop="1" thickBot="1" x14ac:dyDescent="0.25">
      <c r="A271" s="463" t="s">
        <v>395</v>
      </c>
      <c r="B271" s="470">
        <v>4992</v>
      </c>
      <c r="C271" s="575">
        <v>77</v>
      </c>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295482</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295482</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7036573</v>
      </c>
      <c r="D275" s="1737">
        <f t="shared" si="12"/>
        <v>659173</v>
      </c>
      <c r="E275" s="1737">
        <f t="shared" si="12"/>
        <v>907185</v>
      </c>
      <c r="F275" s="1737">
        <f t="shared" si="12"/>
        <v>740682</v>
      </c>
      <c r="G275" s="1737">
        <f t="shared" si="12"/>
        <v>190823</v>
      </c>
      <c r="H275" s="1737">
        <f t="shared" si="12"/>
        <v>665977</v>
      </c>
      <c r="I275" s="1737">
        <f t="shared" si="12"/>
        <v>66897</v>
      </c>
      <c r="J275" s="1737">
        <f t="shared" si="12"/>
        <v>403621</v>
      </c>
      <c r="K275" s="1724">
        <f t="shared" si="12"/>
        <v>61109</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2" activePane="bottomLeft" state="frozen"/>
      <selection sqref="A1:M1"/>
      <selection pane="bottomLeft" sqref="A1:M2"/>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3"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5"/>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1" t="s">
        <v>315</v>
      </c>
      <c r="B3" s="2182"/>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2897228</v>
      </c>
      <c r="D5" s="466">
        <v>822994</v>
      </c>
      <c r="E5" s="466">
        <v>51587</v>
      </c>
      <c r="F5" s="466">
        <v>75847</v>
      </c>
      <c r="G5" s="466">
        <v>1251</v>
      </c>
      <c r="H5" s="466">
        <v>5391</v>
      </c>
      <c r="I5" s="467"/>
      <c r="J5" s="467"/>
      <c r="K5" s="1693">
        <f>SUM(C5:J5)</f>
        <v>3854298</v>
      </c>
      <c r="L5" s="466">
        <v>3859300</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v>128400</v>
      </c>
      <c r="D7" s="467">
        <v>49875</v>
      </c>
      <c r="E7" s="467"/>
      <c r="F7" s="467">
        <v>477</v>
      </c>
      <c r="G7" s="467"/>
      <c r="H7" s="467"/>
      <c r="I7" s="467"/>
      <c r="J7" s="467"/>
      <c r="K7" s="1693">
        <f t="shared" ref="K7:K32" si="0">SUM(C7:J7)</f>
        <v>178752</v>
      </c>
      <c r="L7" s="466">
        <v>178753</v>
      </c>
    </row>
    <row r="8" spans="1:14" x14ac:dyDescent="0.2">
      <c r="A8" s="1526" t="s">
        <v>166</v>
      </c>
      <c r="B8" s="615">
        <v>1200</v>
      </c>
      <c r="C8" s="466">
        <v>575851</v>
      </c>
      <c r="D8" s="466">
        <v>215285</v>
      </c>
      <c r="E8" s="466">
        <v>26</v>
      </c>
      <c r="F8" s="466">
        <v>1883</v>
      </c>
      <c r="G8" s="466"/>
      <c r="H8" s="466"/>
      <c r="I8" s="467"/>
      <c r="J8" s="467"/>
      <c r="K8" s="1693">
        <f t="shared" si="0"/>
        <v>793045</v>
      </c>
      <c r="L8" s="466">
        <v>793044</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49813</v>
      </c>
      <c r="D10" s="466">
        <v>20930</v>
      </c>
      <c r="E10" s="466">
        <v>3200</v>
      </c>
      <c r="F10" s="466">
        <v>10926</v>
      </c>
      <c r="G10" s="466">
        <v>47140</v>
      </c>
      <c r="H10" s="466"/>
      <c r="I10" s="467"/>
      <c r="J10" s="467"/>
      <c r="K10" s="1693">
        <f t="shared" si="0"/>
        <v>132009</v>
      </c>
      <c r="L10" s="466">
        <v>132010</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7"/>
      <c r="F12" s="467"/>
      <c r="G12" s="467"/>
      <c r="H12" s="467"/>
      <c r="I12" s="467"/>
      <c r="J12" s="467"/>
      <c r="K12" s="1693">
        <f t="shared" si="0"/>
        <v>0</v>
      </c>
      <c r="L12" s="466"/>
    </row>
    <row r="13" spans="1:14" x14ac:dyDescent="0.2">
      <c r="A13" s="1526" t="s">
        <v>747</v>
      </c>
      <c r="B13" s="615">
        <v>1400</v>
      </c>
      <c r="C13" s="467">
        <v>197946</v>
      </c>
      <c r="D13" s="467">
        <v>52516</v>
      </c>
      <c r="E13" s="467">
        <v>947</v>
      </c>
      <c r="F13" s="467">
        <v>9993</v>
      </c>
      <c r="G13" s="467">
        <v>1500</v>
      </c>
      <c r="H13" s="467">
        <v>205</v>
      </c>
      <c r="I13" s="467"/>
      <c r="J13" s="467"/>
      <c r="K13" s="1693">
        <f>SUM(C13:J13)</f>
        <v>263107</v>
      </c>
      <c r="L13" s="466">
        <v>263588</v>
      </c>
    </row>
    <row r="14" spans="1:14" x14ac:dyDescent="0.2">
      <c r="A14" s="1526" t="s">
        <v>1020</v>
      </c>
      <c r="B14" s="615">
        <v>1500</v>
      </c>
      <c r="C14" s="466"/>
      <c r="D14" s="466"/>
      <c r="E14" s="466">
        <v>42341</v>
      </c>
      <c r="F14" s="466">
        <v>36672</v>
      </c>
      <c r="G14" s="466">
        <v>4278</v>
      </c>
      <c r="H14" s="466">
        <v>7045</v>
      </c>
      <c r="I14" s="467"/>
      <c r="J14" s="467"/>
      <c r="K14" s="1693">
        <f t="shared" si="0"/>
        <v>90336</v>
      </c>
      <c r="L14" s="466">
        <v>90337</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3849238</v>
      </c>
      <c r="D33" s="1692">
        <f t="shared" ref="D33:L33" si="1">SUM(D5:D32)</f>
        <v>1161600</v>
      </c>
      <c r="E33" s="1692">
        <f t="shared" si="1"/>
        <v>98101</v>
      </c>
      <c r="F33" s="1692">
        <f t="shared" si="1"/>
        <v>135798</v>
      </c>
      <c r="G33" s="1692">
        <f t="shared" si="1"/>
        <v>54169</v>
      </c>
      <c r="H33" s="1692">
        <f t="shared" si="1"/>
        <v>12641</v>
      </c>
      <c r="I33" s="1692">
        <f t="shared" si="1"/>
        <v>0</v>
      </c>
      <c r="J33" s="1692">
        <f t="shared" si="1"/>
        <v>0</v>
      </c>
      <c r="K33" s="1692">
        <f t="shared" si="1"/>
        <v>5311547</v>
      </c>
      <c r="L33" s="1692">
        <f t="shared" si="1"/>
        <v>5317032</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115057</v>
      </c>
      <c r="D36" s="481">
        <v>30948</v>
      </c>
      <c r="E36" s="481"/>
      <c r="F36" s="481">
        <v>68</v>
      </c>
      <c r="G36" s="481"/>
      <c r="H36" s="481"/>
      <c r="I36" s="467"/>
      <c r="J36" s="467"/>
      <c r="K36" s="1693">
        <f t="shared" ref="K36:K41" si="2">SUM(C36:J36)</f>
        <v>146073</v>
      </c>
      <c r="L36" s="466">
        <v>146073</v>
      </c>
    </row>
    <row r="37" spans="1:14" x14ac:dyDescent="0.2">
      <c r="A37" s="1526" t="s">
        <v>1151</v>
      </c>
      <c r="B37" s="615">
        <v>2120</v>
      </c>
      <c r="C37" s="466">
        <v>39441</v>
      </c>
      <c r="D37" s="466">
        <v>13678</v>
      </c>
      <c r="E37" s="466"/>
      <c r="F37" s="466">
        <v>753</v>
      </c>
      <c r="G37" s="466"/>
      <c r="H37" s="466"/>
      <c r="I37" s="467"/>
      <c r="J37" s="467"/>
      <c r="K37" s="1693">
        <f t="shared" si="2"/>
        <v>53872</v>
      </c>
      <c r="L37" s="466">
        <v>53872</v>
      </c>
    </row>
    <row r="38" spans="1:14" x14ac:dyDescent="0.2">
      <c r="A38" s="1526" t="s">
        <v>207</v>
      </c>
      <c r="B38" s="615">
        <v>2130</v>
      </c>
      <c r="C38" s="466">
        <v>25599</v>
      </c>
      <c r="D38" s="466">
        <v>4954</v>
      </c>
      <c r="E38" s="466"/>
      <c r="F38" s="466">
        <v>4368</v>
      </c>
      <c r="G38" s="466"/>
      <c r="H38" s="466"/>
      <c r="I38" s="467"/>
      <c r="J38" s="467"/>
      <c r="K38" s="1693">
        <f t="shared" si="2"/>
        <v>34921</v>
      </c>
      <c r="L38" s="466">
        <v>34921</v>
      </c>
    </row>
    <row r="39" spans="1:14" x14ac:dyDescent="0.2">
      <c r="A39" s="1526" t="s">
        <v>208</v>
      </c>
      <c r="B39" s="615">
        <v>2140</v>
      </c>
      <c r="C39" s="466">
        <v>59491</v>
      </c>
      <c r="D39" s="466">
        <v>16686</v>
      </c>
      <c r="E39" s="466">
        <v>20</v>
      </c>
      <c r="F39" s="466">
        <v>2961</v>
      </c>
      <c r="G39" s="466"/>
      <c r="H39" s="466"/>
      <c r="I39" s="467"/>
      <c r="J39" s="467"/>
      <c r="K39" s="1693">
        <f t="shared" si="2"/>
        <v>79158</v>
      </c>
      <c r="L39" s="466">
        <v>79157</v>
      </c>
    </row>
    <row r="40" spans="1:14" x14ac:dyDescent="0.2">
      <c r="A40" s="1526" t="s">
        <v>209</v>
      </c>
      <c r="B40" s="615">
        <v>2150</v>
      </c>
      <c r="C40" s="466">
        <v>75285</v>
      </c>
      <c r="D40" s="466">
        <v>19633</v>
      </c>
      <c r="E40" s="466">
        <v>1670</v>
      </c>
      <c r="F40" s="466">
        <v>2098</v>
      </c>
      <c r="G40" s="466"/>
      <c r="H40" s="466"/>
      <c r="I40" s="467"/>
      <c r="J40" s="467"/>
      <c r="K40" s="1693">
        <f t="shared" si="2"/>
        <v>98686</v>
      </c>
      <c r="L40" s="466">
        <v>101687</v>
      </c>
    </row>
    <row r="41" spans="1:14" x14ac:dyDescent="0.2">
      <c r="A41" s="1526" t="s">
        <v>1768</v>
      </c>
      <c r="B41" s="615">
        <v>2190</v>
      </c>
      <c r="C41" s="466">
        <v>92555</v>
      </c>
      <c r="D41" s="466">
        <v>25074</v>
      </c>
      <c r="E41" s="466">
        <v>34924</v>
      </c>
      <c r="F41" s="466">
        <v>29180</v>
      </c>
      <c r="G41" s="466">
        <v>4927</v>
      </c>
      <c r="H41" s="466">
        <v>277</v>
      </c>
      <c r="I41" s="467"/>
      <c r="J41" s="467"/>
      <c r="K41" s="1693">
        <f t="shared" si="2"/>
        <v>186937</v>
      </c>
      <c r="L41" s="466">
        <v>183158</v>
      </c>
    </row>
    <row r="42" spans="1:14" ht="12.75" customHeight="1" thickBot="1" x14ac:dyDescent="0.25">
      <c r="A42" s="1690" t="s">
        <v>581</v>
      </c>
      <c r="B42" s="1691" t="s">
        <v>740</v>
      </c>
      <c r="C42" s="1692">
        <f>SUM(C36:C41)</f>
        <v>407428</v>
      </c>
      <c r="D42" s="1692">
        <f t="shared" ref="D42:L42" si="3">SUM(D36:D41)</f>
        <v>110973</v>
      </c>
      <c r="E42" s="1692">
        <f t="shared" si="3"/>
        <v>36614</v>
      </c>
      <c r="F42" s="1692">
        <f t="shared" si="3"/>
        <v>39428</v>
      </c>
      <c r="G42" s="1692">
        <f t="shared" si="3"/>
        <v>4927</v>
      </c>
      <c r="H42" s="1692">
        <f t="shared" si="3"/>
        <v>277</v>
      </c>
      <c r="I42" s="1692">
        <f t="shared" si="3"/>
        <v>0</v>
      </c>
      <c r="J42" s="1692">
        <f t="shared" si="3"/>
        <v>0</v>
      </c>
      <c r="K42" s="1692">
        <f t="shared" si="3"/>
        <v>599647</v>
      </c>
      <c r="L42" s="1692">
        <f t="shared" si="3"/>
        <v>598868</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c r="D44" s="481"/>
      <c r="E44" s="481"/>
      <c r="F44" s="481">
        <v>1000</v>
      </c>
      <c r="G44" s="481"/>
      <c r="H44" s="481"/>
      <c r="I44" s="467"/>
      <c r="J44" s="467"/>
      <c r="K44" s="1694">
        <f>SUM(C44:J44)</f>
        <v>1000</v>
      </c>
      <c r="L44" s="481">
        <v>1000</v>
      </c>
    </row>
    <row r="45" spans="1:14" x14ac:dyDescent="0.2">
      <c r="A45" s="1526" t="s">
        <v>869</v>
      </c>
      <c r="B45" s="615">
        <v>2220</v>
      </c>
      <c r="C45" s="466">
        <v>88129</v>
      </c>
      <c r="D45" s="466">
        <v>39453</v>
      </c>
      <c r="E45" s="466">
        <v>2864</v>
      </c>
      <c r="F45" s="466">
        <v>8520</v>
      </c>
      <c r="G45" s="466"/>
      <c r="H45" s="466"/>
      <c r="I45" s="467"/>
      <c r="J45" s="467"/>
      <c r="K45" s="1694">
        <f>SUM(C45:J45)</f>
        <v>138966</v>
      </c>
      <c r="L45" s="466">
        <v>138969</v>
      </c>
    </row>
    <row r="46" spans="1:14" x14ac:dyDescent="0.2">
      <c r="A46" s="1526" t="s">
        <v>870</v>
      </c>
      <c r="B46" s="615">
        <v>2230</v>
      </c>
      <c r="C46" s="466"/>
      <c r="D46" s="466"/>
      <c r="E46" s="466"/>
      <c r="F46" s="466">
        <v>6946</v>
      </c>
      <c r="G46" s="466"/>
      <c r="H46" s="466"/>
      <c r="I46" s="467"/>
      <c r="J46" s="467"/>
      <c r="K46" s="1694">
        <f>SUM(C46:J46)</f>
        <v>6946</v>
      </c>
      <c r="L46" s="466">
        <v>6946</v>
      </c>
    </row>
    <row r="47" spans="1:14" ht="12.75" customHeight="1" thickBot="1" x14ac:dyDescent="0.25">
      <c r="A47" s="1690" t="s">
        <v>582</v>
      </c>
      <c r="B47" s="1691" t="s">
        <v>32</v>
      </c>
      <c r="C47" s="1692">
        <f>SUM(C44:C46)</f>
        <v>88129</v>
      </c>
      <c r="D47" s="1692">
        <f t="shared" ref="D47:K47" si="4">SUM(D44:D46)</f>
        <v>39453</v>
      </c>
      <c r="E47" s="1692">
        <f t="shared" si="4"/>
        <v>2864</v>
      </c>
      <c r="F47" s="1692">
        <f t="shared" si="4"/>
        <v>16466</v>
      </c>
      <c r="G47" s="1692">
        <f t="shared" si="4"/>
        <v>0</v>
      </c>
      <c r="H47" s="1692">
        <f t="shared" si="4"/>
        <v>0</v>
      </c>
      <c r="I47" s="1692">
        <f t="shared" si="4"/>
        <v>0</v>
      </c>
      <c r="J47" s="1692">
        <f t="shared" si="4"/>
        <v>0</v>
      </c>
      <c r="K47" s="1692">
        <f t="shared" si="4"/>
        <v>146912</v>
      </c>
      <c r="L47" s="1692">
        <f>SUM(L44:L46)</f>
        <v>146915</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3600</v>
      </c>
      <c r="D49" s="481"/>
      <c r="E49" s="481">
        <v>19249</v>
      </c>
      <c r="F49" s="481"/>
      <c r="G49" s="481"/>
      <c r="H49" s="481">
        <v>7228</v>
      </c>
      <c r="I49" s="467"/>
      <c r="J49" s="467"/>
      <c r="K49" s="1694">
        <f>SUM(C49:J49)</f>
        <v>30077</v>
      </c>
      <c r="L49" s="481">
        <v>30076</v>
      </c>
    </row>
    <row r="50" spans="1:14" x14ac:dyDescent="0.2">
      <c r="A50" s="1526" t="s">
        <v>872</v>
      </c>
      <c r="B50" s="615">
        <v>2320</v>
      </c>
      <c r="C50" s="466">
        <v>89250</v>
      </c>
      <c r="D50" s="466">
        <v>17335</v>
      </c>
      <c r="E50" s="466">
        <v>961</v>
      </c>
      <c r="F50" s="466">
        <v>368</v>
      </c>
      <c r="G50" s="466"/>
      <c r="H50" s="466">
        <v>1170</v>
      </c>
      <c r="I50" s="467"/>
      <c r="J50" s="467"/>
      <c r="K50" s="1694">
        <f>SUM(C50:J50)</f>
        <v>109084</v>
      </c>
      <c r="L50" s="466">
        <v>109085</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92850</v>
      </c>
      <c r="D53" s="1692">
        <f t="shared" ref="D53:L53" si="5">SUM(D49:D52)</f>
        <v>17335</v>
      </c>
      <c r="E53" s="1692">
        <f t="shared" si="5"/>
        <v>20210</v>
      </c>
      <c r="F53" s="1692">
        <f t="shared" si="5"/>
        <v>368</v>
      </c>
      <c r="G53" s="1692">
        <f t="shared" si="5"/>
        <v>0</v>
      </c>
      <c r="H53" s="1692">
        <f t="shared" si="5"/>
        <v>8398</v>
      </c>
      <c r="I53" s="1692">
        <f t="shared" si="5"/>
        <v>0</v>
      </c>
      <c r="J53" s="1692">
        <f t="shared" si="5"/>
        <v>0</v>
      </c>
      <c r="K53" s="1692">
        <f t="shared" si="5"/>
        <v>139161</v>
      </c>
      <c r="L53" s="1692">
        <f t="shared" si="5"/>
        <v>139161</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281628</v>
      </c>
      <c r="D55" s="481">
        <v>65428</v>
      </c>
      <c r="E55" s="481">
        <v>2318</v>
      </c>
      <c r="F55" s="481">
        <v>875</v>
      </c>
      <c r="G55" s="481"/>
      <c r="H55" s="481">
        <v>369</v>
      </c>
      <c r="I55" s="467"/>
      <c r="J55" s="467"/>
      <c r="K55" s="1694">
        <f>SUM(C55:J55)</f>
        <v>350618</v>
      </c>
      <c r="L55" s="481">
        <v>350620</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281628</v>
      </c>
      <c r="D57" s="1696">
        <f t="shared" ref="D57:K57" si="6">SUM(D55:D56)</f>
        <v>65428</v>
      </c>
      <c r="E57" s="1696">
        <f t="shared" si="6"/>
        <v>2318</v>
      </c>
      <c r="F57" s="1696">
        <f t="shared" si="6"/>
        <v>875</v>
      </c>
      <c r="G57" s="1696">
        <f t="shared" si="6"/>
        <v>0</v>
      </c>
      <c r="H57" s="1696">
        <f t="shared" si="6"/>
        <v>369</v>
      </c>
      <c r="I57" s="1696">
        <f t="shared" si="6"/>
        <v>0</v>
      </c>
      <c r="J57" s="1696">
        <f t="shared" si="6"/>
        <v>0</v>
      </c>
      <c r="K57" s="1696">
        <f t="shared" si="6"/>
        <v>350618</v>
      </c>
      <c r="L57" s="1692">
        <f>SUM(L55:L56)</f>
        <v>350620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53628</v>
      </c>
      <c r="D60" s="466">
        <v>9034</v>
      </c>
      <c r="E60" s="466">
        <v>6187</v>
      </c>
      <c r="F60" s="466">
        <v>961</v>
      </c>
      <c r="G60" s="466"/>
      <c r="H60" s="466"/>
      <c r="I60" s="467"/>
      <c r="J60" s="467"/>
      <c r="K60" s="1694">
        <f t="shared" si="7"/>
        <v>69810</v>
      </c>
      <c r="L60" s="466">
        <v>69810</v>
      </c>
      <c r="M60" s="610"/>
      <c r="N60" s="610"/>
    </row>
    <row r="61" spans="1:14" s="343" customFormat="1" x14ac:dyDescent="0.2">
      <c r="A61" s="1526" t="s">
        <v>206</v>
      </c>
      <c r="B61" s="615">
        <v>2540</v>
      </c>
      <c r="C61" s="466"/>
      <c r="D61" s="466"/>
      <c r="E61" s="466"/>
      <c r="F61" s="466"/>
      <c r="G61" s="466"/>
      <c r="H61" s="466"/>
      <c r="I61" s="467"/>
      <c r="J61" s="467"/>
      <c r="K61" s="1694">
        <f t="shared" si="7"/>
        <v>0</v>
      </c>
      <c r="L61" s="466"/>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c r="D63" s="466"/>
      <c r="E63" s="466">
        <v>229373</v>
      </c>
      <c r="F63" s="466">
        <v>57</v>
      </c>
      <c r="G63" s="466">
        <v>2310</v>
      </c>
      <c r="H63" s="466"/>
      <c r="I63" s="467"/>
      <c r="J63" s="467"/>
      <c r="K63" s="1694">
        <f t="shared" si="7"/>
        <v>231740</v>
      </c>
      <c r="L63" s="466">
        <v>231739</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53628</v>
      </c>
      <c r="D65" s="1692">
        <f t="shared" ref="D65:L65" si="8">SUM(D59:D64)</f>
        <v>9034</v>
      </c>
      <c r="E65" s="1692">
        <f t="shared" si="8"/>
        <v>235560</v>
      </c>
      <c r="F65" s="1692">
        <f t="shared" si="8"/>
        <v>1018</v>
      </c>
      <c r="G65" s="1692">
        <f t="shared" si="8"/>
        <v>2310</v>
      </c>
      <c r="H65" s="1692">
        <f t="shared" si="8"/>
        <v>0</v>
      </c>
      <c r="I65" s="1692">
        <f t="shared" si="8"/>
        <v>0</v>
      </c>
      <c r="J65" s="1692">
        <f t="shared" si="8"/>
        <v>0</v>
      </c>
      <c r="K65" s="1692">
        <f t="shared" si="8"/>
        <v>301550</v>
      </c>
      <c r="L65" s="1692">
        <f t="shared" si="8"/>
        <v>301549</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v>1115</v>
      </c>
      <c r="F68" s="466"/>
      <c r="G68" s="466"/>
      <c r="H68" s="466"/>
      <c r="I68" s="467"/>
      <c r="J68" s="467"/>
      <c r="K68" s="1694">
        <f>SUM(C68:J68)</f>
        <v>1115</v>
      </c>
      <c r="L68" s="466">
        <v>1115</v>
      </c>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1115</v>
      </c>
      <c r="F72" s="1692">
        <f t="shared" si="9"/>
        <v>0</v>
      </c>
      <c r="G72" s="1692">
        <f t="shared" si="9"/>
        <v>0</v>
      </c>
      <c r="H72" s="1692">
        <f t="shared" si="9"/>
        <v>0</v>
      </c>
      <c r="I72" s="1692">
        <f t="shared" si="9"/>
        <v>0</v>
      </c>
      <c r="J72" s="1692">
        <f t="shared" si="9"/>
        <v>0</v>
      </c>
      <c r="K72" s="1692">
        <f t="shared" si="9"/>
        <v>1115</v>
      </c>
      <c r="L72" s="1692">
        <f>SUM(L67:L71)</f>
        <v>1115</v>
      </c>
      <c r="M72" s="610"/>
      <c r="N72" s="610"/>
    </row>
    <row r="73" spans="1:14" s="343" customFormat="1" ht="14.25" thickTop="1" thickBot="1" x14ac:dyDescent="0.25">
      <c r="A73" s="1532" t="s">
        <v>1037</v>
      </c>
      <c r="B73" s="633" t="s">
        <v>595</v>
      </c>
      <c r="C73" s="573"/>
      <c r="D73" s="573"/>
      <c r="E73" s="573">
        <v>1524</v>
      </c>
      <c r="F73" s="573"/>
      <c r="G73" s="573"/>
      <c r="H73" s="573"/>
      <c r="I73" s="531"/>
      <c r="J73" s="531"/>
      <c r="K73" s="1692">
        <f>SUM(C73:J73)</f>
        <v>1524</v>
      </c>
      <c r="L73" s="576">
        <v>1524</v>
      </c>
      <c r="M73" s="610"/>
      <c r="N73" s="610"/>
    </row>
    <row r="74" spans="1:14" ht="12.75" customHeight="1" thickTop="1" thickBot="1" x14ac:dyDescent="0.25">
      <c r="A74" s="1690" t="s">
        <v>865</v>
      </c>
      <c r="B74" s="1698">
        <v>2000</v>
      </c>
      <c r="C74" s="1699">
        <f>SUM(C42,C47,C53,C57,C65,C72,C73)</f>
        <v>923663</v>
      </c>
      <c r="D74" s="1699">
        <f t="shared" ref="D74:K74" si="10">SUM(D42,D47,D53,D57,D65,D72,D73)</f>
        <v>242223</v>
      </c>
      <c r="E74" s="1699">
        <f t="shared" si="10"/>
        <v>300205</v>
      </c>
      <c r="F74" s="1699">
        <f t="shared" si="10"/>
        <v>58155</v>
      </c>
      <c r="G74" s="1699">
        <f t="shared" si="10"/>
        <v>7237</v>
      </c>
      <c r="H74" s="1699">
        <f t="shared" si="10"/>
        <v>9044</v>
      </c>
      <c r="I74" s="1699">
        <f t="shared" si="10"/>
        <v>0</v>
      </c>
      <c r="J74" s="1699">
        <f t="shared" si="10"/>
        <v>0</v>
      </c>
      <c r="K74" s="1699">
        <f t="shared" si="10"/>
        <v>1540527</v>
      </c>
      <c r="L74" s="1699">
        <f>SUM(L42,L47,L53,L57,L65,L72,L73)</f>
        <v>1539752</v>
      </c>
    </row>
    <row r="75" spans="1:14" s="259" customFormat="1" ht="15.75" customHeight="1" thickTop="1" thickBot="1" x14ac:dyDescent="0.25">
      <c r="A75" s="1632" t="s">
        <v>49</v>
      </c>
      <c r="B75" s="1633" t="s">
        <v>596</v>
      </c>
      <c r="C75" s="573"/>
      <c r="D75" s="573"/>
      <c r="E75" s="573"/>
      <c r="F75" s="573"/>
      <c r="G75" s="573"/>
      <c r="H75" s="573"/>
      <c r="I75" s="531"/>
      <c r="J75" s="531"/>
      <c r="K75" s="1692">
        <f>SUM(C75:J75)</f>
        <v>0</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v>89984</v>
      </c>
      <c r="F79" s="617"/>
      <c r="G79" s="617"/>
      <c r="H79" s="466"/>
      <c r="I79" s="477"/>
      <c r="J79" s="477"/>
      <c r="K79" s="1693">
        <f t="shared" si="11"/>
        <v>89984</v>
      </c>
      <c r="L79" s="466">
        <v>105504</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89984</v>
      </c>
      <c r="F84" s="617"/>
      <c r="G84" s="617"/>
      <c r="H84" s="1692">
        <f>SUM(H78:H83)</f>
        <v>0</v>
      </c>
      <c r="I84" s="477"/>
      <c r="J84" s="477"/>
      <c r="K84" s="1692">
        <f>SUM(K78:K83)</f>
        <v>89984</v>
      </c>
      <c r="L84" s="1692">
        <f>SUM(L78:L83)</f>
        <v>105504</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v>15520</v>
      </c>
      <c r="I89" s="477"/>
      <c r="J89" s="477"/>
      <c r="K89" s="1699">
        <f t="shared" si="12"/>
        <v>15520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15520</v>
      </c>
      <c r="I92" s="477"/>
      <c r="J92" s="477"/>
      <c r="K92" s="1699">
        <f t="shared" si="12"/>
        <v>15520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89984</v>
      </c>
      <c r="F102" s="617"/>
      <c r="G102" s="617"/>
      <c r="H102" s="1699">
        <f>SUM(H84,H92,H100,H101)</f>
        <v>15520</v>
      </c>
      <c r="I102" s="477"/>
      <c r="J102" s="477"/>
      <c r="K102" s="1699">
        <f>SUM(K84,K92,K100,K101)</f>
        <v>105504</v>
      </c>
      <c r="L102" s="1699">
        <f>SUM(L84,L92,L100,L101)</f>
        <v>105504</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4772901</v>
      </c>
      <c r="D114" s="1692">
        <f t="shared" ref="D114:K114" si="13">SUM(D33,D74,D75,D102,D112,D113)</f>
        <v>1403823</v>
      </c>
      <c r="E114" s="1692">
        <f t="shared" si="13"/>
        <v>488290</v>
      </c>
      <c r="F114" s="1692">
        <f t="shared" si="13"/>
        <v>193953</v>
      </c>
      <c r="G114" s="1692">
        <f t="shared" si="13"/>
        <v>61406</v>
      </c>
      <c r="H114" s="1692">
        <f>SUM(H33,H74,H75,H102,H112,H113)</f>
        <v>37205</v>
      </c>
      <c r="I114" s="1692">
        <f t="shared" si="13"/>
        <v>0</v>
      </c>
      <c r="J114" s="1692">
        <f t="shared" si="13"/>
        <v>0</v>
      </c>
      <c r="K114" s="1692">
        <f t="shared" si="13"/>
        <v>6957578</v>
      </c>
      <c r="L114" s="1692">
        <f>SUM(L33,L74,L75,L102,L112,L113)</f>
        <v>6962288</v>
      </c>
    </row>
    <row r="115" spans="1:14" ht="13.5" thickTop="1" x14ac:dyDescent="0.2">
      <c r="A115" s="2200" t="s">
        <v>1053</v>
      </c>
      <c r="B115" s="2201"/>
      <c r="C115" s="619"/>
      <c r="D115" s="619"/>
      <c r="E115" s="619"/>
      <c r="F115" s="619"/>
      <c r="G115" s="619"/>
      <c r="H115" s="619"/>
      <c r="I115" s="619"/>
      <c r="J115" s="619"/>
      <c r="K115" s="1706">
        <f>'Revenues 9-14'!C275-'Expenditures 15-22'!K114</f>
        <v>78995</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8" t="s">
        <v>314</v>
      </c>
      <c r="B117" s="2179"/>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v>205423</v>
      </c>
      <c r="D124" s="466">
        <v>43565</v>
      </c>
      <c r="E124" s="466">
        <v>348019</v>
      </c>
      <c r="F124" s="466">
        <v>55511</v>
      </c>
      <c r="G124" s="466">
        <v>3532</v>
      </c>
      <c r="H124" s="466"/>
      <c r="I124" s="467"/>
      <c r="J124" s="467"/>
      <c r="K124" s="1692">
        <f>SUM(C124:J124)</f>
        <v>656050</v>
      </c>
      <c r="L124" s="466">
        <v>655950</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205423</v>
      </c>
      <c r="D127" s="1692">
        <f t="shared" ref="D127:L127" si="14">SUM(D122:D126)</f>
        <v>43565</v>
      </c>
      <c r="E127" s="1692">
        <f t="shared" si="14"/>
        <v>348019</v>
      </c>
      <c r="F127" s="1692">
        <f t="shared" si="14"/>
        <v>55511</v>
      </c>
      <c r="G127" s="1692">
        <f t="shared" si="14"/>
        <v>3532</v>
      </c>
      <c r="H127" s="1692">
        <f t="shared" si="14"/>
        <v>0</v>
      </c>
      <c r="I127" s="1692">
        <f t="shared" si="14"/>
        <v>0</v>
      </c>
      <c r="J127" s="1692">
        <f t="shared" si="14"/>
        <v>0</v>
      </c>
      <c r="K127" s="1692">
        <f t="shared" si="14"/>
        <v>656050</v>
      </c>
      <c r="L127" s="1692">
        <f t="shared" si="14"/>
        <v>655950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205423</v>
      </c>
      <c r="D129" s="1699">
        <f t="shared" ref="D129:L129" si="15">SUM(D120,D127,D128)</f>
        <v>43565</v>
      </c>
      <c r="E129" s="1699">
        <f t="shared" si="15"/>
        <v>348019</v>
      </c>
      <c r="F129" s="1699">
        <f t="shared" si="15"/>
        <v>55511</v>
      </c>
      <c r="G129" s="1699">
        <f t="shared" si="15"/>
        <v>3532</v>
      </c>
      <c r="H129" s="1699">
        <f t="shared" si="15"/>
        <v>0</v>
      </c>
      <c r="I129" s="1699">
        <f t="shared" si="15"/>
        <v>0</v>
      </c>
      <c r="J129" s="1699">
        <f t="shared" si="15"/>
        <v>0</v>
      </c>
      <c r="K129" s="1699">
        <f t="shared" si="15"/>
        <v>656050</v>
      </c>
      <c r="L129" s="1699">
        <f t="shared" si="15"/>
        <v>655950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1956</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90" t="s">
        <v>641</v>
      </c>
      <c r="B151" s="2172"/>
      <c r="C151" s="1692">
        <f>SUM(C129,C130,C139,C149,C150)</f>
        <v>205423</v>
      </c>
      <c r="D151" s="1692">
        <f t="shared" ref="D151:K151" si="16">SUM(D129,D130,D139,D149,D150)</f>
        <v>43565</v>
      </c>
      <c r="E151" s="1692">
        <f t="shared" si="16"/>
        <v>348019</v>
      </c>
      <c r="F151" s="1692">
        <f t="shared" si="16"/>
        <v>55511</v>
      </c>
      <c r="G151" s="1692">
        <f t="shared" si="16"/>
        <v>3532</v>
      </c>
      <c r="H151" s="1692">
        <f t="shared" si="16"/>
        <v>0</v>
      </c>
      <c r="I151" s="1692">
        <f t="shared" si="16"/>
        <v>0</v>
      </c>
      <c r="J151" s="1692">
        <f t="shared" si="16"/>
        <v>0</v>
      </c>
      <c r="K151" s="1692">
        <f t="shared" si="16"/>
        <v>656050</v>
      </c>
      <c r="L151" s="1692">
        <f>SUM(L129,L130,L139,L149,L150)</f>
        <v>655950</v>
      </c>
    </row>
    <row r="152" spans="1:14" ht="12.75" customHeight="1" thickTop="1" x14ac:dyDescent="0.2">
      <c r="A152" s="2193" t="s">
        <v>1240</v>
      </c>
      <c r="B152" s="2194"/>
      <c r="C152" s="619"/>
      <c r="D152" s="619"/>
      <c r="E152" s="619"/>
      <c r="F152" s="619"/>
      <c r="G152" s="619"/>
      <c r="H152" s="619"/>
      <c r="I152" s="619"/>
      <c r="J152" s="617"/>
      <c r="K152" s="1706">
        <f>'Revenues 9-14'!D275-'Expenditures 15-22'!K151</f>
        <v>3123</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8" t="s">
        <v>642</v>
      </c>
      <c r="B154" s="2180"/>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1957</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1956</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1958</v>
      </c>
      <c r="C158" s="617"/>
      <c r="D158" s="617"/>
      <c r="E158" s="617"/>
      <c r="F158" s="617"/>
      <c r="G158" s="617"/>
      <c r="H158" s="467"/>
      <c r="I158" s="617"/>
      <c r="J158" s="617"/>
      <c r="K158" s="1693">
        <f>H158</f>
        <v>0</v>
      </c>
      <c r="L158" s="467"/>
      <c r="M158" s="620"/>
      <c r="N158" s="620"/>
    </row>
    <row r="159" spans="1:14" s="621" customFormat="1" ht="12" x14ac:dyDescent="0.2">
      <c r="A159" s="1849" t="s">
        <v>1959</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1960</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115119</v>
      </c>
      <c r="I169" s="617"/>
      <c r="J169" s="617"/>
      <c r="K169" s="1693">
        <f>SUM(C169:H169)</f>
        <v>115119</v>
      </c>
      <c r="L169" s="657">
        <v>115119</v>
      </c>
    </row>
    <row r="170" spans="1:14" ht="33.75" customHeight="1" x14ac:dyDescent="0.2">
      <c r="A170" s="670" t="s">
        <v>1769</v>
      </c>
      <c r="B170" s="672" t="s">
        <v>31</v>
      </c>
      <c r="C170" s="617"/>
      <c r="D170" s="617"/>
      <c r="E170" s="617"/>
      <c r="F170" s="617"/>
      <c r="G170" s="617"/>
      <c r="H170" s="569">
        <v>790000</v>
      </c>
      <c r="I170" s="617"/>
      <c r="J170" s="617"/>
      <c r="K170" s="1693">
        <f>SUM(C170:J170)</f>
        <v>790000</v>
      </c>
      <c r="L170" s="569">
        <v>790000</v>
      </c>
    </row>
    <row r="171" spans="1:14" ht="15.75" customHeight="1" x14ac:dyDescent="0.2">
      <c r="A171" s="622" t="s">
        <v>790</v>
      </c>
      <c r="B171" s="673" t="s">
        <v>86</v>
      </c>
      <c r="C171" s="617"/>
      <c r="D171" s="617"/>
      <c r="E171" s="466"/>
      <c r="F171" s="617"/>
      <c r="G171" s="617"/>
      <c r="H171" s="569">
        <v>1500</v>
      </c>
      <c r="I171" s="477"/>
      <c r="J171" s="617"/>
      <c r="K171" s="1693">
        <f>SUM(C171:J171)</f>
        <v>1500</v>
      </c>
      <c r="L171" s="569">
        <v>1500</v>
      </c>
    </row>
    <row r="172" spans="1:14" ht="12.75" customHeight="1" thickBot="1" x14ac:dyDescent="0.25">
      <c r="A172" s="1690" t="s">
        <v>659</v>
      </c>
      <c r="B172" s="1691" t="s">
        <v>513</v>
      </c>
      <c r="C172" s="617"/>
      <c r="D172" s="617"/>
      <c r="E172" s="1699">
        <f>SUM(E168,E169,E170,E171)</f>
        <v>0</v>
      </c>
      <c r="F172" s="617"/>
      <c r="G172" s="617"/>
      <c r="H172" s="1699">
        <f>SUM(H168,H169,H170,H171)</f>
        <v>906619</v>
      </c>
      <c r="I172" s="639"/>
      <c r="J172" s="617"/>
      <c r="K172" s="1699">
        <f>SUM(K168,K169,K170,K171)</f>
        <v>906619</v>
      </c>
      <c r="L172" s="1699">
        <f>SUM(L168,L169,L170,L171)</f>
        <v>906619</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906619</v>
      </c>
      <c r="I174" s="639"/>
      <c r="J174" s="617"/>
      <c r="K174" s="1699">
        <f>SUM(K160,K172,K173)</f>
        <v>906619</v>
      </c>
      <c r="L174" s="1699">
        <f>SUM(L160,L172,L173)</f>
        <v>906619</v>
      </c>
    </row>
    <row r="175" spans="1:14" ht="13.5" thickTop="1" x14ac:dyDescent="0.2">
      <c r="A175" s="2200" t="s">
        <v>1053</v>
      </c>
      <c r="B175" s="2201"/>
      <c r="C175" s="617"/>
      <c r="D175" s="617"/>
      <c r="E175" s="617"/>
      <c r="F175" s="617"/>
      <c r="G175" s="617"/>
      <c r="H175" s="619"/>
      <c r="I175" s="617"/>
      <c r="J175" s="617"/>
      <c r="K175" s="1706">
        <f>'Revenues 9-14'!E275-'Expenditures 15-22'!K174</f>
        <v>566</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10000</v>
      </c>
      <c r="D182" s="466">
        <v>1278</v>
      </c>
      <c r="E182" s="466">
        <v>566399</v>
      </c>
      <c r="F182" s="466">
        <v>52975</v>
      </c>
      <c r="G182" s="466"/>
      <c r="H182" s="466"/>
      <c r="I182" s="467"/>
      <c r="J182" s="467"/>
      <c r="K182" s="1693">
        <f>SUM(C182:J182)</f>
        <v>630652</v>
      </c>
      <c r="L182" s="466">
        <v>630652</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10000</v>
      </c>
      <c r="D184" s="1699">
        <f t="shared" ref="D184:J184" si="17">SUM(D180,D182,D183)</f>
        <v>1278</v>
      </c>
      <c r="E184" s="1699">
        <f t="shared" si="17"/>
        <v>566399</v>
      </c>
      <c r="F184" s="1699">
        <f t="shared" si="17"/>
        <v>52975</v>
      </c>
      <c r="G184" s="1699">
        <f t="shared" si="17"/>
        <v>0</v>
      </c>
      <c r="H184" s="1699">
        <f t="shared" si="17"/>
        <v>0</v>
      </c>
      <c r="I184" s="1699">
        <f t="shared" si="17"/>
        <v>0</v>
      </c>
      <c r="J184" s="1699">
        <f t="shared" si="17"/>
        <v>0</v>
      </c>
      <c r="K184" s="1699">
        <f>SUM(K180,K182,K183)</f>
        <v>630652</v>
      </c>
      <c r="L184" s="1699">
        <f>SUM(L180, L182:L183)</f>
        <v>630652</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10000</v>
      </c>
      <c r="D210" s="1692">
        <f>SUM(D184,D185)</f>
        <v>1278</v>
      </c>
      <c r="E210" s="1692">
        <f>SUM(E184,E185,E196)</f>
        <v>566399</v>
      </c>
      <c r="F210" s="1692">
        <f>SUM(F184,F185)</f>
        <v>52975</v>
      </c>
      <c r="G210" s="1692">
        <f>SUM(G184,G185)</f>
        <v>0</v>
      </c>
      <c r="H210" s="1692">
        <f>SUM(H184,H185,H196,H208,H209)</f>
        <v>0</v>
      </c>
      <c r="I210" s="1692">
        <f>SUM(I184,I185)</f>
        <v>0</v>
      </c>
      <c r="J210" s="1692">
        <f>SUM(J184,J185)</f>
        <v>0</v>
      </c>
      <c r="K210" s="1693">
        <f>SUM(K184,K185,K196,K208,K209)</f>
        <v>630652</v>
      </c>
      <c r="L210" s="1692">
        <f>SUM(L184,L185,L196,L208,L209)</f>
        <v>630652</v>
      </c>
    </row>
    <row r="211" spans="1:14" ht="13.5" thickTop="1" x14ac:dyDescent="0.2">
      <c r="A211" s="2200" t="s">
        <v>1053</v>
      </c>
      <c r="B211" s="2201"/>
      <c r="C211" s="619"/>
      <c r="D211" s="619"/>
      <c r="E211" s="619"/>
      <c r="F211" s="619"/>
      <c r="G211" s="619"/>
      <c r="H211" s="619"/>
      <c r="I211" s="617"/>
      <c r="J211" s="617"/>
      <c r="K211" s="1706">
        <f>'Revenues 9-14'!F275-'Expenditures 15-22'!K210</f>
        <v>110030</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5" t="s">
        <v>1022</v>
      </c>
      <c r="B213" s="2196"/>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51350</v>
      </c>
      <c r="E215" s="617"/>
      <c r="F215" s="617"/>
      <c r="G215" s="617"/>
      <c r="H215" s="617"/>
      <c r="I215" s="617"/>
      <c r="J215" s="617"/>
      <c r="K215" s="1693">
        <f>D215</f>
        <v>51350</v>
      </c>
      <c r="L215" s="466">
        <v>51350</v>
      </c>
    </row>
    <row r="216" spans="1:14" x14ac:dyDescent="0.2">
      <c r="A216" s="1526" t="s">
        <v>165</v>
      </c>
      <c r="B216" s="615" t="s">
        <v>1024</v>
      </c>
      <c r="C216" s="617"/>
      <c r="D216" s="467">
        <v>8709</v>
      </c>
      <c r="E216" s="617"/>
      <c r="F216" s="617"/>
      <c r="G216" s="617"/>
      <c r="H216" s="617"/>
      <c r="I216" s="617"/>
      <c r="J216" s="617"/>
      <c r="K216" s="1693">
        <f t="shared" ref="K216:K228" si="19">D216</f>
        <v>8709</v>
      </c>
      <c r="L216" s="466">
        <v>8709</v>
      </c>
    </row>
    <row r="217" spans="1:14" x14ac:dyDescent="0.2">
      <c r="A217" s="1526" t="s">
        <v>166</v>
      </c>
      <c r="B217" s="615">
        <v>1200</v>
      </c>
      <c r="C217" s="617"/>
      <c r="D217" s="466">
        <v>34065</v>
      </c>
      <c r="E217" s="617"/>
      <c r="F217" s="617"/>
      <c r="G217" s="617"/>
      <c r="H217" s="617"/>
      <c r="I217" s="617"/>
      <c r="J217" s="617"/>
      <c r="K217" s="1693">
        <f t="shared" si="19"/>
        <v>34065</v>
      </c>
      <c r="L217" s="466">
        <v>34066</v>
      </c>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v>730</v>
      </c>
      <c r="E219" s="617"/>
      <c r="F219" s="617"/>
      <c r="G219" s="617"/>
      <c r="H219" s="617"/>
      <c r="I219" s="617"/>
      <c r="J219" s="617"/>
      <c r="K219" s="1693">
        <f t="shared" si="19"/>
        <v>730</v>
      </c>
      <c r="L219" s="466">
        <v>731</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v>2836</v>
      </c>
      <c r="E222" s="617"/>
      <c r="F222" s="617"/>
      <c r="G222" s="617"/>
      <c r="H222" s="617"/>
      <c r="I222" s="617"/>
      <c r="J222" s="617"/>
      <c r="K222" s="1693">
        <f t="shared" si="19"/>
        <v>2836</v>
      </c>
      <c r="L222" s="466">
        <v>2836</v>
      </c>
    </row>
    <row r="223" spans="1:14" x14ac:dyDescent="0.2">
      <c r="A223" s="1526" t="s">
        <v>1020</v>
      </c>
      <c r="B223" s="615">
        <v>1500</v>
      </c>
      <c r="C223" s="617"/>
      <c r="D223" s="466"/>
      <c r="E223" s="617"/>
      <c r="F223" s="617"/>
      <c r="G223" s="617"/>
      <c r="H223" s="617"/>
      <c r="I223" s="617"/>
      <c r="J223" s="617"/>
      <c r="K223" s="1693">
        <f t="shared" si="19"/>
        <v>0</v>
      </c>
      <c r="L223" s="466"/>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97690</v>
      </c>
      <c r="E229" s="617"/>
      <c r="F229" s="617"/>
      <c r="G229" s="617"/>
      <c r="H229" s="617"/>
      <c r="I229" s="617"/>
      <c r="J229" s="617"/>
      <c r="K229" s="1692">
        <f>SUM(K215:K228)</f>
        <v>97690</v>
      </c>
      <c r="L229" s="1692">
        <f>SUM(L215:L228)</f>
        <v>97692</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v>1664</v>
      </c>
      <c r="E232" s="617"/>
      <c r="F232" s="617"/>
      <c r="G232" s="617"/>
      <c r="H232" s="617"/>
      <c r="I232" s="617"/>
      <c r="J232" s="617"/>
      <c r="K232" s="1693">
        <f t="shared" ref="K232:K237" si="20">D232</f>
        <v>1664</v>
      </c>
      <c r="L232" s="466">
        <v>1664</v>
      </c>
    </row>
    <row r="233" spans="1:12" x14ac:dyDescent="0.2">
      <c r="A233" s="1526" t="s">
        <v>1151</v>
      </c>
      <c r="B233" s="615">
        <v>2120</v>
      </c>
      <c r="C233" s="617"/>
      <c r="D233" s="466">
        <v>572</v>
      </c>
      <c r="E233" s="617"/>
      <c r="F233" s="617"/>
      <c r="G233" s="617"/>
      <c r="H233" s="617"/>
      <c r="I233" s="617"/>
      <c r="J233" s="617"/>
      <c r="K233" s="1693">
        <f t="shared" si="20"/>
        <v>572</v>
      </c>
      <c r="L233" s="466">
        <v>572</v>
      </c>
    </row>
    <row r="234" spans="1:12" x14ac:dyDescent="0.2">
      <c r="A234" s="1526" t="s">
        <v>207</v>
      </c>
      <c r="B234" s="615">
        <v>2130</v>
      </c>
      <c r="C234" s="617"/>
      <c r="D234" s="466">
        <v>3879</v>
      </c>
      <c r="E234" s="617"/>
      <c r="F234" s="617"/>
      <c r="G234" s="617"/>
      <c r="H234" s="617"/>
      <c r="I234" s="617"/>
      <c r="J234" s="617"/>
      <c r="K234" s="1693">
        <f t="shared" si="20"/>
        <v>3879</v>
      </c>
      <c r="L234" s="466">
        <v>3879</v>
      </c>
    </row>
    <row r="235" spans="1:12" x14ac:dyDescent="0.2">
      <c r="A235" s="1526" t="s">
        <v>208</v>
      </c>
      <c r="B235" s="615">
        <v>2140</v>
      </c>
      <c r="C235" s="617"/>
      <c r="D235" s="466">
        <v>861</v>
      </c>
      <c r="E235" s="617"/>
      <c r="F235" s="617"/>
      <c r="G235" s="617"/>
      <c r="H235" s="617"/>
      <c r="I235" s="617"/>
      <c r="J235" s="617"/>
      <c r="K235" s="1693">
        <f t="shared" si="20"/>
        <v>861</v>
      </c>
      <c r="L235" s="466">
        <v>861</v>
      </c>
    </row>
    <row r="236" spans="1:12" x14ac:dyDescent="0.2">
      <c r="A236" s="1526" t="s">
        <v>209</v>
      </c>
      <c r="B236" s="615">
        <v>2150</v>
      </c>
      <c r="C236" s="617"/>
      <c r="D236" s="466">
        <v>1090</v>
      </c>
      <c r="E236" s="617"/>
      <c r="F236" s="617"/>
      <c r="G236" s="617"/>
      <c r="H236" s="617"/>
      <c r="I236" s="617"/>
      <c r="J236" s="617"/>
      <c r="K236" s="1693">
        <f t="shared" si="20"/>
        <v>1090</v>
      </c>
      <c r="L236" s="466">
        <v>1090</v>
      </c>
    </row>
    <row r="237" spans="1:12" x14ac:dyDescent="0.2">
      <c r="A237" s="1526" t="s">
        <v>167</v>
      </c>
      <c r="B237" s="615">
        <v>2190</v>
      </c>
      <c r="C237" s="617"/>
      <c r="D237" s="466">
        <v>6299</v>
      </c>
      <c r="E237" s="617"/>
      <c r="F237" s="617"/>
      <c r="G237" s="617"/>
      <c r="H237" s="617"/>
      <c r="I237" s="617"/>
      <c r="J237" s="617"/>
      <c r="K237" s="1693">
        <f t="shared" si="20"/>
        <v>6299</v>
      </c>
      <c r="L237" s="466">
        <v>6300</v>
      </c>
    </row>
    <row r="238" spans="1:12" ht="12.75" customHeight="1" thickBot="1" x14ac:dyDescent="0.25">
      <c r="A238" s="1690" t="s">
        <v>581</v>
      </c>
      <c r="B238" s="1697" t="s">
        <v>740</v>
      </c>
      <c r="C238" s="617"/>
      <c r="D238" s="1692">
        <f>SUM(D232:D237)</f>
        <v>14365</v>
      </c>
      <c r="E238" s="617"/>
      <c r="F238" s="617"/>
      <c r="G238" s="617"/>
      <c r="H238" s="617"/>
      <c r="I238" s="617"/>
      <c r="J238" s="617"/>
      <c r="K238" s="1692">
        <f>SUM(K232:K237)</f>
        <v>14365</v>
      </c>
      <c r="L238" s="1692">
        <f>SUM(L232:L237)</f>
        <v>14366</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4">
        <f>D240</f>
        <v>0</v>
      </c>
      <c r="L240" s="481"/>
    </row>
    <row r="241" spans="1:12" x14ac:dyDescent="0.2">
      <c r="A241" s="1526" t="s">
        <v>869</v>
      </c>
      <c r="B241" s="615">
        <v>2220</v>
      </c>
      <c r="C241" s="617"/>
      <c r="D241" s="466">
        <v>8367</v>
      </c>
      <c r="E241" s="617"/>
      <c r="F241" s="617"/>
      <c r="G241" s="617"/>
      <c r="H241" s="617"/>
      <c r="I241" s="617"/>
      <c r="J241" s="617"/>
      <c r="K241" s="1694">
        <f>D241</f>
        <v>8367</v>
      </c>
      <c r="L241" s="466">
        <v>8367</v>
      </c>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8367</v>
      </c>
      <c r="E243" s="617"/>
      <c r="F243" s="617"/>
      <c r="G243" s="617"/>
      <c r="H243" s="617"/>
      <c r="I243" s="617"/>
      <c r="J243" s="617"/>
      <c r="K243" s="1692">
        <f>SUM(K240:K242)</f>
        <v>8367</v>
      </c>
      <c r="L243" s="1692">
        <f>SUM(L240:L242)</f>
        <v>8367</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275</v>
      </c>
      <c r="E245" s="617"/>
      <c r="F245" s="617"/>
      <c r="G245" s="617"/>
      <c r="H245" s="617"/>
      <c r="I245" s="617"/>
      <c r="J245" s="617"/>
      <c r="K245" s="1694">
        <f>D245</f>
        <v>275</v>
      </c>
      <c r="L245" s="481">
        <v>275</v>
      </c>
    </row>
    <row r="246" spans="1:12" x14ac:dyDescent="0.2">
      <c r="A246" s="1526" t="s">
        <v>872</v>
      </c>
      <c r="B246" s="615">
        <v>2320</v>
      </c>
      <c r="C246" s="617"/>
      <c r="D246" s="466">
        <v>1271</v>
      </c>
      <c r="E246" s="617"/>
      <c r="F246" s="617"/>
      <c r="G246" s="617"/>
      <c r="H246" s="617"/>
      <c r="I246" s="617"/>
      <c r="J246" s="617"/>
      <c r="K246" s="1694">
        <f t="shared" ref="K246:K256" si="21">D246</f>
        <v>1271</v>
      </c>
      <c r="L246" s="466">
        <v>1271</v>
      </c>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v>14207</v>
      </c>
      <c r="E254" s="617"/>
      <c r="F254" s="617"/>
      <c r="G254" s="617"/>
      <c r="H254" s="617"/>
      <c r="I254" s="617"/>
      <c r="J254" s="617"/>
      <c r="K254" s="1694">
        <f t="shared" si="21"/>
        <v>14207</v>
      </c>
      <c r="L254" s="466">
        <v>14207</v>
      </c>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15753</v>
      </c>
      <c r="E257" s="617"/>
      <c r="F257" s="617"/>
      <c r="G257" s="617"/>
      <c r="H257" s="617"/>
      <c r="I257" s="617"/>
      <c r="J257" s="617"/>
      <c r="K257" s="1692">
        <f>SUM(K245:K256)</f>
        <v>15753</v>
      </c>
      <c r="L257" s="1692">
        <f>SUM(L245:L256)</f>
        <v>15753</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17684</v>
      </c>
      <c r="E259" s="617"/>
      <c r="F259" s="617"/>
      <c r="G259" s="617"/>
      <c r="H259" s="617"/>
      <c r="I259" s="617"/>
      <c r="J259" s="617"/>
      <c r="K259" s="1694">
        <f>D259</f>
        <v>17684</v>
      </c>
      <c r="L259" s="481">
        <v>17685</v>
      </c>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17684</v>
      </c>
      <c r="E261" s="617"/>
      <c r="F261" s="617"/>
      <c r="G261" s="617"/>
      <c r="H261" s="617"/>
      <c r="I261" s="617"/>
      <c r="J261" s="617"/>
      <c r="K261" s="1692">
        <f>SUM(K259:K260)</f>
        <v>17684</v>
      </c>
      <c r="L261" s="1692">
        <f>SUM(L259:L260)</f>
        <v>17685</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8818</v>
      </c>
      <c r="E264" s="617"/>
      <c r="F264" s="617"/>
      <c r="G264" s="617"/>
      <c r="H264" s="617"/>
      <c r="I264" s="617"/>
      <c r="J264" s="617"/>
      <c r="K264" s="1694">
        <f t="shared" ref="K264:K269" si="22">D264</f>
        <v>8818</v>
      </c>
      <c r="L264" s="466">
        <v>8818</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31225</v>
      </c>
      <c r="E266" s="617"/>
      <c r="F266" s="617"/>
      <c r="G266" s="617"/>
      <c r="H266" s="617"/>
      <c r="I266" s="617"/>
      <c r="J266" s="617"/>
      <c r="K266" s="1694">
        <f t="shared" si="22"/>
        <v>31225</v>
      </c>
      <c r="L266" s="466">
        <v>31225</v>
      </c>
    </row>
    <row r="267" spans="1:14" x14ac:dyDescent="0.2">
      <c r="A267" s="1526" t="s">
        <v>1010</v>
      </c>
      <c r="B267" s="615">
        <v>2550</v>
      </c>
      <c r="C267" s="617"/>
      <c r="D267" s="466">
        <v>145</v>
      </c>
      <c r="E267" s="617"/>
      <c r="F267" s="617"/>
      <c r="G267" s="617"/>
      <c r="H267" s="617"/>
      <c r="I267" s="617"/>
      <c r="J267" s="617"/>
      <c r="K267" s="1694">
        <f t="shared" si="22"/>
        <v>145</v>
      </c>
      <c r="L267" s="466">
        <v>145</v>
      </c>
    </row>
    <row r="268" spans="1:14" x14ac:dyDescent="0.2">
      <c r="A268" s="1526" t="s">
        <v>102</v>
      </c>
      <c r="B268" s="615">
        <v>2560</v>
      </c>
      <c r="C268" s="617"/>
      <c r="D268" s="466"/>
      <c r="E268" s="617"/>
      <c r="F268" s="617"/>
      <c r="G268" s="617"/>
      <c r="H268" s="617"/>
      <c r="I268" s="617"/>
      <c r="J268" s="617"/>
      <c r="K268" s="1694">
        <f t="shared" si="22"/>
        <v>0</v>
      </c>
      <c r="L268" s="466"/>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40188</v>
      </c>
      <c r="E270" s="617"/>
      <c r="F270" s="617"/>
      <c r="G270" s="617"/>
      <c r="H270" s="617"/>
      <c r="I270" s="617"/>
      <c r="J270" s="617"/>
      <c r="K270" s="1692">
        <f>SUM(K263:K269)</f>
        <v>40188</v>
      </c>
      <c r="L270" s="1692">
        <f>SUM(L263:L269)</f>
        <v>40188</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96357</v>
      </c>
      <c r="E279" s="617"/>
      <c r="F279" s="617"/>
      <c r="G279" s="617"/>
      <c r="H279" s="617"/>
      <c r="I279" s="617"/>
      <c r="J279" s="617"/>
      <c r="K279" s="1699">
        <f>SUM(K238,K243,K257,K261,K270,K277,K278)</f>
        <v>96357</v>
      </c>
      <c r="L279" s="1699">
        <f>SUM(L238,L243,L257,L261,L270,L277,L278)</f>
        <v>96359</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1956</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1" t="s">
        <v>526</v>
      </c>
      <c r="B295" s="2192"/>
      <c r="C295" s="617"/>
      <c r="D295" s="1692">
        <f>SUM(D229,D279,D280,D285)</f>
        <v>194047</v>
      </c>
      <c r="E295" s="617"/>
      <c r="F295" s="617"/>
      <c r="G295" s="617"/>
      <c r="H295" s="1692">
        <f>H293</f>
        <v>0</v>
      </c>
      <c r="I295" s="617"/>
      <c r="J295" s="617"/>
      <c r="K295" s="1692">
        <f>SUM(K229,K279,K280,K285,K293,K294)</f>
        <v>194047</v>
      </c>
      <c r="L295" s="1692">
        <f>SUM(L229,L279,L280,L285,L293,L294)</f>
        <v>194051</v>
      </c>
    </row>
    <row r="296" spans="1:14" ht="13.5" thickTop="1" x14ac:dyDescent="0.2">
      <c r="A296" s="2200" t="s">
        <v>1053</v>
      </c>
      <c r="B296" s="2201"/>
      <c r="C296" s="617"/>
      <c r="D296" s="619"/>
      <c r="E296" s="617"/>
      <c r="F296" s="617"/>
      <c r="G296" s="617"/>
      <c r="H296" s="688"/>
      <c r="I296" s="617"/>
      <c r="J296" s="617"/>
      <c r="K296" s="1706">
        <f>'Revenues 9-14'!G275-'Expenditures 15-22'!K295</f>
        <v>-3224</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3" t="s">
        <v>145</v>
      </c>
      <c r="B298" s="2177"/>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v>90460</v>
      </c>
      <c r="F301" s="466"/>
      <c r="G301" s="466">
        <v>500250</v>
      </c>
      <c r="H301" s="466"/>
      <c r="I301" s="467"/>
      <c r="J301" s="467"/>
      <c r="K301" s="1693">
        <f>SUM(C301:J301)</f>
        <v>590710</v>
      </c>
      <c r="L301" s="467">
        <v>590711</v>
      </c>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90460</v>
      </c>
      <c r="F303" s="1699">
        <f t="shared" si="23"/>
        <v>0</v>
      </c>
      <c r="G303" s="1699">
        <f t="shared" si="23"/>
        <v>500250</v>
      </c>
      <c r="H303" s="1699">
        <f t="shared" si="23"/>
        <v>0</v>
      </c>
      <c r="I303" s="1699">
        <f t="shared" si="23"/>
        <v>0</v>
      </c>
      <c r="J303" s="1699">
        <f t="shared" si="23"/>
        <v>0</v>
      </c>
      <c r="K303" s="1699">
        <f t="shared" si="23"/>
        <v>590710</v>
      </c>
      <c r="L303" s="1699">
        <f t="shared" si="23"/>
        <v>590711</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1961</v>
      </c>
      <c r="B306" s="691" t="s">
        <v>1956</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8" t="s">
        <v>295</v>
      </c>
      <c r="B312" s="2189"/>
      <c r="C312" s="1692">
        <f>SUM(C303)</f>
        <v>0</v>
      </c>
      <c r="D312" s="1692">
        <f>SUM(D303)</f>
        <v>0</v>
      </c>
      <c r="E312" s="1692">
        <f>SUM(E303,E310)</f>
        <v>90460</v>
      </c>
      <c r="F312" s="1692">
        <f>SUM(F303)</f>
        <v>0</v>
      </c>
      <c r="G312" s="1692">
        <f>SUM(G303)</f>
        <v>500250</v>
      </c>
      <c r="H312" s="1692">
        <f>SUM(H303,H310)</f>
        <v>0</v>
      </c>
      <c r="I312" s="1692">
        <f>SUM(I303)</f>
        <v>0</v>
      </c>
      <c r="J312" s="1692">
        <f>SUM(J303)</f>
        <v>0</v>
      </c>
      <c r="K312" s="1692">
        <f>SUM(K303,K310,K311)</f>
        <v>590710</v>
      </c>
      <c r="L312" s="1692">
        <f>SUM(L303,L310,L311)</f>
        <v>590711</v>
      </c>
      <c r="M312" s="666"/>
      <c r="N312" s="666"/>
    </row>
    <row r="313" spans="1:14" ht="13.5" thickTop="1" x14ac:dyDescent="0.2">
      <c r="A313" s="2184" t="s">
        <v>1053</v>
      </c>
      <c r="B313" s="2185"/>
      <c r="C313" s="627"/>
      <c r="D313" s="627"/>
      <c r="E313" s="627"/>
      <c r="F313" s="627"/>
      <c r="G313" s="627"/>
      <c r="H313" s="627"/>
      <c r="I313" s="627"/>
      <c r="J313" s="627"/>
      <c r="K313" s="1707">
        <f>'Revenues 9-14'!H275-'Expenditures 15-22'!K312</f>
        <v>75267</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7" t="s">
        <v>151</v>
      </c>
      <c r="B315" s="2198"/>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9" t="s">
        <v>954</v>
      </c>
      <c r="B317" s="2198"/>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v>29763</v>
      </c>
      <c r="F320" s="467"/>
      <c r="G320" s="467"/>
      <c r="H320" s="467"/>
      <c r="I320" s="467"/>
      <c r="J320" s="467"/>
      <c r="K320" s="1693">
        <f t="shared" ref="K320:K327" si="24">SUM(C320:J320)</f>
        <v>29763</v>
      </c>
      <c r="L320" s="467">
        <v>29763</v>
      </c>
      <c r="M320" s="666"/>
      <c r="N320" s="666"/>
    </row>
    <row r="321" spans="1:14" s="675" customFormat="1" x14ac:dyDescent="0.2">
      <c r="A321" s="1541" t="s">
        <v>318</v>
      </c>
      <c r="B321" s="698" t="s">
        <v>301</v>
      </c>
      <c r="C321" s="467"/>
      <c r="D321" s="467"/>
      <c r="E321" s="467">
        <v>598</v>
      </c>
      <c r="F321" s="467"/>
      <c r="G321" s="467"/>
      <c r="H321" s="467"/>
      <c r="I321" s="467"/>
      <c r="J321" s="467"/>
      <c r="K321" s="1693">
        <f t="shared" si="24"/>
        <v>598</v>
      </c>
      <c r="L321" s="467">
        <v>598</v>
      </c>
      <c r="M321" s="666"/>
      <c r="N321" s="666"/>
    </row>
    <row r="322" spans="1:14" s="675" customFormat="1" x14ac:dyDescent="0.2">
      <c r="A322" s="1541" t="s">
        <v>256</v>
      </c>
      <c r="B322" s="698" t="s">
        <v>302</v>
      </c>
      <c r="C322" s="467"/>
      <c r="D322" s="467"/>
      <c r="E322" s="467">
        <v>23894</v>
      </c>
      <c r="F322" s="467"/>
      <c r="G322" s="467"/>
      <c r="H322" s="467"/>
      <c r="I322" s="467"/>
      <c r="J322" s="467"/>
      <c r="K322" s="1693">
        <f t="shared" si="24"/>
        <v>23894</v>
      </c>
      <c r="L322" s="467">
        <v>23894</v>
      </c>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v>175577</v>
      </c>
      <c r="D325" s="467">
        <v>34076</v>
      </c>
      <c r="E325" s="467">
        <v>450</v>
      </c>
      <c r="F325" s="467">
        <v>1585</v>
      </c>
      <c r="G325" s="467"/>
      <c r="H325" s="467"/>
      <c r="I325" s="467"/>
      <c r="J325" s="467"/>
      <c r="K325" s="1693">
        <f t="shared" si="24"/>
        <v>211688</v>
      </c>
      <c r="L325" s="467">
        <v>211788</v>
      </c>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v>6518</v>
      </c>
      <c r="F327" s="467"/>
      <c r="G327" s="467"/>
      <c r="H327" s="467"/>
      <c r="I327" s="467"/>
      <c r="J327" s="467"/>
      <c r="K327" s="1693">
        <f t="shared" si="24"/>
        <v>6518</v>
      </c>
      <c r="L327" s="467">
        <v>6518</v>
      </c>
      <c r="M327" s="666"/>
      <c r="N327" s="666"/>
    </row>
    <row r="328" spans="1:14" s="675" customFormat="1" x14ac:dyDescent="0.2">
      <c r="A328" s="1542" t="s">
        <v>492</v>
      </c>
      <c r="B328" s="691" t="s">
        <v>1194</v>
      </c>
      <c r="C328" s="474"/>
      <c r="D328" s="474"/>
      <c r="E328" s="474">
        <v>54294</v>
      </c>
      <c r="F328" s="474"/>
      <c r="G328" s="474"/>
      <c r="H328" s="474"/>
      <c r="I328" s="474"/>
      <c r="J328" s="474"/>
      <c r="K328" s="1721">
        <f>SUM(C328:J328)</f>
        <v>54294</v>
      </c>
      <c r="L328" s="474">
        <v>54294</v>
      </c>
      <c r="M328" s="666"/>
      <c r="N328" s="666"/>
    </row>
    <row r="329" spans="1:14" s="675" customFormat="1" x14ac:dyDescent="0.2">
      <c r="A329" s="1542" t="s">
        <v>1195</v>
      </c>
      <c r="B329" s="691" t="s">
        <v>1196</v>
      </c>
      <c r="C329" s="474"/>
      <c r="D329" s="474"/>
      <c r="E329" s="474">
        <v>3753</v>
      </c>
      <c r="F329" s="474"/>
      <c r="G329" s="474"/>
      <c r="H329" s="474"/>
      <c r="I329" s="474"/>
      <c r="J329" s="474"/>
      <c r="K329" s="1721">
        <f>SUM(C329:J329)</f>
        <v>3753</v>
      </c>
      <c r="L329" s="474">
        <v>3753</v>
      </c>
      <c r="M329" s="666"/>
      <c r="N329" s="666"/>
    </row>
    <row r="330" spans="1:14" s="675" customFormat="1" ht="12.75" customHeight="1" thickBot="1" x14ac:dyDescent="0.25">
      <c r="A330" s="1722" t="s">
        <v>741</v>
      </c>
      <c r="B330" s="1691" t="s">
        <v>590</v>
      </c>
      <c r="C330" s="1692">
        <f>SUM(C319:C329)</f>
        <v>175577</v>
      </c>
      <c r="D330" s="1692">
        <f t="shared" ref="D330:J330" si="25">SUM(D319:D329)</f>
        <v>34076</v>
      </c>
      <c r="E330" s="1692">
        <f t="shared" si="25"/>
        <v>119270</v>
      </c>
      <c r="F330" s="1692">
        <f t="shared" si="25"/>
        <v>1585</v>
      </c>
      <c r="G330" s="1692">
        <f t="shared" si="25"/>
        <v>0</v>
      </c>
      <c r="H330" s="1692">
        <f t="shared" si="25"/>
        <v>0</v>
      </c>
      <c r="I330" s="1692">
        <f t="shared" si="25"/>
        <v>0</v>
      </c>
      <c r="J330" s="1692">
        <f t="shared" si="25"/>
        <v>0</v>
      </c>
      <c r="K330" s="1692">
        <f>SUM(K319:K329)</f>
        <v>330508</v>
      </c>
      <c r="L330" s="1692">
        <f>SUM(L319:L329)</f>
        <v>330608</v>
      </c>
      <c r="M330" s="666"/>
      <c r="N330" s="666"/>
    </row>
    <row r="331" spans="1:14" s="675" customFormat="1" ht="12.75" customHeight="1" thickTop="1" x14ac:dyDescent="0.2">
      <c r="A331" s="1854" t="s">
        <v>1962</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1956</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1958</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1963</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175577</v>
      </c>
      <c r="D342" s="1692">
        <f>SUM(D330)</f>
        <v>34076</v>
      </c>
      <c r="E342" s="1692">
        <f>SUM(E330)</f>
        <v>119270</v>
      </c>
      <c r="F342" s="1692">
        <f>SUM(F330)</f>
        <v>1585</v>
      </c>
      <c r="G342" s="1692">
        <f>SUM(G330)</f>
        <v>0</v>
      </c>
      <c r="H342" s="1692">
        <f>SUM(H330,H334,H340)</f>
        <v>0</v>
      </c>
      <c r="I342" s="1692">
        <f>SUM(I330)</f>
        <v>0</v>
      </c>
      <c r="J342" s="1692">
        <f>SUM(J330)</f>
        <v>0</v>
      </c>
      <c r="K342" s="1692">
        <f>SUM(K330,K334,K340)</f>
        <v>330508</v>
      </c>
      <c r="L342" s="1699">
        <f>SUM(L330,L340,L341)</f>
        <v>330608</v>
      </c>
    </row>
    <row r="343" spans="1:14" ht="12.75" customHeight="1" thickTop="1" x14ac:dyDescent="0.2">
      <c r="A343" s="2186" t="s">
        <v>1053</v>
      </c>
      <c r="B343" s="2187"/>
      <c r="C343" s="617"/>
      <c r="D343" s="617"/>
      <c r="E343" s="617"/>
      <c r="F343" s="617"/>
      <c r="G343" s="617"/>
      <c r="H343" s="617"/>
      <c r="I343" s="617"/>
      <c r="J343" s="617"/>
      <c r="K343" s="1706">
        <f>'Revenues 9-14'!J275-'Expenditures 15-22'!K342</f>
        <v>73113</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6" t="s">
        <v>1023</v>
      </c>
      <c r="B345" s="2177"/>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v>10042</v>
      </c>
      <c r="F348" s="466"/>
      <c r="G348" s="466"/>
      <c r="H348" s="466"/>
      <c r="I348" s="467"/>
      <c r="J348" s="467"/>
      <c r="K348" s="1693">
        <f>SUM(C348:J348)</f>
        <v>10042</v>
      </c>
      <c r="L348" s="466">
        <v>1042</v>
      </c>
    </row>
    <row r="349" spans="1:14" x14ac:dyDescent="0.2">
      <c r="A349" s="1526" t="s">
        <v>206</v>
      </c>
      <c r="B349" s="615">
        <v>2540</v>
      </c>
      <c r="C349" s="466"/>
      <c r="D349" s="466"/>
      <c r="E349" s="466"/>
      <c r="F349" s="466">
        <v>2913</v>
      </c>
      <c r="G349" s="466"/>
      <c r="H349" s="466"/>
      <c r="I349" s="467"/>
      <c r="J349" s="467"/>
      <c r="K349" s="1693">
        <f>SUM(C349:J349)</f>
        <v>2913</v>
      </c>
      <c r="L349" s="466">
        <v>2913</v>
      </c>
    </row>
    <row r="350" spans="1:14" ht="12.75" customHeight="1" thickBot="1" x14ac:dyDescent="0.25">
      <c r="A350" s="1690" t="s">
        <v>743</v>
      </c>
      <c r="B350" s="1691" t="s">
        <v>35</v>
      </c>
      <c r="C350" s="1692">
        <f>SUM(C348:C349)</f>
        <v>0</v>
      </c>
      <c r="D350" s="1692">
        <f t="shared" ref="D350:L350" si="26">SUM(D348:D349)</f>
        <v>0</v>
      </c>
      <c r="E350" s="1692">
        <f t="shared" si="26"/>
        <v>10042</v>
      </c>
      <c r="F350" s="1692">
        <f t="shared" si="26"/>
        <v>2913</v>
      </c>
      <c r="G350" s="1692">
        <f t="shared" si="26"/>
        <v>0</v>
      </c>
      <c r="H350" s="1692">
        <f t="shared" si="26"/>
        <v>0</v>
      </c>
      <c r="I350" s="1692">
        <f t="shared" si="26"/>
        <v>0</v>
      </c>
      <c r="J350" s="1692">
        <f t="shared" si="26"/>
        <v>0</v>
      </c>
      <c r="K350" s="1692">
        <f t="shared" si="26"/>
        <v>12955</v>
      </c>
      <c r="L350" s="1692">
        <f t="shared" si="26"/>
        <v>3955</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10042</v>
      </c>
      <c r="F352" s="1692">
        <f t="shared" si="27"/>
        <v>2913</v>
      </c>
      <c r="G352" s="1692">
        <f t="shared" si="27"/>
        <v>0</v>
      </c>
      <c r="H352" s="1692">
        <f t="shared" si="27"/>
        <v>0</v>
      </c>
      <c r="I352" s="1692">
        <f t="shared" si="27"/>
        <v>0</v>
      </c>
      <c r="J352" s="1692">
        <f t="shared" si="27"/>
        <v>0</v>
      </c>
      <c r="K352" s="1692">
        <f t="shared" si="27"/>
        <v>12955</v>
      </c>
      <c r="L352" s="1692">
        <f t="shared" si="27"/>
        <v>3955</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1964</v>
      </c>
      <c r="B354" s="684" t="s">
        <v>1956</v>
      </c>
      <c r="C354" s="617"/>
      <c r="D354" s="617"/>
      <c r="E354" s="617"/>
      <c r="F354" s="617"/>
      <c r="G354" s="617"/>
      <c r="H354" s="474"/>
      <c r="I354" s="702"/>
      <c r="J354" s="617"/>
      <c r="K354" s="1721">
        <f>H354</f>
        <v>0</v>
      </c>
      <c r="L354" s="471"/>
    </row>
    <row r="355" spans="1:14" ht="12.75" customHeight="1" x14ac:dyDescent="0.2">
      <c r="A355" s="1535" t="s">
        <v>1965</v>
      </c>
      <c r="B355" s="691" t="s">
        <v>1958</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10042</v>
      </c>
      <c r="F367" s="1692">
        <f t="shared" si="28"/>
        <v>2913</v>
      </c>
      <c r="G367" s="1692">
        <f t="shared" si="28"/>
        <v>0</v>
      </c>
      <c r="H367" s="1692">
        <f t="shared" si="28"/>
        <v>0</v>
      </c>
      <c r="I367" s="1692">
        <f t="shared" si="28"/>
        <v>0</v>
      </c>
      <c r="J367" s="1692">
        <f t="shared" si="28"/>
        <v>0</v>
      </c>
      <c r="K367" s="1692">
        <f t="shared" si="28"/>
        <v>12955</v>
      </c>
      <c r="L367" s="1692">
        <f t="shared" si="28"/>
        <v>3955</v>
      </c>
    </row>
    <row r="368" spans="1:14" ht="13.5" thickTop="1" x14ac:dyDescent="0.2">
      <c r="A368" s="2200" t="s">
        <v>1053</v>
      </c>
      <c r="B368" s="2201"/>
      <c r="C368" s="655"/>
      <c r="D368" s="655"/>
      <c r="E368" s="627"/>
      <c r="F368" s="627"/>
      <c r="G368" s="627"/>
      <c r="H368" s="627"/>
      <c r="I368" s="627"/>
      <c r="J368" s="624"/>
      <c r="K368" s="1693">
        <f>'Revenues 9-14'!K275-'Expenditures 15-22'!K367</f>
        <v>48154</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http://purl.org/dc/elements/1.1/"/>
    <ds:schemaRef ds:uri="http://purl.org/dc/terms/"/>
    <ds:schemaRef ds:uri="http://schemas.microsoft.com/sharepoint/v3"/>
    <ds:schemaRef ds:uri="http://schemas.microsoft.com/office/2006/documentManagement/types"/>
    <ds:schemaRef ds:uri="http://purl.org/dc/dcmitype/"/>
    <ds:schemaRef ds:uri="http://schemas.openxmlformats.org/package/2006/metadata/core-properties"/>
    <ds:schemaRef ds:uri="http://www.w3.org/XML/1998/namespace"/>
    <ds:schemaRef ds:uri="http://schemas.microsoft.com/office/infopath/2007/PartnerControls"/>
    <ds:schemaRef ds:uri="4d435f69-8686-490b-bd6d-b153bf22ab50"/>
    <ds:schemaRef ds:uri="d21dc803-237d-4c68-8692-8d731fd29118"/>
    <ds:schemaRef ds:uri="6ce3111e-7420-4802-b50a-75d4e9a0b980"/>
    <ds:schemaRef ds:uri="http://schemas.microsoft.com/office/2006/metadata/properties"/>
  </ds:schemaRefs>
</ds:datastoreItem>
</file>

<file path=customXml/itemProps2.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2018-10-22T13:53:38Z</cp:lastPrinted>
  <dcterms:created xsi:type="dcterms:W3CDTF">2003-10-29T19:06:34Z</dcterms:created>
  <dcterms:modified xsi:type="dcterms:W3CDTF">2018-11-21T16:28:48Z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