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5320" windowHeight="6450" tabRatio="88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2)" sheetId="18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 SEFA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L322" i="29" l="1"/>
  <c r="L245" i="29"/>
  <c r="G38" i="174" l="1"/>
  <c r="I18" i="183"/>
  <c r="F18" i="183"/>
  <c r="I18" i="179"/>
  <c r="F18" i="179"/>
  <c r="G16" i="179"/>
  <c r="G12" i="179"/>
  <c r="G18" i="179" s="1"/>
  <c r="G14" i="183"/>
  <c r="G12" i="183"/>
  <c r="L12" i="183" s="1"/>
  <c r="E18" i="179"/>
  <c r="E20" i="179" s="1"/>
  <c r="E18" i="183"/>
  <c r="C15" i="183"/>
  <c r="B13" i="183"/>
  <c r="L27" i="183"/>
  <c r="L26" i="183"/>
  <c r="L25" i="183"/>
  <c r="L24" i="183"/>
  <c r="L23" i="183"/>
  <c r="L22" i="183"/>
  <c r="L21" i="183"/>
  <c r="L20" i="183"/>
  <c r="L19" i="183"/>
  <c r="L17" i="183"/>
  <c r="L16" i="183"/>
  <c r="L15" i="183"/>
  <c r="L14" i="183"/>
  <c r="L13" i="183"/>
  <c r="L11" i="183"/>
  <c r="B4" i="183"/>
  <c r="G18" i="183" l="1"/>
  <c r="L18" i="183" s="1"/>
  <c r="I20" i="179"/>
  <c r="F20" i="179"/>
  <c r="H13" i="11"/>
  <c r="G20" i="179" l="1"/>
  <c r="E322"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7"/>
  <c r="B2" i="179" l="1"/>
  <c r="B2" i="18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D4" i="7"/>
  <c r="B1760" i="106" s="1"/>
  <c r="D1760" i="106" s="1"/>
  <c r="D5" i="7"/>
  <c r="B1761" i="106" s="1"/>
  <c r="D1761" i="106" s="1"/>
  <c r="D13" i="7"/>
  <c r="B3726" i="106" s="1"/>
  <c r="D3726" i="106" s="1"/>
  <c r="D9" i="7"/>
  <c r="B1767" i="106" s="1"/>
  <c r="D1767" i="106" s="1"/>
  <c r="F131" i="34"/>
  <c r="F128" i="34"/>
  <c r="F127" i="34"/>
  <c r="F111" i="34"/>
  <c r="B5752" i="106"/>
  <c r="D5752" i="106" s="1"/>
  <c r="B5599" i="106"/>
  <c r="D5599" i="106" s="1"/>
  <c r="K274" i="5"/>
  <c r="C172" i="5"/>
  <c r="B5214" i="106" s="1"/>
  <c r="D5214" i="106" s="1"/>
  <c r="D109" i="5"/>
  <c r="B5356" i="106" s="1"/>
  <c r="D5356" i="106" s="1"/>
  <c r="D7" i="7"/>
  <c r="B1763" i="106" s="1"/>
  <c r="D1763" i="106" s="1"/>
  <c r="B1746" i="106"/>
  <c r="D1746" i="106" s="1"/>
  <c r="D17" i="7"/>
  <c r="B4104" i="106" s="1"/>
  <c r="D4104" i="106" s="1"/>
  <c r="D12" i="7"/>
  <c r="B1769" i="106" s="1"/>
  <c r="D1769" i="106" s="1"/>
  <c r="D15" i="7"/>
  <c r="B1772" i="106" s="1"/>
  <c r="D1772" i="106" s="1"/>
  <c r="K173" i="5" l="1"/>
  <c r="K6" i="4" s="1"/>
  <c r="B3570" i="106" s="1"/>
  <c r="D3570" i="106" s="1"/>
  <c r="G172" i="5"/>
  <c r="F106" i="34"/>
  <c r="H109" i="5"/>
  <c r="H173" i="5"/>
  <c r="B5847" i="106"/>
  <c r="D5847" i="106" s="1"/>
  <c r="F130" i="34"/>
  <c r="L5" i="11"/>
  <c r="K28" i="118"/>
  <c r="O27" i="118" s="1"/>
  <c r="O29" i="118" s="1"/>
  <c r="I173" i="5"/>
  <c r="B4216" i="106" s="1"/>
  <c r="D4216" i="106" s="1"/>
  <c r="F172" i="5"/>
  <c r="B5644" i="106" s="1"/>
  <c r="D5644" i="106" s="1"/>
  <c r="E109" i="5"/>
  <c r="E4" i="4" s="1"/>
  <c r="B2630" i="106" s="1"/>
  <c r="D2630" i="106" s="1"/>
  <c r="L312" i="29"/>
  <c r="D7245" i="106"/>
  <c r="I342" i="29"/>
  <c r="B7222" i="106" s="1"/>
  <c r="D7222" i="106" s="1"/>
  <c r="B6191" i="106"/>
  <c r="D6191" i="106" s="1"/>
  <c r="K24" i="12"/>
  <c r="C352" i="29"/>
  <c r="L15" i="11"/>
  <c r="L342" i="29"/>
  <c r="L13" i="11"/>
  <c r="B2060" i="106" s="1"/>
  <c r="D2060" i="106" s="1"/>
  <c r="F19" i="7"/>
  <c r="B1807" i="106" s="1"/>
  <c r="D1807" i="106" s="1"/>
  <c r="G352" i="29"/>
  <c r="K350" i="29"/>
  <c r="D11" i="7"/>
  <c r="B1768" i="106" s="1"/>
  <c r="D1768" i="106" s="1"/>
  <c r="G109" i="5"/>
  <c r="B6024" i="106" s="1"/>
  <c r="D6024" i="106" s="1"/>
  <c r="K184" i="29"/>
  <c r="F13" i="4" s="1"/>
  <c r="B2596" i="106" s="1"/>
  <c r="D2596" i="106" s="1"/>
  <c r="B1329" i="106"/>
  <c r="D1329" i="106" s="1"/>
  <c r="F61" i="34"/>
  <c r="C129" i="29"/>
  <c r="D4" i="4"/>
  <c r="B2564" i="106" s="1"/>
  <c r="D2564" i="106" s="1"/>
  <c r="C173" i="5"/>
  <c r="B5223" i="106" s="1"/>
  <c r="D5223" i="106" s="1"/>
  <c r="B5096" i="106"/>
  <c r="D5096" i="106" s="1"/>
  <c r="C109" i="5"/>
  <c r="B5121" i="106" s="1"/>
  <c r="D5121"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J19" i="145"/>
  <c r="D82" i="36" s="1"/>
  <c r="L151" i="29"/>
  <c r="C273" i="5"/>
  <c r="J24" i="12"/>
  <c r="B7730" i="106"/>
  <c r="D7730" i="106" s="1"/>
  <c r="H275" i="5"/>
  <c r="B5914" i="106"/>
  <c r="D5914" i="106" s="1"/>
  <c r="J7" i="4"/>
  <c r="B2657" i="106"/>
  <c r="D2657" i="106" s="1"/>
  <c r="D274" i="5"/>
  <c r="B3447" i="106"/>
  <c r="D3447" i="106" s="1"/>
  <c r="D19" i="7"/>
  <c r="B1775" i="106" s="1"/>
  <c r="D1775" i="106" s="1"/>
  <c r="B7270" i="106"/>
  <c r="B2059" i="106" l="1"/>
  <c r="D2059" i="106" s="1"/>
  <c r="M19" i="3"/>
  <c r="B276" i="106" s="1"/>
  <c r="D276" i="106" s="1"/>
  <c r="B3621" i="106"/>
  <c r="D3621" i="106" s="1"/>
  <c r="C367" i="29"/>
  <c r="B3622" i="106" s="1"/>
  <c r="D3622" i="106" s="1"/>
  <c r="H367" i="29"/>
  <c r="B3660" i="106" s="1"/>
  <c r="D3660" i="106" s="1"/>
  <c r="B2056" i="106"/>
  <c r="D2056" i="106" s="1"/>
  <c r="M16" i="3"/>
  <c r="B6025" i="106"/>
  <c r="D6025" i="106" s="1"/>
  <c r="H4" i="4"/>
  <c r="G173" i="5"/>
  <c r="B5770" i="106"/>
  <c r="D5770" i="106" s="1"/>
  <c r="B2057" i="106"/>
  <c r="D2057" i="106" s="1"/>
  <c r="M17" i="3"/>
  <c r="B274" i="106" s="1"/>
  <c r="D274" i="106" s="1"/>
  <c r="D7255" i="106"/>
  <c r="D7253" i="106"/>
  <c r="D7252" i="106"/>
  <c r="C114" i="29"/>
  <c r="B757" i="106" s="1"/>
  <c r="D757" i="106" s="1"/>
  <c r="B3459" i="106"/>
  <c r="D3459" i="106" s="1"/>
  <c r="M20" i="3"/>
  <c r="B2864" i="106" s="1"/>
  <c r="D2864" i="106" s="1"/>
  <c r="B7733" i="106"/>
  <c r="D7733" i="106" s="1"/>
  <c r="K26" i="12"/>
  <c r="B7743" i="106" s="1"/>
  <c r="D7743" i="106" s="1"/>
  <c r="B5906" i="106"/>
  <c r="D5906" i="106" s="1"/>
  <c r="H6" i="4"/>
  <c r="B2656" i="106" s="1"/>
  <c r="D2656" i="106" s="1"/>
  <c r="L114" i="29"/>
  <c r="L16" i="11"/>
  <c r="B2061" i="106" s="1"/>
  <c r="D2061" i="106" s="1"/>
  <c r="B3649" i="106"/>
  <c r="D3649" i="106" s="1"/>
  <c r="G367" i="29"/>
  <c r="B3650" i="106" s="1"/>
  <c r="D3650" i="106" s="1"/>
  <c r="B3670" i="106"/>
  <c r="D3670" i="106" s="1"/>
  <c r="K352" i="29"/>
  <c r="G4" i="4"/>
  <c r="B2603" i="106" s="1"/>
  <c r="D2603" i="106" s="1"/>
  <c r="F275" i="5"/>
  <c r="C6" i="4"/>
  <c r="B2553" i="106" s="1"/>
  <c r="D2553" i="106" s="1"/>
  <c r="C4" i="4"/>
  <c r="B2551" i="106" s="1"/>
  <c r="D2551" i="106" s="1"/>
  <c r="B7760" i="106"/>
  <c r="D7760" i="106" s="1"/>
  <c r="D24" i="36"/>
  <c r="F178" i="34"/>
  <c r="K102" i="29"/>
  <c r="F53" i="34" s="1"/>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5778" i="106" l="1"/>
  <c r="D5778" i="106" s="1"/>
  <c r="G6" i="4"/>
  <c r="B2604" i="106" s="1"/>
  <c r="D2604" i="106" s="1"/>
  <c r="J17" i="4"/>
  <c r="B2655" i="106"/>
  <c r="D2655" i="106" s="1"/>
  <c r="H8" i="4"/>
  <c r="B273" i="106"/>
  <c r="D273" i="106" s="1"/>
  <c r="M23" i="3"/>
  <c r="K13" i="4"/>
  <c r="B3572" i="106" s="1"/>
  <c r="D3572" i="106" s="1"/>
  <c r="B3672" i="106"/>
  <c r="D3672" i="106" s="1"/>
  <c r="K367" i="29"/>
  <c r="B3678" i="106" s="1"/>
  <c r="D3678"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79" i="106" l="1"/>
  <c r="D279" i="106" s="1"/>
  <c r="M40" i="3"/>
  <c r="H10" i="4"/>
  <c r="B4127" i="106" s="1"/>
  <c r="D4127" i="106" s="1"/>
  <c r="B2658" i="106"/>
  <c r="D2658" i="106" s="1"/>
  <c r="K368" i="29"/>
  <c r="B3681" i="106" s="1"/>
  <c r="D3681"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M41" i="3" l="1"/>
  <c r="B280" i="106"/>
  <c r="D28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B6214" i="106" l="1"/>
  <c r="D6214" i="106" s="1"/>
  <c r="J41" i="3"/>
  <c r="B281" i="106"/>
  <c r="D281" i="106" s="1"/>
  <c r="D54" i="36"/>
  <c r="F179" i="34"/>
  <c r="F79" i="34"/>
  <c r="B3588" i="106"/>
  <c r="D3588" i="106" s="1"/>
  <c r="K81" i="4"/>
  <c r="K38" i="3" s="1"/>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6216" i="106" l="1"/>
  <c r="D6216" i="106" s="1"/>
  <c r="D51" i="36"/>
  <c r="B123" i="106"/>
  <c r="D123" i="106" s="1"/>
  <c r="D41" i="3"/>
  <c r="B3566" i="106"/>
  <c r="D3566" i="106" s="1"/>
  <c r="K41" i="3"/>
  <c r="B3278" i="106"/>
  <c r="D3278" i="106" s="1"/>
  <c r="E81" i="4"/>
  <c r="E38"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24" i="106" l="1"/>
  <c r="D124" i="106" s="1"/>
  <c r="D45" i="36"/>
  <c r="B2477" i="106"/>
  <c r="D2477" i="106" s="1"/>
  <c r="G41" i="3"/>
  <c r="B92" i="106"/>
  <c r="D92" i="106" s="1"/>
  <c r="C41" i="3"/>
  <c r="D75" i="36"/>
  <c r="B2504" i="106"/>
  <c r="D2504" i="106" s="1"/>
  <c r="E41" i="3"/>
  <c r="B3568" i="106"/>
  <c r="D3568" i="106" s="1"/>
  <c r="D52" i="36"/>
  <c r="D76" i="36"/>
  <c r="B170" i="106"/>
  <c r="D170" i="106" s="1"/>
  <c r="F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93" i="106"/>
  <c r="D93" i="106" s="1"/>
  <c r="D44" i="36"/>
  <c r="B141" i="106"/>
  <c r="D141" i="106" s="1"/>
  <c r="D46" i="36"/>
  <c r="D47" i="36"/>
  <c r="B171" i="106"/>
  <c r="D171"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<sst xmlns="http://schemas.openxmlformats.org/spreadsheetml/2006/main" count="5148" uniqueCount="2144">
  <si>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</si>
  <si>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</si>
  <si>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</si>
  <si>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</si>
  <si>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</si>
  <si>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</si>
  <si>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</si>
  <si>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</si>
  <si>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</si>
  <si>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</si>
  <si>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</si>
  <si>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</si>
  <si>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</si>
  <si>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</si>
  <si>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</si>
  <si>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</si>
  <si>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</si>
  <si>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</si>
  <si>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</si>
  <si>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</si>
  <si>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</si>
  <si>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</si>
  <si>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</si>
  <si>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</si>
  <si>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</si>
  <si>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</si>
  <si>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</si>
  <si>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</si>
  <si>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</si>
  <si>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</si>
  <si>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</si>
  <si>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</si>
  <si>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</si>
  <si>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</si>
  <si>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</si>
  <si>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</si>
  <si>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</si>
  <si>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</si>
  <si>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</si>
  <si>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</si>
  <si>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</si>
  <si>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</si>
  <si>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</si>
  <si>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</si>
  <si>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</si>
  <si>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</si>
  <si>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</si>
  <si>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</si>
  <si>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</si>
  <si>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</si>
  <si>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</si>
  <si>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</si>
  <si>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</si>
  <si>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</si>
  <si>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</si>
  <si>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</si>
  <si>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</si>
  <si>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</si>
  <si>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</si>
  <si>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</si>
  <si>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</si>
  <si>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</si>
  <si>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</si>
  <si>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</si>
  <si>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</si>
  <si>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</si>
  <si>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</si>
  <si>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</si>
  <si>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</si>
  <si>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</si>
  <si>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</si>
  <si>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</si>
  <si>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</si>
  <si>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</si>
  <si>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</si>
  <si>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</si>
  <si>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</si>
  <si>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</si>
  <si>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</si>
  <si>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</si>
  <si>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</si>
  <si>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</si>
  <si>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</si>
  <si>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</si>
  <si>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</si>
  <si>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</si>
  <si>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</si>
  <si>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</si>
  <si>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</si>
  <si>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</si>
  <si>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</si>
  <si>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</si>
  <si>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</si>
  <si>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</si>
  <si>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</si>
  <si>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</si>
  <si>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</si>
  <si>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</si>
  <si>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</si>
  <si>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</si>
  <si>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</si>
  <si>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</si>
  <si>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</si>
  <si>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</si>
  <si>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</si>
  <si>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</si>
  <si>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</si>
  <si>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</si>
  <si>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</si>
  <si>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</si>
  <si>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</si>
  <si>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</si>
  <si>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</si>
  <si>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</si>
  <si>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</si>
  <si>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</si>
  <si>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</si>
  <si>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</si>
  <si>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</si>
  <si>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</si>
  <si>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</si>
  <si>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</si>
  <si>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</si>
  <si>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</si>
  <si>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</si>
  <si>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</si>
  <si>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</si>
  <si>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</si>
  <si>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</si>
  <si>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</si>
  <si>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</si>
  <si>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</si>
  <si>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</si>
  <si>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</si>
  <si>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</si>
  <si>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</si>
  <si>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</si>
  <si>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</si>
  <si>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</si>
  <si>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</si>
  <si>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</si>
  <si>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</si>
  <si>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</si>
  <si>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</si>
  <si>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</si>
  <si>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</si>
  <si>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</si>
  <si>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</si>
  <si>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</si>
  <si>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</si>
  <si>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</si>
  <si>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</si>
  <si>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</si>
  <si>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</si>
  <si>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</si>
  <si>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</si>
  <si>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</si>
  <si>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</si>
  <si>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</si>
  <si>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</si>
  <si>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</si>
  <si>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</si>
  <si>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</si>
  <si>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</si>
  <si>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</si>
  <si>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</si>
  <si>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</si>
  <si>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</si>
  <si>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</si>
  <si>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</si>
  <si>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</si>
  <si>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</si>
  <si>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</si>
  <si>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</si>
  <si>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</si>
  <si>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</si>
  <si>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</si>
  <si>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</si>
  <si>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</si>
  <si>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</si>
  <si>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</si>
  <si>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</si>
  <si>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</si>
  <si>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</si>
  <si>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</si>
  <si>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</si>
  <si>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</si>
  <si>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</si>
  <si>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</si>
  <si>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</si>
  <si>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</si>
  <si>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</si>
  <si>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</si>
  <si>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</si>
  <si>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</si>
  <si>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</si>
  <si>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</si>
  <si>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</si>
  <si>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</si>
  <si>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</si>
  <si>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</si>
  <si>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</si>
  <si>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</si>
  <si>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</si>
  <si>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</si>
  <si>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</si>
  <si>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</si>
  <si>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</si>
  <si>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</si>
  <si>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</si>
  <si>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</si>
  <si>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</si>
  <si>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</si>
  <si>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</si>
  <si>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</si>
  <si>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</si>
  <si>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</si>
  <si>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</si>
  <si>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</si>
  <si>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</si>
  <si>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</si>
  <si>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</si>
  <si>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</si>
  <si>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</si>
  <si>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</si>
  <si>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</si>
  <si>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</si>
  <si>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</si>
  <si>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</si>
  <si>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</si>
  <si>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</si>
  <si>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</si>
  <si>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</si>
  <si>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</si>
  <si>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</si>
  <si>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</si>
  <si>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</si>
  <si>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</si>
  <si>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</si>
  <si>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</si>
  <si>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</si>
  <si>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</si>
  <si>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</si>
  <si>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</si>
  <si>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</si>
  <si>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</si>
  <si>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</si>
  <si>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</si>
  <si>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</si>
  <si>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</si>
  <si>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</si>
  <si>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</si>
  <si>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</si>
  <si>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</si>
  <si>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</si>
  <si>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</si>
  <si>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</si>
  <si>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</si>
  <si>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</si>
  <si>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</si>
  <si>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</si>
  <si>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</si>
  <si>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</si>
  <si>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</si>
  <si>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</si>
  <si>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</si>
  <si>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</si>
  <si>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</si>
  <si>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</si>
  <si>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</si>
  <si>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</si>
  <si>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</si>
  <si>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</si>
  <si>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</si>
  <si>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</si>
  <si>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</si>
  <si>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</si>
  <si>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</si>
  <si>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</si>
  <si>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</si>
  <si>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</si>
  <si>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</si>
  <si>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</si>
  <si>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</si>
  <si>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</si>
  <si>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</si>
  <si>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</si>
  <si>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</si>
  <si>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</si>
  <si>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</si>
  <si>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</si>
  <si>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</si>
  <si>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</si>
  <si>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</si>
  <si>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</si>
  <si>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</si>
  <si>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</si>
  <si>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</si>
  <si>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</si>
  <si>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</si>
  <si>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</si>
  <si>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</si>
  <si>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</si>
  <si>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</si>
  <si>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</si>
  <si>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</si>
  <si>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</si>
  <si>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</si>
  <si>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</si>
  <si>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</si>
  <si>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</si>
  <si>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</si>
  <si>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</si>
  <si>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</si>
  <si>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</si>
  <si>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</si>
  <si>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</si>
  <si>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</si>
  <si>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</si>
  <si>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</si>
  <si>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</si>
  <si>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</si>
  <si>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</si>
  <si>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</si>
  <si>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</si>
  <si>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</si>
  <si>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</si>
  <si>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</si>
  <si>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</si>
  <si>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</si>
  <si>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</si>
  <si>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</si>
  <si>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</si>
  <si>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</si>
  <si>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</si>
  <si>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</si>
  <si>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</si>
  <si>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</si>
  <si>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</si>
  <si>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</si>
  <si>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</si>
  <si>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</si>
  <si>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</si>
  <si>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</si>
  <si>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</si>
  <si>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</si>
  <si>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</si>
  <si>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</si>
  <si>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</si>
  <si>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</si>
  <si>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</si>
  <si>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</si>
  <si>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</si>
  <si>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</si>
  <si>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</si>
  <si>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</si>
  <si>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</si>
  <si>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</si>
  <si>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</si>
  <si>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</si>
  <si>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</si>
  <si>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</si>
  <si>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</si>
  <si>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</si>
  <si>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</si>
  <si>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</si>
  <si>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</si>
  <si>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</si>
  <si>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</si>
  <si>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</si>
  <si>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</si>
  <si>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</si>
  <si>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</si>
  <si>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</si>
  <si>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</si>
  <si>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</si>
  <si>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</si>
  <si>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</si>
  <si>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</si>
  <si>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</si>
  <si>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</si>
  <si>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</si>
  <si>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</si>
  <si>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</si>
  <si>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</si>
  <si>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</si>
  <si>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</si>
  <si>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</si>
  <si>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</si>
  <si>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</si>
  <si>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</si>
  <si>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</si>
  <si>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</si>
  <si>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</si>
  <si>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</si>
  <si>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</si>
  <si>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</si>
  <si>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</si>
  <si>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</si>
  <si>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</si>
  <si>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</si>
  <si>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</si>
  <si>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</si>
  <si>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</si>
  <si>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</si>
  <si>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</si>
  <si>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</si>
  <si>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</si>
  <si>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</si>
  <si>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</si>
  <si>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</si>
  <si>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</si>
  <si>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</si>
  <si>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</si>
  <si>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</si>
  <si>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</si>
  <si>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</si>
  <si>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</si>
  <si>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</si>
  <si>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</si>
  <si>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</si>
  <si>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</si>
  <si>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</si>
  <si>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</si>
  <si>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</si>
  <si>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</si>
  <si>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</si>
  <si>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</si>
  <si>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</si>
  <si>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</si>
  <si>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</si>
  <si>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</si>
  <si>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</si>
  <si>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</si>
  <si>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</si>
  <si>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</si>
  <si>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</si>
  <si>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</si>
  <si>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</si>
  <si>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</si>
  <si>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</si>
  <si>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</si>
  <si>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</si>
  <si>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</si>
  <si>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</si>
  <si>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</si>
  <si>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</si>
  <si>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</si>
  <si>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</si>
  <si>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</si>
  <si>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</si>
  <si>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</si>
  <si>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</si>
  <si>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</si>
  <si>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</si>
  <si>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</si>
  <si>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</si>
  <si>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</si>
  <si>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</si>
  <si>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</si>
  <si>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</si>
  <si>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</si>
  <si>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</si>
  <si>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</si>
  <si>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</si>
  <si>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</si>
  <si>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</si>
  <si>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</si>
  <si>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</si>
  <si>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</si>
  <si>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</si>
  <si>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</si>
  <si>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</si>
  <si>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</si>
  <si>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</si>
  <si>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</si>
  <si>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</si>
  <si>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</si>
  <si>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</si>
  <si>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</si>
  <si>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</si>
  <si>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</si>
  <si>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</si>
  <si>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</si>
  <si>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</si>
  <si>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</si>
  <si>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</si>
  <si>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</si>
  <si>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</si>
  <si>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</si>
  <si>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</si>
  <si>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</si>
  <si>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</si>
  <si>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</si>
  <si>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</si>
  <si>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</si>
  <si>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</si>
  <si>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</si>
  <si>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</si>
  <si>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</si>
  <si>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</si>
  <si>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</si>
  <si>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</si>
  <si>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</si>
  <si>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</si>
  <si>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</si>
  <si>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</si>
  <si>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</si>
  <si>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</si>
  <si>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</si>
  <si>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</si>
  <si>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</si>
  <si>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</si>
  <si>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</si>
  <si>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</si>
  <si>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</si>
  <si>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</si>
  <si>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</si>
  <si>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</si>
  <si>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</si>
  <si>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</si>
  <si>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</si>
  <si>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</si>
  <si>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</si>
  <si>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</si>
  <si>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</si>
  <si>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</si>
  <si>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</si>
  <si>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</si>
  <si>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</si>
  <si>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</si>
  <si>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</si>
  <si>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</si>
  <si>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</si>
  <si>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</si>
  <si>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</si>
  <si>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</si>
  <si>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</si>
  <si>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</si>
  <si>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</si>
  <si>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</si>
  <si>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</si>
  <si>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</si>
  <si>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</si>
  <si>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</si>
  <si>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</si>
  <si>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</si>
  <si>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</si>
  <si>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</si>
  <si>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</si>
  <si>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</si>
  <si>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</si>
  <si>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</si>
  <si>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</si>
  <si>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</si>
  <si>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</si>
  <si>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</si>
  <si>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</si>
  <si>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</si>
  <si>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</si>
  <si>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</si>
  <si>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</si>
  <si>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</si>
  <si>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</si>
  <si>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</si>
  <si>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</si>
  <si>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</si>
  <si>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</si>
  <si>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</si>
  <si>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</si>
  <si>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</si>
  <si>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</si>
  <si>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</si>
  <si>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</si>
  <si>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</si>
  <si>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</si>
  <si>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</si>
  <si>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</si>
  <si>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</si>
  <si>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</si>
  <si>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</si>
  <si>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</si>
  <si>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</si>
  <si>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</si>
  <si>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</si>
  <si>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</si>
  <si>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</si>
  <si>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</si>
  <si>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</si>
  <si>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</si>
  <si>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</si>
  <si>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</si>
  <si>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</si>
  <si>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</si>
  <si>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</si>
  <si>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</si>
  <si>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</si>
  <si>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</si>
  <si>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</si>
  <si>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</si>
  <si>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</si>
  <si>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</si>
  <si>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</si>
  <si>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</si>
  <si>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</si>
  <si>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</si>
  <si>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</si>
  <si>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</si>
  <si>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</si>
  <si>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</si>
  <si>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</si>
  <si>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</si>
  <si>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</si>
  <si>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</si>
  <si>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</si>
  <si>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</si>
  <si>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</si>
  <si>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</si>
  <si>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</si>
  <si>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</si>
  <si>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</si>
  <si>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</si>
  <si>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</si>
  <si>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</si>
  <si>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</si>
  <si>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</si>
  <si>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</si>
  <si>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</si>
  <si>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</si>
  <si>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</si>
  <si>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</si>
  <si>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</si>
  <si>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</si>
  <si>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</si>
  <si>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</si>
  <si>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</si>
  <si>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</si>
  <si>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</si>
  <si>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</si>
  <si>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</si>
  <si>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</si>
  <si>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</si>
  <si>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</si>
  <si>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</si>
  <si>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</si>
  <si>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</si>
  <si>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</si>
  <si>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</si>
  <si>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</si>
  <si>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</si>
  <si>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</si>
  <si>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</si>
  <si>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</si>
  <si>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</si>
  <si>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</si>
  <si>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</si>
  <si>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</si>
  <si>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</si>
  <si>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</si>
  <si>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</si>
  <si>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</si>
  <si>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</si>
  <si>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</si>
  <si>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</si>
  <si>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</si>
  <si>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</si>
  <si>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</si>
  <si>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</si>
  <si>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</si>
  <si>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</si>
  <si>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</si>
  <si>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</si>
  <si>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</si>
  <si>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</si>
  <si>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</si>
  <si>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</si>
  <si>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</si>
  <si>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</si>
  <si>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</si>
  <si>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</si>
  <si>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</si>
  <si>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</si>
  <si>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</si>
  <si>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</si>
  <si>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</si>
  <si>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</si>
  <si>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</si>
  <si>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</si>
  <si>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</si>
  <si>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</si>
  <si>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</si>
  <si>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</si>
  <si>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</si>
  <si>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</si>
  <si>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</si>
  <si>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</si>
  <si>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</si>
  <si>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</si>
  <si>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</si>
  <si>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</si>
  <si>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</si>
  <si>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</si>
  <si>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</si>
  <si>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</si>
  <si>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</si>
  <si>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</si>
  <si>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</si>
  <si>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</si>
  <si>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</si>
  <si>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</si>
  <si>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</si>
  <si>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</si>
  <si>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</si>
  <si>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</si>
  <si>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</si>
  <si>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</si>
  <si>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</si>
  <si>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</si>
  <si>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</si>
  <si>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</si>
  <si>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</si>
  <si>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</si>
  <si>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</si>
  <si>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</si>
  <si>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</si>
  <si>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</si>
  <si>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</si>
  <si>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</si>
  <si>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</si>
  <si>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</si>
  <si>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</si>
  <si>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</si>
  <si>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</si>
  <si>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</si>
  <si>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</si>
  <si>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</si>
  <si>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</si>
  <si>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</si>
  <si>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</si>
  <si>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</si>
  <si>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</si>
  <si>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</si>
  <si>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</si>
  <si>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</si>
  <si>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</si>
  <si>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</si>
  <si>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</si>
  <si>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</si>
  <si>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</si>
  <si>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</si>
  <si>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</si>
  <si>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</si>
  <si>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</si>
  <si>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</si>
  <si>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</si>
  <si>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</si>
  <si>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</si>
  <si>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</si>
  <si>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</si>
  <si>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</si>
  <si>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</si>
  <si>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</si>
  <si>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</si>
  <si>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</si>
  <si>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</si>
  <si>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</si>
  <si>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</si>
  <si>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</si>
  <si>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</si>
  <si>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</si>
  <si>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</si>
  <si>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</si>
  <si>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</si>
  <si>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</si>
  <si>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</si>
  <si>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</si>
  <si>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</si>
  <si>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</si>
  <si>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</si>
  <si>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</si>
  <si>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</si>
  <si>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</si>
  <si>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</si>
  <si>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</si>
  <si>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</si>
  <si>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</si>
  <si>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</si>
  <si>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</si>
  <si>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</si>
  <si>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</si>
  <si>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</si>
  <si>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</si>
  <si>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</si>
  <si>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</si>
  <si>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</si>
  <si>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</si>
  <si>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</si>
  <si>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</si>
  <si>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</si>
  <si>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</si>
  <si>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</si>
  <si>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</si>
  <si>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</si>
  <si>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</si>
  <si>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</si>
  <si>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</si>
  <si>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</si>
  <si>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</si>
  <si>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</si>
  <si>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</si>
  <si>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</si>
  <si>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</si>
  <si>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</si>
  <si>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</si>
  <si>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</si>
  <si>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</si>
  <si>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</si>
  <si>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</si>
  <si>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</si>
  <si>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</si>
  <si>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</si>
  <si>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</si>
  <si>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</si>
  <si>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</si>
  <si>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</si>
  <si>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</si>
  <si>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</si>
  <si>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</si>
  <si>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</si>
  <si>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</si>
  <si>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</si>
  <si>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</si>
  <si>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</si>
  <si>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</si>
  <si>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</si>
  <si>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</si>
  <si>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</si>
  <si>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</si>
  <si>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</si>
  <si>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</si>
  <si>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</si>
  <si>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</si>
  <si>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</si>
  <si>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</si>
  <si>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</si>
  <si>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</si>
  <si>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</si>
  <si>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</si>
  <si>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</si>
  <si>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</si>
  <si>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</si>
  <si>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</si>
  <si>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</si>
  <si>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</si>
  <si>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</si>
  <si>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</si>
  <si>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</si>
  <si>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</si>
  <si>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</si>
  <si>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</si>
  <si>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</si>
  <si>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</si>
  <si>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</si>
  <si>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</si>
  <si>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</si>
  <si>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</si>
  <si>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</si>
  <si>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</si>
  <si>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</si>
  <si>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</si>
  <si>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</si>
  <si>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</si>
  <si>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</si>
  <si>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</si>
  <si>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</si>
  <si>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</si>
  <si>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</si>
  <si>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</si>
  <si>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</si>
  <si>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</si>
  <si>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</si>
  <si>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</si>
  <si>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</si>
  <si>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</si>
  <si>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</si>
  <si>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</si>
  <si>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</si>
  <si>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</si>
  <si>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</si>
  <si>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</si>
  <si>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</si>
  <si>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</si>
  <si>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</si>
  <si>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</si>
  <si>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</si>
  <si>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</si>
  <si>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</si>
  <si>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</si>
  <si>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</si>
  <si>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</si>
  <si>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</si>
  <si>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</si>
  <si>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</si>
  <si>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</si>
  <si>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</si>
  <si>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</si>
  <si>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</si>
  <si>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</si>
  <si>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</si>
  <si>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</si>
  <si>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</si>
  <si>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</si>
  <si>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</si>
  <si>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</si>
  <si>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</si>
  <si>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</si>
  <si>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</si>
  <si>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</si>
  <si>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</si>
  <si>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</si>
  <si>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</si>
  <si>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</si>
  <si>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</si>
  <si>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</si>
  <si>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</si>
  <si>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</si>
  <si>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</si>
  <si>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</si>
  <si>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</si>
  <si>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</si>
  <si>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</si>
  <si>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</si>
  <si>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</si>
  <si>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</si>
  <si>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</si>
  <si>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</si>
  <si>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</si>
  <si>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</si>
  <si>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</si>
  <si>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</si>
  <si>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</si>
  <si>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</si>
  <si>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</si>
  <si>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</si>
  <si>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</si>
  <si>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</si>
  <si>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</si>
  <si>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</si>
  <si>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</si>
  <si>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</si>
  <si>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</si>
  <si>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</si>
  <si>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</si>
  <si>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</si>
  <si>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</si>
  <si>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</si>
  <si>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</si>
  <si>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</si>
  <si>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</si>
  <si>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</si>
  <si>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</si>
  <si>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</si>
  <si>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</si>
  <si>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</si>
  <si>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</si>
  <si>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</si>
  <si>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</si>
  <si>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</si>
  <si>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</si>
  <si>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</si>
  <si>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</si>
  <si>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</si>
  <si>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</si>
  <si>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</si>
  <si>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</si>
  <si>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</si>
  <si>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</si>
  <si>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</si>
  <si>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</si>
  <si>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</si>
  <si>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</si>
  <si>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</si>
  <si>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</si>
  <si>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</si>
  <si>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</si>
  <si>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</si>
  <si>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</si>
  <si>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</si>
  <si>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</si>
  <si>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</si>
  <si>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</si>
  <si>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</si>
  <si>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</si>
  <si>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</si>
  <si>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</si>
  <si>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</si>
  <si>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</si>
  <si>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</si>
  <si>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</si>
  <si>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</si>
  <si>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</si>
  <si>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</si>
  <si>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</si>
  <si>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</si>
  <si>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</si>
  <si>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</si>
  <si>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</si>
  <si>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</si>
  <si>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</si>
  <si>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</si>
  <si>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</si>
  <si>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</si>
  <si>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</si>
  <si>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</si>
  <si>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</si>
  <si>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</si>
  <si>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</si>
  <si>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</si>
  <si>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</si>
  <si>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</si>
  <si>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</si>
  <si>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</si>
  <si>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</si>
  <si>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</si>
  <si>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</si>
  <si>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</si>
  <si>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</si>
  <si>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</si>
  <si>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</si>
  <si>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</si>
  <si>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</si>
  <si>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</si>
  <si>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</si>
  <si>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</si>
  <si>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</si>
  <si>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</si>
  <si>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</si>
  <si>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</si>
  <si>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</si>
  <si>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</si>
  <si>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</si>
  <si>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</si>
  <si>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</si>
  <si>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</si>
  <si>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</si>
  <si>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</si>
  <si>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</si>
  <si>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</si>
  <si>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</si>
  <si>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</si>
  <si>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</si>
  <si>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</si>
  <si>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</si>
  <si>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</si>
  <si>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</si>
  <si>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</si>
  <si>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</si>
  <si>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</si>
  <si>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</si>
  <si>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</si>
  <si>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</si>
  <si>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</si>
  <si>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</si>
  <si>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</si>
  <si>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</si>
  <si>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</si>
  <si>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</si>
  <si>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</si>
  <si>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</si>
  <si>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</si>
  <si>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</si>
  <si>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</si>
  <si>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</si>
  <si>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</si>
  <si>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</si>
  <si>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</si>
  <si>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</si>
  <si>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</si>
  <si>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</si>
  <si>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</si>
  <si>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</si>
  <si>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</si>
  <si>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</si>
  <si>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</si>
  <si>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</si>
  <si>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</si>
  <si>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</si>
  <si>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</si>
  <si>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</si>
  <si>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</si>
  <si>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</si>
  <si>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</si>
  <si>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</si>
  <si>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</si>
  <si>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</si>
  <si>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</si>
  <si>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</si>
  <si>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</si>
  <si>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</si>
  <si>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</si>
  <si>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</si>
  <si>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</si>
  <si>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</si>
  <si>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</si>
  <si>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</si>
  <si>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</si>
  <si>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</si>
  <si>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</si>
  <si>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</si>
  <si>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</si>
  <si>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</si>
  <si>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</si>
  <si>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</si>
  <si>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</si>
  <si>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</si>
  <si>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</si>
  <si>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</si>
  <si>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</si>
  <si>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</si>
  <si>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</si>
  <si>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</si>
  <si>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</si>
  <si>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</si>
  <si>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</si>
  <si>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</si>
  <si>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</si>
  <si>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</si>
  <si>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</si>
  <si>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</si>
  <si>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</si>
  <si>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</si>
  <si>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</si>
  <si>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</si>
  <si>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</si>
  <si>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</si>
  <si>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</si>
  <si>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</si>
  <si>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</si>
  <si>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</si>
  <si>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</si>
  <si>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</si>
  <si>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</si>
  <si>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</si>
  <si>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</si>
  <si>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</si>
  <si>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</si>
  <si>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</si>
  <si>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</si>
  <si>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</si>
  <si>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</si>
  <si>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</si>
  <si>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</si>
  <si>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</si>
  <si>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</si>
  <si>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</si>
  <si>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</si>
  <si>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</si>
  <si>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</si>
  <si>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</si>
  <si>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</si>
  <si>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</si>
  <si>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</si>
  <si>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</si>
  <si>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</si>
  <si>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</si>
  <si>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</si>
  <si>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</si>
  <si>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</si>
  <si>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</si>
  <si>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</si>
  <si>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</si>
  <si>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</si>
  <si>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</si>
  <si>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</si>
  <si>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</si>
  <si>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</si>
  <si>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</si>
  <si>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</si>
  <si>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</si>
  <si>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</si>
  <si>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</si>
  <si>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</si>
  <si>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</si>
  <si>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</si>
  <si>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</si>
  <si>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</si>
  <si>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</si>
  <si>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</si>
  <si>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</si>
  <si>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</si>
  <si>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</si>
  <si>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</si>
  <si>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</si>
  <si>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</si>
  <si>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</si>
  <si>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</si>
  <si>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</si>
  <si>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</si>
  <si>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</si>
  <si>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</si>
  <si>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</si>
  <si>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</si>
  <si>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</si>
  <si>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</si>
  <si>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</si>
  <si>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</si>
  <si>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</si>
  <si>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</si>
  <si>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</si>
  <si>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</si>
  <si>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</si>
  <si>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</si>
  <si>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</si>
  <si>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</si>
  <si>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</si>
  <si>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</si>
  <si>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</si>
  <si>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</si>
  <si>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</si>
  <si>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</si>
  <si>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</si>
  <si>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</si>
  <si>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</si>
  <si>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</si>
  <si>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</si>
  <si>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</si>
  <si>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</si>
  <si>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</si>
  <si>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</si>
  <si>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</si>
  <si>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</si>
  <si>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</si>
  <si>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</si>
  <si>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</si>
  <si>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</si>
  <si>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</si>
  <si>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</si>
  <si>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</si>
  <si>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</si>
  <si>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</si>
  <si>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</si>
  <si>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</si>
  <si>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</si>
  <si>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</si>
  <si>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</si>
  <si>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</si>
  <si>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</si>
  <si>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</si>
  <si>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</si>
  <si>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</si>
  <si>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</si>
  <si>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</si>
  <si>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</si>
  <si>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</si>
  <si>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</si>
  <si>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</si>
  <si>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</si>
  <si>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</si>
  <si>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</si>
  <si>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</si>
  <si>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</si>
  <si>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</si>
  <si>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</si>
  <si>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</si>
  <si>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</si>
  <si>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</si>
  <si>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</si>
  <si>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</si>
  <si>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</si>
  <si>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</si>
  <si>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</si>
  <si>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</si>
  <si>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</si>
  <si>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</si>
  <si>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</si>
  <si>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</si>
  <si>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</si>
  <si>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</si>
  <si>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</si>
  <si>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</si>
  <si>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</si>
  <si>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</si>
  <si>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</si>
  <si>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</si>
  <si>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</si>
  <si>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</si>
  <si>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</si>
  <si>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</si>
  <si>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</si>
  <si>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</si>
  <si>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</si>
  <si>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</si>
  <si>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</si>
  <si>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</si>
  <si>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</si>
  <si>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</si>
  <si>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</si>
  <si>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</si>
  <si>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</si>
  <si>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</si>
  <si>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</si>
  <si>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</si>
  <si>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</si>
  <si>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</si>
  <si>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</si>
  <si>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</si>
  <si>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</si>
  <si>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</si>
  <si>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</si>
  <si>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</si>
  <si>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</si>
  <si>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</si>
  <si>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</si>
  <si>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</si>
  <si>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</si>
  <si>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</si>
  <si>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</si>
  <si>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</si>
  <si>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</si>
  <si>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</si>
  <si>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</si>
  <si>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</si>
  <si>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</si>
  <si>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</si>
  <si>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</si>
  <si>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</si>
  <si>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</si>
  <si>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</si>
  <si>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</si>
  <si>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</si>
  <si>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</si>
  <si>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</si>
  <si>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</si>
  <si>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</si>
  <si>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</si>
  <si>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</si>
  <si>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</si>
  <si>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</si>
  <si>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</si>
  <si>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</si>
  <si>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</si>
  <si>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</si>
  <si>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</si>
  <si>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</si>
  <si>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</si>
  <si>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</si>
  <si>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</si>
  <si>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</si>
  <si>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</si>
  <si>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</si>
  <si>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</si>
  <si>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</si>
  <si>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</si>
  <si>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</si>
  <si>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</si>
  <si>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</si>
  <si>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</si>
  <si>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</si>
  <si>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</si>
  <si>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</si>
  <si>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</si>
  <si>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</si>
  <si>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</si>
  <si>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</si>
  <si>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</si>
  <si>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</si>
  <si>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</si>
  <si>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</si>
  <si>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</si>
  <si>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</si>
  <si>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</si>
  <si>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</si>
  <si>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</si>
  <si>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</si>
  <si>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</si>
  <si>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</si>
  <si>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</si>
  <si>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</si>
  <si>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</si>
  <si>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</si>
  <si>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</si>
  <si>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</si>
  <si>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</si>
  <si>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</si>
  <si>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</si>
  <si>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</si>
  <si>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</si>
  <si>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</si>
  <si>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</si>
  <si>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</si>
  <si>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</si>
  <si>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</si>
  <si>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</si>
  <si>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</si>
  <si>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</si>
  <si>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</si>
  <si>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</si>
  <si>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</si>
  <si>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</si>
  <si>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</si>
  <si>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</si>
  <si>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</si>
  <si>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</si>
  <si>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</si>
  <si>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</si>
  <si>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</si>
  <si>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</si>
  <si>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</si>
  <si>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</si>
  <si>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</si>
  <si>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</si>
  <si>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</si>
  <si>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</si>
  <si>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</si>
  <si>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</si>
  <si>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</si>
  <si>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</si>
  <si>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</si>
  <si>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</si>
  <si>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</si>
  <si>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</si>
  <si>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</si>
  <si>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</si>
  <si>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</si>
  <si>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</si>
  <si>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</si>
  <si>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</si>
  <si>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</si>
  <si>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</si>
  <si>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</si>
  <si>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</si>
  <si>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</si>
  <si>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</si>
  <si>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</si>
  <si>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</si>
  <si>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</si>
  <si>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</si>
  <si>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</si>
  <si>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</si>
  <si>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</si>
  <si>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</si>
  <si>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</si>
  <si>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</si>
  <si>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</si>
  <si>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</si>
  <si>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</si>
  <si>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</si>
  <si>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</si>
  <si>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</si>
  <si>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</si>
  <si>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</si>
  <si>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</si>
  <si>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</si>
  <si>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</si>
  <si>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</si>
  <si>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</si>
  <si>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</si>
  <si>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</si>
  <si>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</si>
  <si>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</si>
  <si>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</si>
  <si>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</si>
  <si>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</si>
  <si>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</si>
  <si>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</si>
  <si>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</si>
  <si>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</si>
  <si>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</si>
  <si>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</si>
  <si>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</si>
  <si>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</si>
  <si>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</si>
  <si>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</si>
  <si>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</si>
  <si>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</si>
  <si>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</si>
  <si>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</si>
  <si>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</si>
  <si>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</si>
  <si>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</si>
  <si>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</si>
  <si>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</si>
  <si>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</si>
  <si>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</si>
  <si>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</si>
  <si>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</si>
  <si>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</si>
  <si>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</si>
  <si>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</si>
  <si>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</si>
  <si>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</si>
  <si>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</si>
  <si>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</si>
  <si>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</si>
  <si>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</si>
  <si>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</si>
  <si>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</si>
  <si>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</si>
  <si>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</si>
  <si>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</si>
  <si>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</si>
  <si>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</si>
  <si>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</si>
  <si>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</si>
  <si>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</si>
  <si>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</si>
  <si>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</si>
  <si>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</si>
  <si>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</si>
  <si>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</si>
  <si>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</si>
  <si>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</si>
  <si>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</si>
  <si>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</si>
  <si>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</si>
  <si>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</si>
  <si>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</si>
  <si>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</si>
  <si>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</si>
  <si>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</si>
  <si>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</si>
  <si>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</si>
  <si>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</si>
  <si>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</si>
  <si>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</si>
  <si>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</si>
  <si>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</si>
  <si>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</si>
  <si>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</si>
  <si>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</si>
  <si>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</si>
  <si>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</si>
  <si>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</si>
  <si>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</si>
  <si>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</si>
  <si>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</si>
  <si>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</si>
  <si>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</si>
  <si>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</si>
  <si>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</si>
  <si>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</si>
  <si>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</si>
  <si>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</si>
  <si>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</si>
  <si>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</si>
  <si>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</si>
  <si>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</si>
  <si>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</si>
  <si>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</si>
  <si>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</si>
  <si>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</si>
  <si>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</si>
  <si>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</si>
  <si>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</si>
  <si>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</si>
  <si>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</si>
  <si>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</si>
  <si>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</si>
  <si>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</si>
  <si>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</si>
  <si>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</si>
  <si>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</si>
  <si>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</si>
  <si>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</si>
  <si>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</si>
  <si>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</si>
  <si>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</si>
  <si>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</si>
  <si>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</si>
  <si>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</si>
  <si>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</si>
  <si>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</si>
  <si>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</si>
  <si>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</si>
  <si>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</si>
  <si>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</si>
  <si>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</si>
  <si>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</si>
  <si>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</si>
  <si>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</si>
  <si>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</si>
  <si>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</si>
  <si>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</si>
  <si>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</si>
  <si>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</si>
  <si>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</si>
  <si>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</si>
  <si>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</si>
  <si>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</si>
  <si>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</si>
  <si>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</si>
  <si>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</si>
  <si>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</si>
  <si>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</si>
  <si>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</si>
  <si>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</si>
  <si>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</si>
  <si>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</si>
  <si>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</si>
  <si>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</si>
  <si>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</si>
  <si>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</si>
  <si>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</si>
  <si>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</si>
  <si>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</si>
  <si>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</si>
  <si>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</si>
  <si>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</si>
  <si>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</si>
  <si>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</si>
  <si>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</si>
  <si>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</si>
  <si>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</si>
  <si>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</si>
  <si>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</si>
  <si>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</si>
  <si>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</si>
  <si>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</si>
  <si>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</si>
  <si>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</si>
  <si>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</si>
  <si>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</si>
  <si>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</si>
  <si>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</si>
  <si>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</si>
  <si>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</si>
  <si>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</si>
  <si>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</si>
  <si>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</si>
  <si>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</si>
  <si>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</si>
  <si>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</si>
  <si>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</si>
  <si>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</si>
  <si>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</si>
  <si>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</si>
  <si>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</si>
  <si>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</si>
  <si>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</si>
  <si>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</si>
  <si>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</si>
  <si>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</si>
  <si>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</si>
  <si>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</si>
  <si>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</si>
  <si>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</si>
  <si>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</si>
  <si>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</si>
  <si>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</si>
  <si>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</si>
  <si>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</si>
  <si>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</si>
  <si>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</si>
  <si>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</si>
  <si>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</si>
  <si>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</si>
  <si>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</si>
  <si>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</si>
  <si>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</si>
  <si>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</si>
  <si>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</si>
  <si>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</si>
  <si>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</si>
  <si>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</si>
  <si>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</si>
  <si>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</si>
  <si>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</si>
  <si>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</si>
  <si>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</si>
  <si>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</si>
  <si>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</si>
  <si>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</si>
  <si>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</si>
  <si>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</si>
  <si>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</si>
  <si>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</si>
  <si>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</si>
  <si>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</si>
  <si>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</si>
  <si>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</si>
  <si>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</si>
  <si>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</si>
  <si>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</si>
  <si>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</si>
  <si>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</si>
  <si>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</si>
  <si>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</si>
  <si>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</si>
  <si>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</si>
  <si>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</si>
  <si>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</si>
  <si>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</si>
  <si>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</si>
  <si>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</si>
  <si>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</si>
  <si>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</si>
  <si>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</si>
  <si>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</si>
  <si>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</si>
  <si>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</si>
  <si>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</si>
  <si>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</si>
  <si>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</si>
  <si>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</si>
  <si>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</si>
  <si>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</si>
  <si>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</si>
  <si>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</si>
  <si>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</si>
  <si>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</si>
  <si>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</si>
  <si>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</si>
  <si>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</si>
  <si>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</si>
  <si>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</si>
  <si>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</si>
  <si>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</si>
  <si>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</si>
  <si>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</si>
  <si>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</si>
  <si>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</si>
  <si>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</si>
  <si>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</si>
  <si>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</si>
  <si>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</si>
  <si>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</si>
  <si>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</si>
  <si>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</si>
  <si>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</si>
  <si>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</si>
  <si>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</si>
  <si>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</si>
  <si>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</si>
  <si>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</si>
  <si>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</si>
  <si>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</si>
  <si>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</si>
  <si>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</si>
  <si>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</si>
  <si>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</si>
  <si>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</si>
  <si>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</si>
  <si>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</si>
  <si>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</si>
  <si>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</si>
  <si>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</si>
  <si>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</si>
  <si>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</si>
  <si>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</si>
  <si>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</si>
  <si>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</si>
  <si>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</si>
  <si>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</si>
  <si>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</si>
  <si>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</si>
  <si>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</si>
  <si>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</si>
  <si>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</si>
  <si>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</si>
  <si>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</si>
  <si>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</si>
  <si>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</si>
  <si>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</si>
  <si>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</si>
  <si>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</si>
  <si>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</si>
  <si>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</si>
  <si>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</si>
  <si>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</si>
  <si>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</si>
  <si>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</si>
  <si>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</si>
  <si>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</si>
  <si>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</si>
  <si>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</si>
  <si>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</si>
  <si>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</si>
  <si>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</si>
  <si>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</si>
  <si>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</si>
  <si>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</si>
  <si>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</si>
  <si>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</si>
  <si>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</si>
  <si>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</si>
  <si>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</si>
  <si>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</si>
  <si>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</si>
  <si>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</si>
  <si>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</si>
  <si>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</si>
  <si>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</si>
  <si>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</si>
  <si>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</si>
  <si>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</si>
  <si>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</si>
  <si>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</si>
  <si>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</si>
  <si>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</si>
  <si>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</si>
  <si>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</si>
  <si>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</si>
  <si>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</si>
  <si>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</si>
  <si>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</si>
  <si>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</si>
  <si>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</si>
  <si>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</si>
  <si>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</si>
  <si>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</si>
  <si>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</si>
  <si>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</si>
  <si>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</si>
  <si>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</si>
  <si>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</si>
  <si>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</si>
  <si>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</si>
  <si>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</si>
  <si>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</si>
  <si>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</si>
  <si>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</si>
  <si>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</si>
  <si>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</si>
  <si>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</si>
  <si>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</si>
  <si>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</si>
  <si>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</si>
  <si>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</si>
  <si>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</si>
  <si>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</si>
  <si>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</si>
  <si>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</si>
  <si>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</si>
  <si>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</si>
  <si>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</si>
  <si>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</si>
  <si>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</si>
  <si>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</si>
  <si>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</si>
  <si>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</si>
  <si>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</si>
  <si>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</si>
  <si>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</si>
  <si>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</si>
  <si>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</si>
  <si>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</si>
  <si>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</si>
  <si>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</si>
  <si>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</si>
  <si>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</si>
  <si>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</si>
  <si>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</si>
  <si>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</si>
  <si>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</si>
  <si>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</si>
  <si>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</si>
  <si>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</si>
  <si>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</si>
  <si>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</si>
  <si>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</si>
  <si>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</si>
  <si>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</si>
  <si>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</si>
  <si>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</si>
  <si>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</si>
  <si>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</si>
  <si>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</si>
  <si>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</si>
  <si>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</si>
  <si>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</si>
  <si>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</si>
  <si>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</si>
  <si>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</si>
  <si>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</si>
  <si>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</si>
  <si>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</si>
  <si>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</si>
  <si>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</si>
  <si>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</si>
  <si>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</si>
  <si>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</si>
  <si>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</si>
  <si>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</si>
  <si>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</si>
  <si>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</si>
  <si>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</si>
  <si>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</si>
  <si>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</si>
  <si>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</si>
  <si>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</si>
  <si>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</si>
  <si>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</si>
  <si>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</si>
  <si>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</si>
  <si>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</si>
  <si>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</si>
  <si>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</si>
  <si>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</si>
  <si>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</si>
  <si>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</si>
  <si>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</si>
  <si>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</si>
  <si>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</si>
  <si>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</si>
  <si>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</si>
  <si>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</si>
  <si>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</si>
  <si>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</si>
  <si>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</si>
  <si>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</si>
  <si>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</si>
  <si>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</si>
  <si>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</si>
  <si>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</si>
  <si>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</si>
  <si>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</si>
  <si>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</si>
  <si>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</si>
  <si>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</si>
  <si>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</si>
  <si>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</si>
  <si>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</si>
  <si>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</si>
  <si>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</si>
  <si>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</si>
  <si>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</si>
  <si>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</si>
  <si>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</si>
  <si>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</si>
  <si>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</si>
  <si>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</si>
  <si>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</si>
  <si>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</si>
  <si>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</si>
  <si>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</si>
  <si>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</si>
  <si>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</si>
  <si>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</si>
  <si>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</si>
  <si>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</si>
  <si>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</si>
  <si>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</si>
  <si>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</si>
  <si>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</si>
  <si>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</si>
  <si>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</si>
  <si>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</si>
  <si>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</si>
  <si>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</si>
  <si>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</si>
  <si>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</si>
  <si>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</si>
  <si>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</si>
  <si>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</si>
  <si>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</si>
  <si>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</si>
  <si>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</si>
  <si>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</si>
  <si>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</si>
  <si>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</si>
  <si>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</si>
  <si>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</si>
  <si>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</si>
  <si>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</si>
  <si>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</si>
  <si>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</si>
  <si>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</si>
  <si>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</si>
  <si>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</si>
  <si>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</si>
  <si>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</si>
  <si>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</si>
  <si>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</si>
  <si>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</si>
  <si>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</si>
  <si>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</si>
  <si>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</si>
  <si>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</si>
  <si>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</si>
  <si>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</si>
  <si>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</si>
  <si>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</si>
  <si>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</si>
  <si>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</si>
  <si>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</si>
  <si>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</si>
  <si>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</si>
  <si>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</si>
  <si>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</si>
  <si>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</si>
  <si>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</si>
  <si>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</si>
  <si>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</si>
  <si>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</si>
  <si>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</si>
  <si>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</si>
  <si>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</si>
  <si>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</si>
  <si>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</si>
  <si>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</si>
  <si>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</si>
  <si>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</si>
  <si>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</si>
  <si>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</si>
  <si>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</si>
  <si>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</si>
  <si>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</si>
  <si>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</si>
  <si>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</si>
  <si>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</si>
  <si>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</si>
  <si>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</si>
  <si>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</si>
  <si>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</si>
  <si>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</si>
  <si>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</si>
  <si>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</si>
  <si>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</si>
  <si>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</si>
  <si>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</si>
  <si>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</si>
  <si>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</si>
  <si>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</si>
  <si>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</si>
  <si>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</si>
  <si>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</si>
  <si>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</si>
  <si>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</si>
  <si>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</si>
  <si>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</si>
  <si>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</si>
  <si>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</si>
  <si>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</si>
  <si>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</si>
  <si>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</si>
  <si>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</si>
  <si>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</si>
  <si>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</si>
  <si>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</si>
  <si>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</si>
  <si>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</si>
  <si>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</si>
  <si>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</si>
  <si>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</si>
  <si>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</si>
  <si>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</si>
  <si>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</si>
  <si>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</si>
  <si>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</si>
  <si>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</si>
  <si>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</si>
  <si>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</si>
  <si>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</si>
  <si>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</si>
  <si>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</si>
  <si>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</si>
  <si>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</si>
  <si>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</si>
  <si>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</si>
  <si>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</si>
  <si>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</si>
  <si>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</si>
  <si>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</si>
  <si>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</si>
  <si>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</si>
  <si>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</si>
  <si>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</si>
  <si>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</si>
  <si>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</si>
  <si>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</si>
  <si>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</si>
  <si>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</si>
  <si>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</si>
  <si>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</si>
  <si>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</si>
  <si>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</si>
  <si>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</si>
  <si>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Clark</t>
  </si>
  <si>
    <t>Marshall CUSD C-2</t>
  </si>
  <si>
    <t>503 Pine Street</t>
  </si>
  <si>
    <t xml:space="preserve">Marshall </t>
  </si>
  <si>
    <t>mrichardson@marshall.k12.il.us</t>
  </si>
  <si>
    <t>Kevin Ross</t>
  </si>
  <si>
    <t>kross@marshall.k12.il.us</t>
  </si>
  <si>
    <t>217-826-5912</t>
  </si>
  <si>
    <t>217-826-7172</t>
  </si>
  <si>
    <t>Daughhetee and Parks Management Consulting PX</t>
  </si>
  <si>
    <t>Phyllis Parks</t>
  </si>
  <si>
    <t>2200 Kickapoo Drive Suite A</t>
  </si>
  <si>
    <t>Danville</t>
  </si>
  <si>
    <t>IL</t>
  </si>
  <si>
    <t>217-431-2727</t>
  </si>
  <si>
    <t>217-431-3273</t>
  </si>
  <si>
    <t>065-19320</t>
  </si>
  <si>
    <t>pparksxpa@gmail.com</t>
  </si>
  <si>
    <t>10-1614 this is for milk sales</t>
  </si>
  <si>
    <t>2013 G/O Refinancing</t>
  </si>
  <si>
    <t>2013 Life Safety</t>
  </si>
  <si>
    <t>2018 Refunding</t>
  </si>
  <si>
    <t>2018 Working Cash</t>
  </si>
  <si>
    <t>none noted by client</t>
  </si>
  <si>
    <t>none</t>
  </si>
  <si>
    <t>Eastern Illinois Area of Special Education</t>
  </si>
  <si>
    <t>0</t>
  </si>
  <si>
    <r>
      <t xml:space="preserve">The accompanying Schedule of Expenditures of Federal Awards includes the federal grant activity of Marshall CUSD 2-C and is presented on the </t>
    </r>
    <r>
      <rPr>
        <b/>
        <sz val="9"/>
        <rFont val="Calibri"/>
        <family val="2"/>
        <scheme val="minor"/>
      </rPr>
      <t>Modified 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</si>
  <si>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X</t>
  </si>
  <si>
    <t>US Dept of Education pass thru from Illinois State Board of Education</t>
  </si>
  <si>
    <t>Total Department of Education</t>
  </si>
  <si>
    <t>84.010A</t>
  </si>
  <si>
    <t>84.027A</t>
  </si>
  <si>
    <t>84.367A</t>
  </si>
  <si>
    <t>Titke I - Low Income (M)</t>
  </si>
  <si>
    <t>4300-2017</t>
  </si>
  <si>
    <t>4300-2018</t>
  </si>
  <si>
    <t>4625-2017</t>
  </si>
  <si>
    <t>4625-2018</t>
  </si>
  <si>
    <t>4932-2017</t>
  </si>
  <si>
    <t>4932-2018</t>
  </si>
  <si>
    <t>US Dept of Education Pass thru from Special Education District</t>
  </si>
  <si>
    <t>IDEA Flow Thru</t>
  </si>
  <si>
    <t>2200-2017</t>
  </si>
  <si>
    <t>2200-2018</t>
  </si>
  <si>
    <t>Medicade Matching</t>
  </si>
  <si>
    <t>4991-2017</t>
  </si>
  <si>
    <t>4991-2018</t>
  </si>
  <si>
    <t>US Dept of HH's pass thru from Illinois Dept of Health and Family Services</t>
  </si>
  <si>
    <t>Total Health and Family Services</t>
  </si>
  <si>
    <t>Total Dept of Education pass thru</t>
  </si>
  <si>
    <t>USDA Pass Thru from Illinois State Department od Efucation Child Nutritioon</t>
  </si>
  <si>
    <t>Non-Cash USDA</t>
  </si>
  <si>
    <t>DOD Fruit and Vegtables</t>
  </si>
  <si>
    <t>School Breakfast</t>
  </si>
  <si>
    <t>Total USDA Child Nutrition Cluster</t>
  </si>
  <si>
    <t>Grand Total</t>
  </si>
  <si>
    <t>4210-2017</t>
  </si>
  <si>
    <t>4210-2018</t>
  </si>
  <si>
    <t>11012002c26</t>
  </si>
  <si>
    <t>4220-2017</t>
  </si>
  <si>
    <t>4220-2018</t>
  </si>
  <si>
    <t>no</t>
  </si>
  <si>
    <t>Unmodified</t>
  </si>
  <si>
    <t>N/A</t>
  </si>
  <si>
    <t>Daughhetee &amp; Parks Management Consulting, P.C.</t>
  </si>
  <si>
    <t>11012002C26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</si>
</sst>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77" fillId="0" borderId="0" xfId="3" applyFont="1" applyProtection="1"/>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2926774</xdr:colOff>
          <xdr:row>4</xdr:row>
          <xdr:rowOff>77932</xdr:rowOff>
        </xdr:from>
        <xdr:to>
          <xdr:col>1</xdr:col>
          <xdr:colOff>3879109</xdr:colOff>
          <xdr:row>8</xdr:row>
          <xdr:rowOff>147204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2076</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2076</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t="s">
        <v>2143</v>
      </c>
      <c r="B13" s="2037"/>
      <c r="C13" s="2037"/>
      <c r="D13" s="2037"/>
      <c r="E13" s="2037"/>
      <c r="F13" s="2037"/>
      <c r="G13" s="2037"/>
      <c r="H13" s="2038"/>
      <c r="I13" s="31"/>
      <c r="J13" s="30"/>
      <c r="K13" s="28"/>
      <c r="L13" s="30"/>
      <c r="M13" s="30"/>
      <c r="N13" s="30"/>
      <c r="O13" s="30"/>
      <c r="P13" s="30"/>
      <c r="Q13" s="30"/>
      <c r="R13" s="30"/>
      <c r="S13" s="30"/>
      <c r="T13" s="2041" t="s">
        <v>2086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2077</v>
      </c>
      <c r="B15" s="2039"/>
      <c r="C15" s="2039"/>
      <c r="D15" s="2039"/>
      <c r="E15" s="2039"/>
      <c r="F15" s="2039"/>
      <c r="G15" s="2039"/>
      <c r="H15" s="2040"/>
      <c r="T15" s="2045" t="s">
        <v>2087</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2078</v>
      </c>
      <c r="B17" s="1996"/>
      <c r="C17" s="1996"/>
      <c r="D17" s="1996"/>
      <c r="E17" s="1996"/>
      <c r="F17" s="1996"/>
      <c r="G17" s="1996"/>
      <c r="H17" s="2021"/>
      <c r="T17" s="2052" t="s">
        <v>2088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2089</v>
      </c>
      <c r="U19" s="1960"/>
      <c r="V19" s="1960"/>
      <c r="W19" s="1961"/>
      <c r="X19" s="2050" t="s">
        <v>2090</v>
      </c>
      <c r="Y19" s="2051"/>
      <c r="Z19" s="2048">
        <v>61832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2091</v>
      </c>
      <c r="U21" s="2060"/>
      <c r="V21" s="2060"/>
      <c r="W21" s="2060"/>
      <c r="X21" s="2065" t="s">
        <v>2092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t="s">
        <v>2093</v>
      </c>
      <c r="U23" s="2058"/>
      <c r="V23" s="2058"/>
      <c r="W23" s="2058"/>
      <c r="X23" s="2062">
        <v>43373</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62441</v>
      </c>
      <c r="B25" s="1960"/>
      <c r="C25" s="1960"/>
      <c r="D25" s="1960"/>
      <c r="E25" s="1960"/>
      <c r="F25" s="1960"/>
      <c r="G25" s="1960"/>
      <c r="H25" s="1961"/>
      <c r="I25" s="113"/>
      <c r="J25" s="1984"/>
      <c r="K25" s="1984"/>
      <c r="L25" s="1984"/>
      <c r="M25" s="1984"/>
      <c r="N25" s="1984"/>
      <c r="O25" s="1984"/>
      <c r="P25" s="1984"/>
      <c r="Q25" s="1984"/>
      <c r="R25" s="1984"/>
      <c r="S25" s="1985"/>
      <c r="T25" s="2055" t="s">
        <v>2094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2076</v>
      </c>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2083</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2084</v>
      </c>
      <c r="B42" s="1979"/>
      <c r="C42" s="1980"/>
      <c r="D42" s="1978" t="s">
        <v>2085</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8" sqref="E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2098782</v>
      </c>
      <c r="C4" s="1546"/>
      <c r="D4" s="1774">
        <f>B4-C4</f>
        <v>2098782</v>
      </c>
      <c r="E4" s="1546">
        <v>2246134</v>
      </c>
      <c r="F4" s="1774">
        <f>E4-C4</f>
        <v>2246134</v>
      </c>
    </row>
    <row r="5" spans="1:6" ht="13.7" customHeight="1" x14ac:dyDescent="0.2">
      <c r="A5" s="716" t="s">
        <v>925</v>
      </c>
      <c r="B5" s="1772">
        <f>'Revenues 9-14'!D5</f>
        <v>570323</v>
      </c>
      <c r="C5" s="585"/>
      <c r="D5" s="1775">
        <f t="shared" ref="D5:D18" si="0">B5-C5</f>
        <v>570323</v>
      </c>
      <c r="E5" s="585">
        <v>610363</v>
      </c>
      <c r="F5" s="1775">
        <f>E5-C5</f>
        <v>610363</v>
      </c>
    </row>
    <row r="6" spans="1:6" ht="13.7" customHeight="1" x14ac:dyDescent="0.2">
      <c r="A6" s="716" t="s">
        <v>431</v>
      </c>
      <c r="B6" s="1772">
        <f>'Revenues 9-14'!E5</f>
        <v>552416</v>
      </c>
      <c r="C6" s="585"/>
      <c r="D6" s="1775">
        <f t="shared" si="0"/>
        <v>552416</v>
      </c>
      <c r="E6" s="585">
        <v>568858</v>
      </c>
      <c r="F6" s="1775">
        <f t="shared" ref="F6:F18" si="1">E6-C6</f>
        <v>568858</v>
      </c>
    </row>
    <row r="7" spans="1:6" ht="13.7" customHeight="1" x14ac:dyDescent="0.2">
      <c r="A7" s="716" t="s">
        <v>157</v>
      </c>
      <c r="B7" s="1772">
        <f>'Revenues 9-14'!F5</f>
        <v>228131</v>
      </c>
      <c r="C7" s="585"/>
      <c r="D7" s="1775">
        <f t="shared" si="0"/>
        <v>228131</v>
      </c>
      <c r="E7" s="585">
        <v>244145</v>
      </c>
      <c r="F7" s="1775">
        <f t="shared" si="1"/>
        <v>244145</v>
      </c>
    </row>
    <row r="8" spans="1:6" ht="13.7" customHeight="1" x14ac:dyDescent="0.2">
      <c r="A8" s="716" t="s">
        <v>1241</v>
      </c>
      <c r="B8" s="1772">
        <f>'Revenues 9-14'!G5</f>
        <v>249232</v>
      </c>
      <c r="C8" s="585"/>
      <c r="D8" s="1775">
        <f t="shared" si="0"/>
        <v>249232</v>
      </c>
      <c r="E8" s="585">
        <v>107790</v>
      </c>
      <c r="F8" s="1775">
        <f t="shared" si="1"/>
        <v>107790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57033</v>
      </c>
      <c r="C10" s="585"/>
      <c r="D10" s="1775">
        <f t="shared" si="0"/>
        <v>57033</v>
      </c>
      <c r="E10" s="585">
        <v>61036</v>
      </c>
      <c r="F10" s="1775">
        <f t="shared" si="1"/>
        <v>61036</v>
      </c>
    </row>
    <row r="11" spans="1:6" x14ac:dyDescent="0.2">
      <c r="A11" s="716" t="s">
        <v>429</v>
      </c>
      <c r="B11" s="1772">
        <f>'Revenues 9-14'!J5</f>
        <v>199385</v>
      </c>
      <c r="C11" s="585"/>
      <c r="D11" s="1775">
        <f t="shared" si="0"/>
        <v>199385</v>
      </c>
      <c r="E11" s="585">
        <v>210453</v>
      </c>
      <c r="F11" s="1775">
        <f t="shared" si="1"/>
        <v>210453</v>
      </c>
    </row>
    <row r="12" spans="1:6" ht="13.7" customHeight="1" x14ac:dyDescent="0.2">
      <c r="A12" s="716" t="s">
        <v>159</v>
      </c>
      <c r="B12" s="1772">
        <f>'Revenues 9-14'!K5</f>
        <v>57033</v>
      </c>
      <c r="C12" s="585"/>
      <c r="D12" s="1775">
        <f t="shared" si="0"/>
        <v>57033</v>
      </c>
      <c r="E12" s="585">
        <v>61036</v>
      </c>
      <c r="F12" s="1775">
        <f t="shared" si="1"/>
        <v>61036</v>
      </c>
    </row>
    <row r="13" spans="1:6" ht="13.7" customHeight="1" x14ac:dyDescent="0.2">
      <c r="A13" s="716" t="s">
        <v>993</v>
      </c>
      <c r="B13" s="1772">
        <f>SUM('Revenues 9-14'!C6:D6)</f>
        <v>57033</v>
      </c>
      <c r="C13" s="585"/>
      <c r="D13" s="1775">
        <f t="shared" si="0"/>
        <v>57033</v>
      </c>
      <c r="E13" s="585">
        <v>61036</v>
      </c>
      <c r="F13" s="1775">
        <f t="shared" si="1"/>
        <v>61036</v>
      </c>
    </row>
    <row r="14" spans="1:6" ht="13.7" customHeight="1" x14ac:dyDescent="0.2">
      <c r="A14" s="716" t="s">
        <v>430</v>
      </c>
      <c r="B14" s="1772">
        <f>SUM('Revenues 9-14'!C7:D7,'Revenues 9-14'!F7:H7)</f>
        <v>45283</v>
      </c>
      <c r="C14" s="585"/>
      <c r="D14" s="1775">
        <f t="shared" si="0"/>
        <v>45283</v>
      </c>
      <c r="E14" s="585">
        <v>48829</v>
      </c>
      <c r="F14" s="1775">
        <f t="shared" si="1"/>
        <v>48829</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99695</v>
      </c>
      <c r="C16" s="585"/>
      <c r="D16" s="1775">
        <f t="shared" si="0"/>
        <v>99695</v>
      </c>
      <c r="E16" s="585">
        <v>261723</v>
      </c>
      <c r="F16" s="1775">
        <f t="shared" si="1"/>
        <v>261723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4214346</v>
      </c>
      <c r="C19" s="1773">
        <f>SUM(C4:C18)</f>
        <v>0</v>
      </c>
      <c r="D19" s="1773">
        <f>SUM(D4:D18)</f>
        <v>4214346</v>
      </c>
      <c r="E19" s="1773">
        <f>SUM(E4:E18)</f>
        <v>4481403</v>
      </c>
      <c r="F19" s="1773">
        <f>SUM(F4:F18)</f>
        <v>4481403</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K49" sqref="K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1904</v>
      </c>
      <c r="B2" s="2229"/>
      <c r="C2" s="1909" t="s">
        <v>2037</v>
      </c>
      <c r="D2" s="724" t="s">
        <v>2044</v>
      </c>
      <c r="E2" s="724" t="s">
        <v>2045</v>
      </c>
      <c r="F2" s="1909" t="s">
        <v>2038</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2039</v>
      </c>
      <c r="F30" s="1910" t="s">
        <v>2040</v>
      </c>
      <c r="G30" s="1910" t="s">
        <v>2043</v>
      </c>
      <c r="H30" s="1910" t="s">
        <v>2041</v>
      </c>
      <c r="I30" s="1910" t="s">
        <v>2042</v>
      </c>
      <c r="J30" s="1911" t="s">
        <v>2</v>
      </c>
      <c r="K30" s="732"/>
    </row>
    <row r="31" spans="1:11" ht="12" customHeight="1" x14ac:dyDescent="0.2">
      <c r="A31" s="733" t="s">
        <v>2096</v>
      </c>
      <c r="B31" s="734">
        <v>41346</v>
      </c>
      <c r="C31" s="735">
        <v>2459500</v>
      </c>
      <c r="D31" s="736">
        <v>3</v>
      </c>
      <c r="E31" s="735">
        <v>1523893</v>
      </c>
      <c r="F31" s="735"/>
      <c r="G31" s="735"/>
      <c r="H31" s="735">
        <v>241993</v>
      </c>
      <c r="I31" s="1778">
        <f>((E31+F31)-H31)+G31</f>
        <v>1281900</v>
      </c>
      <c r="J31" s="735">
        <v>1281900</v>
      </c>
      <c r="K31" s="737"/>
    </row>
    <row r="32" spans="1:11" ht="12" customHeight="1" x14ac:dyDescent="0.2">
      <c r="A32" s="733" t="s">
        <v>2097</v>
      </c>
      <c r="B32" s="734">
        <v>41347</v>
      </c>
      <c r="C32" s="735">
        <v>2465000</v>
      </c>
      <c r="D32" s="736">
        <v>4</v>
      </c>
      <c r="E32" s="735">
        <v>2465000</v>
      </c>
      <c r="F32" s="735"/>
      <c r="G32" s="735"/>
      <c r="H32" s="735">
        <v>1380000</v>
      </c>
      <c r="I32" s="1778">
        <f>((E32+F32)-H32)+G32</f>
        <v>1085000</v>
      </c>
      <c r="J32" s="735">
        <v>1085000</v>
      </c>
      <c r="K32" s="737"/>
    </row>
    <row r="33" spans="1:11" ht="12" customHeight="1" x14ac:dyDescent="0.2">
      <c r="A33" s="733" t="s">
        <v>2098</v>
      </c>
      <c r="B33" s="734">
        <v>43167</v>
      </c>
      <c r="C33" s="735">
        <v>1500400</v>
      </c>
      <c r="D33" s="736">
        <v>3</v>
      </c>
      <c r="E33" s="735"/>
      <c r="F33" s="735">
        <v>1500400</v>
      </c>
      <c r="G33" s="735"/>
      <c r="H33" s="735"/>
      <c r="I33" s="1778">
        <f t="shared" ref="I33:I48" si="1">((E33+F33)-H33)+G33</f>
        <v>1500400</v>
      </c>
      <c r="J33" s="735">
        <v>1500400</v>
      </c>
      <c r="K33" s="737"/>
    </row>
    <row r="34" spans="1:11" ht="12" customHeight="1" x14ac:dyDescent="0.2">
      <c r="A34" s="733" t="s">
        <v>2099</v>
      </c>
      <c r="B34" s="734">
        <v>43167</v>
      </c>
      <c r="C34" s="735">
        <v>1936500</v>
      </c>
      <c r="D34" s="736">
        <v>1</v>
      </c>
      <c r="E34" s="735"/>
      <c r="F34" s="735">
        <v>1936500</v>
      </c>
      <c r="G34" s="735"/>
      <c r="H34" s="735"/>
      <c r="I34" s="1778">
        <f t="shared" si="1"/>
        <v>1936500</v>
      </c>
      <c r="J34" s="735">
        <v>1936500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8361400</v>
      </c>
      <c r="D49" s="746"/>
      <c r="E49" s="1778">
        <f t="shared" ref="E49:J49" si="2">SUM(E31:E48)</f>
        <v>3988893</v>
      </c>
      <c r="F49" s="1778">
        <f t="shared" si="2"/>
        <v>3436900</v>
      </c>
      <c r="G49" s="1778">
        <f t="shared" si="2"/>
        <v>0</v>
      </c>
      <c r="H49" s="1778">
        <f t="shared" si="2"/>
        <v>1621993</v>
      </c>
      <c r="I49" s="1778">
        <f t="shared" si="2"/>
        <v>5803800</v>
      </c>
      <c r="J49" s="1778">
        <f t="shared" si="2"/>
        <v>5803800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40" sqref="J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1918</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1919</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1915</v>
      </c>
      <c r="B19" s="2244"/>
      <c r="C19" s="2244"/>
      <c r="D19" s="2244"/>
      <c r="E19" s="2245"/>
      <c r="F19" s="790" t="s">
        <v>990</v>
      </c>
      <c r="G19" s="783"/>
      <c r="H19" s="783"/>
      <c r="I19" s="783"/>
      <c r="J19" s="766"/>
      <c r="K19" s="796"/>
    </row>
    <row r="20" spans="1:11" x14ac:dyDescent="0.2">
      <c r="A20" s="2246" t="s">
        <v>1920</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1921</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2025</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E1" colorId="8" zoomScale="110" zoomScaleNormal="110" workbookViewId="0">
      <selection activeCell="H14" sqref="H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101299</v>
      </c>
      <c r="D5" s="842"/>
      <c r="E5" s="842"/>
      <c r="F5" s="1782">
        <f>(C5+D5)-E5</f>
        <v>101299</v>
      </c>
      <c r="G5" s="838"/>
      <c r="H5" s="843"/>
      <c r="I5" s="843"/>
      <c r="J5" s="843"/>
      <c r="K5" s="794"/>
      <c r="L5" s="1791">
        <f>F5-K5</f>
        <v>101299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13984056</v>
      </c>
      <c r="D8" s="845">
        <v>56433</v>
      </c>
      <c r="E8" s="845"/>
      <c r="F8" s="1782">
        <f>(C8+D8)-E8</f>
        <v>14040489</v>
      </c>
      <c r="G8" s="844">
        <v>50</v>
      </c>
      <c r="H8" s="766">
        <v>6869946</v>
      </c>
      <c r="I8" s="766">
        <v>339945</v>
      </c>
      <c r="J8" s="766"/>
      <c r="K8" s="1791">
        <f>(H8+I8)-J8</f>
        <v>7209891</v>
      </c>
      <c r="L8" s="1791">
        <f>F8-K8</f>
        <v>6830598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275112</v>
      </c>
      <c r="D10" s="847"/>
      <c r="E10" s="847"/>
      <c r="F10" s="1786">
        <f>(C10+D10)-E10</f>
        <v>275112</v>
      </c>
      <c r="G10" s="844">
        <v>20</v>
      </c>
      <c r="H10" s="848">
        <v>274460</v>
      </c>
      <c r="I10" s="848">
        <v>176</v>
      </c>
      <c r="J10" s="848"/>
      <c r="K10" s="1791">
        <f>(H10+I10)-J10</f>
        <v>274636</v>
      </c>
      <c r="L10" s="1791">
        <f>F10-K10</f>
        <v>476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807201</v>
      </c>
      <c r="D12" s="845">
        <v>19933</v>
      </c>
      <c r="E12" s="845"/>
      <c r="F12" s="1782">
        <f>(C12+D12)-E12</f>
        <v>827134</v>
      </c>
      <c r="G12" s="844">
        <v>10</v>
      </c>
      <c r="H12" s="766">
        <v>632552</v>
      </c>
      <c r="I12" s="766">
        <v>63862</v>
      </c>
      <c r="J12" s="766"/>
      <c r="K12" s="1791">
        <f>(H12+I12)-J12</f>
        <v>696414</v>
      </c>
      <c r="L12" s="1791">
        <f>F12-K12</f>
        <v>130720</v>
      </c>
    </row>
    <row r="13" spans="1:14" ht="14.25" thickTop="1" thickBot="1" x14ac:dyDescent="0.25">
      <c r="A13" s="849" t="s">
        <v>1184</v>
      </c>
      <c r="B13" s="841">
        <v>252</v>
      </c>
      <c r="C13" s="845">
        <v>307034</v>
      </c>
      <c r="D13" s="845">
        <v>29449</v>
      </c>
      <c r="E13" s="845"/>
      <c r="F13" s="1782">
        <f>(C13+D13)-E13</f>
        <v>336483</v>
      </c>
      <c r="G13" s="844">
        <v>5</v>
      </c>
      <c r="H13" s="766">
        <f>252015+21106</f>
        <v>273121</v>
      </c>
      <c r="I13" s="766">
        <v>19792</v>
      </c>
      <c r="J13" s="766"/>
      <c r="K13" s="1791">
        <f>(H13+I13)-J13</f>
        <v>292913</v>
      </c>
      <c r="L13" s="1791">
        <f>F13-K13</f>
        <v>43570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993113</v>
      </c>
      <c r="E15" s="845"/>
      <c r="F15" s="1782">
        <f>(C15+D15)-E15</f>
        <v>993113</v>
      </c>
      <c r="G15" s="850" t="s">
        <v>917</v>
      </c>
      <c r="H15" s="782"/>
      <c r="I15" s="782"/>
      <c r="J15" s="782"/>
      <c r="K15" s="782"/>
      <c r="L15" s="1791">
        <f>F15-K15</f>
        <v>993113</v>
      </c>
    </row>
    <row r="16" spans="1:14" ht="15" customHeight="1" thickTop="1" thickBot="1" x14ac:dyDescent="0.25">
      <c r="A16" s="1787" t="s">
        <v>664</v>
      </c>
      <c r="B16" s="1788">
        <v>200</v>
      </c>
      <c r="C16" s="1782">
        <f>SUM(C3,C5:C6,C8:C10,C12:C15)</f>
        <v>15474702</v>
      </c>
      <c r="D16" s="1782">
        <f>SUM(D3,D5:D6,D8:D10,D12:D15)</f>
        <v>1098928</v>
      </c>
      <c r="E16" s="1782">
        <f>SUM(E3,E5:E6,E8:E10,E12:E15)</f>
        <v>0</v>
      </c>
      <c r="F16" s="1782">
        <f>SUM(F3,F5:F6,F8:F10,F12:F15)</f>
        <v>16573630</v>
      </c>
      <c r="G16" s="844"/>
      <c r="H16" s="1782">
        <f>SUM(H3,H6,H8:H10,H12:H14,)</f>
        <v>8050079</v>
      </c>
      <c r="I16" s="1782">
        <f>SUM(I3,I6,I8:I10,I12:I14,)</f>
        <v>423775</v>
      </c>
      <c r="J16" s="1782">
        <f>SUM(J3,J6,J8:J10,J12:J14,)</f>
        <v>0</v>
      </c>
      <c r="K16" s="1782">
        <f>(H16+I16)-J16</f>
        <v>8473854</v>
      </c>
      <c r="L16" s="1782">
        <f>F16-K16</f>
        <v>8099776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53972</v>
      </c>
      <c r="G17" s="838">
        <v>10</v>
      </c>
      <c r="H17" s="770"/>
      <c r="I17" s="1791">
        <f>F17/G17</f>
        <v>5397.2</v>
      </c>
      <c r="J17" s="770"/>
      <c r="K17" s="796"/>
      <c r="L17" s="796"/>
    </row>
    <row r="18" spans="1:12" ht="14.25" thickTop="1" thickBot="1" x14ac:dyDescent="0.25">
      <c r="A18" s="1789" t="s">
        <v>706</v>
      </c>
      <c r="B18" s="1790"/>
      <c r="C18" s="772"/>
      <c r="D18" s="772"/>
      <c r="E18" s="772"/>
      <c r="F18" s="851"/>
      <c r="G18" s="852"/>
      <c r="H18" s="774"/>
      <c r="I18" s="1782">
        <f>SUM(I16,I17)</f>
        <v>429172.2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9109305</v>
      </c>
      <c r="G8" s="866"/>
    </row>
    <row r="9" spans="1:7" x14ac:dyDescent="0.2">
      <c r="A9" s="870" t="s">
        <v>480</v>
      </c>
      <c r="B9" s="871" t="s">
        <v>1988</v>
      </c>
      <c r="C9" s="872"/>
      <c r="D9" s="870" t="s">
        <v>522</v>
      </c>
      <c r="E9" s="869"/>
      <c r="F9" s="1935">
        <f>'Expenditures 15-22'!K151</f>
        <v>1552398</v>
      </c>
      <c r="G9" s="873"/>
    </row>
    <row r="10" spans="1:7" x14ac:dyDescent="0.2">
      <c r="A10" s="870" t="s">
        <v>520</v>
      </c>
      <c r="B10" s="871" t="s">
        <v>1989</v>
      </c>
      <c r="C10" s="872"/>
      <c r="D10" s="870" t="s">
        <v>522</v>
      </c>
      <c r="E10" s="869"/>
      <c r="F10" s="1935">
        <f>'Expenditures 15-22'!K174</f>
        <v>2062727</v>
      </c>
      <c r="G10" s="873"/>
    </row>
    <row r="11" spans="1:7" x14ac:dyDescent="0.2">
      <c r="A11" s="870" t="s">
        <v>481</v>
      </c>
      <c r="B11" s="871" t="s">
        <v>1990</v>
      </c>
      <c r="C11" s="872"/>
      <c r="D11" s="870" t="s">
        <v>522</v>
      </c>
      <c r="E11" s="869"/>
      <c r="F11" s="1935">
        <f>'Expenditures 15-22'!K210</f>
        <v>686624</v>
      </c>
      <c r="G11" s="873"/>
    </row>
    <row r="12" spans="1:7" x14ac:dyDescent="0.2">
      <c r="A12" s="870" t="s">
        <v>482</v>
      </c>
      <c r="B12" s="871" t="s">
        <v>1991</v>
      </c>
      <c r="C12" s="872"/>
      <c r="D12" s="870" t="s">
        <v>522</v>
      </c>
      <c r="E12" s="869"/>
      <c r="F12" s="1935">
        <f>'Expenditures 15-22'!K295</f>
        <v>348874</v>
      </c>
      <c r="G12" s="873"/>
    </row>
    <row r="13" spans="1:7" x14ac:dyDescent="0.2">
      <c r="A13" s="870" t="s">
        <v>108</v>
      </c>
      <c r="B13" s="871" t="s">
        <v>1992</v>
      </c>
      <c r="C13" s="872"/>
      <c r="D13" s="870" t="s">
        <v>522</v>
      </c>
      <c r="E13" s="869"/>
      <c r="F13" s="1935">
        <f>'Expenditures 15-22'!K342</f>
        <v>198414</v>
      </c>
      <c r="G13" s="874"/>
    </row>
    <row r="14" spans="1:7" ht="12" customHeight="1" thickBot="1" x14ac:dyDescent="0.25">
      <c r="A14" s="1792"/>
      <c r="B14" s="1793"/>
      <c r="C14" s="1794"/>
      <c r="D14" s="1795" t="s">
        <v>522</v>
      </c>
      <c r="E14" s="1796" t="s">
        <v>1015</v>
      </c>
      <c r="F14" s="1797">
        <f>SUM(F8:F13)</f>
        <v>13958342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101884</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360110</v>
      </c>
      <c r="G53" s="866"/>
    </row>
    <row r="54" spans="1:7" x14ac:dyDescent="0.2">
      <c r="A54" s="870" t="s">
        <v>479</v>
      </c>
      <c r="B54" s="870" t="s">
        <v>1552</v>
      </c>
      <c r="C54" s="890" t="s">
        <v>1039</v>
      </c>
      <c r="D54" s="886" t="s">
        <v>1157</v>
      </c>
      <c r="E54" s="869"/>
      <c r="F54" s="1939">
        <f>'Expenditures 15-22'!G114</f>
        <v>21637</v>
      </c>
      <c r="G54" s="866"/>
    </row>
    <row r="55" spans="1:7" x14ac:dyDescent="0.2">
      <c r="A55" s="870" t="s">
        <v>479</v>
      </c>
      <c r="B55" s="870" t="s">
        <v>1553</v>
      </c>
      <c r="C55" s="890" t="s">
        <v>1039</v>
      </c>
      <c r="D55" s="886" t="s">
        <v>309</v>
      </c>
      <c r="E55" s="869"/>
      <c r="F55" s="1939">
        <f>'Expenditures 15-22'!I114</f>
        <v>7795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1057556</v>
      </c>
      <c r="G58" s="866"/>
    </row>
    <row r="59" spans="1:7" x14ac:dyDescent="0.2">
      <c r="A59" s="894" t="s">
        <v>480</v>
      </c>
      <c r="B59" s="857" t="s">
        <v>1995</v>
      </c>
      <c r="C59" s="895" t="s">
        <v>1039</v>
      </c>
      <c r="D59" s="857" t="s">
        <v>309</v>
      </c>
      <c r="F59" s="1942">
        <f>'Expenditures 15-22'!I151</f>
        <v>22257</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1621993</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3193232</v>
      </c>
      <c r="G76" s="866"/>
    </row>
    <row r="77" spans="1:8" s="894" customFormat="1" ht="12" customHeight="1" thickTop="1" thickBot="1" x14ac:dyDescent="0.25">
      <c r="A77" s="1801"/>
      <c r="B77" s="1798"/>
      <c r="C77" s="1794"/>
      <c r="D77" s="1799" t="s">
        <v>2011</v>
      </c>
      <c r="E77" s="1796"/>
      <c r="F77" s="1802">
        <f>(F14-F76)</f>
        <v>10765110</v>
      </c>
      <c r="G77" s="870"/>
    </row>
    <row r="78" spans="1:8" s="894" customFormat="1" ht="12" customHeight="1" thickTop="1" x14ac:dyDescent="0.2">
      <c r="A78" s="1803"/>
      <c r="B78" s="1798"/>
      <c r="C78" s="1794"/>
      <c r="D78" s="1799" t="s">
        <v>2058</v>
      </c>
      <c r="E78" s="1796"/>
      <c r="F78" s="899">
        <v>1220.8699999999999</v>
      </c>
      <c r="G78" s="900"/>
      <c r="H78" s="870"/>
    </row>
    <row r="79" spans="1:8" s="894" customFormat="1" ht="12" customHeight="1" thickBot="1" x14ac:dyDescent="0.25">
      <c r="A79" s="1804"/>
      <c r="B79" s="1798"/>
      <c r="C79" s="1794"/>
      <c r="D79" s="1799" t="s">
        <v>2012</v>
      </c>
      <c r="E79" s="1796" t="s">
        <v>1015</v>
      </c>
      <c r="F79" s="1805">
        <f>IF(F78&gt;0,F77/F78," Complete Line 78")</f>
        <v>8817.5727145396322</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6356</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140886</v>
      </c>
      <c r="G94" s="913"/>
    </row>
    <row r="95" spans="1:7" x14ac:dyDescent="0.2">
      <c r="A95" s="909" t="s">
        <v>142</v>
      </c>
      <c r="B95" s="909" t="s">
        <v>177</v>
      </c>
      <c r="C95" s="911">
        <v>1700</v>
      </c>
      <c r="D95" s="919" t="str">
        <f>'Revenues 9-14'!A82</f>
        <v>Total District/School Activity Income</v>
      </c>
      <c r="E95" s="907"/>
      <c r="F95" s="1811">
        <f>SUM('Revenues 9-14'!C82,'Revenues 9-14'!D82)</f>
        <v>52946</v>
      </c>
      <c r="G95" s="913"/>
    </row>
    <row r="96" spans="1:7" x14ac:dyDescent="0.2">
      <c r="A96" s="909" t="s">
        <v>479</v>
      </c>
      <c r="B96" s="909" t="s">
        <v>178</v>
      </c>
      <c r="C96" s="911">
        <f>'Revenues 9-14'!B84</f>
        <v>1811</v>
      </c>
      <c r="D96" s="912" t="str">
        <f>'Revenues 9-14'!A84</f>
        <v>Rentals - Regular Textbooks</v>
      </c>
      <c r="E96" s="907"/>
      <c r="F96" s="1811">
        <f>'Revenues 9-14'!C84</f>
        <v>55641</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326043</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69012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2990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20312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482696</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1819</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215033</v>
      </c>
      <c r="G129" s="931"/>
    </row>
    <row r="130" spans="1:7" x14ac:dyDescent="0.2">
      <c r="A130" s="928" t="s">
        <v>689</v>
      </c>
      <c r="B130" s="928" t="s">
        <v>804</v>
      </c>
      <c r="C130" s="933">
        <v>4300</v>
      </c>
      <c r="D130" s="934" t="str">
        <f>'Revenues 9-14'!A211</f>
        <v>Total Title I</v>
      </c>
      <c r="E130" s="907"/>
      <c r="F130" s="1811">
        <f>SUM('Revenues 9-14'!C211,'Revenues 9-14'!D211,'Revenues 9-14'!F211,'Revenues 9-14'!G211)</f>
        <v>288136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123904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64162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22055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17123</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1889314</v>
      </c>
    </row>
    <row r="179" spans="1:7" ht="12" customHeight="1" x14ac:dyDescent="0.2">
      <c r="A179" s="1792"/>
      <c r="B179" s="1806"/>
      <c r="C179" s="1807"/>
      <c r="D179" s="1808" t="s">
        <v>2014</v>
      </c>
      <c r="E179" s="1809"/>
      <c r="F179" s="1811">
        <f>'PCTC-OEPP 27-28'!F77-F178</f>
        <v>8875796</v>
      </c>
    </row>
    <row r="180" spans="1:7" ht="12" customHeight="1" x14ac:dyDescent="0.2">
      <c r="A180" s="1792"/>
      <c r="B180" s="1806"/>
      <c r="C180" s="1807"/>
      <c r="D180" s="1808" t="s">
        <v>1923</v>
      </c>
      <c r="E180" s="1809"/>
      <c r="F180" s="1811">
        <f>'Cap Outlay Deprec 26'!I18</f>
        <v>429172.2</v>
      </c>
    </row>
    <row r="181" spans="1:7" ht="12" customHeight="1" x14ac:dyDescent="0.2">
      <c r="A181" s="1792"/>
      <c r="B181" s="1806"/>
      <c r="C181" s="1807"/>
      <c r="D181" s="1808" t="s">
        <v>2015</v>
      </c>
      <c r="E181" s="1809"/>
      <c r="F181" s="1811">
        <f>F179+F180</f>
        <v>9304968.1999999993</v>
      </c>
    </row>
    <row r="182" spans="1:7" ht="12" customHeight="1" x14ac:dyDescent="0.2">
      <c r="A182" s="1792"/>
      <c r="B182" s="1812"/>
      <c r="C182" s="1807"/>
      <c r="D182" s="1808" t="str">
        <f>D78</f>
        <v>9 Month ADA from District Average Daily Attendance/Prior General State Aid Inquiry 2017-2018</v>
      </c>
      <c r="E182" s="1809"/>
      <c r="F182" s="1813">
        <f>'PCTC-OEPP 27-28'!F78</f>
        <v>1220.8699999999999</v>
      </c>
      <c r="G182" s="931"/>
    </row>
    <row r="183" spans="1:7" ht="12" customHeight="1" thickBot="1" x14ac:dyDescent="0.25">
      <c r="A183" s="1792"/>
      <c r="B183" s="1812"/>
      <c r="C183" s="1807"/>
      <c r="D183" s="1808" t="s">
        <v>2016</v>
      </c>
      <c r="E183" s="1809" t="s">
        <v>1626</v>
      </c>
      <c r="F183" s="1814">
        <f>F181/F182</f>
        <v>7621.5880478675044</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2100</v>
      </c>
      <c r="B17" s="1957" t="s">
        <v>2103</v>
      </c>
      <c r="C17" s="1678">
        <v>0</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v>208911</v>
      </c>
      <c r="F10" s="975"/>
      <c r="G10" s="976"/>
      <c r="H10" s="162"/>
      <c r="I10" s="162"/>
    </row>
    <row r="11" spans="1:9" s="669" customFormat="1" ht="22.5" customHeight="1" x14ac:dyDescent="0.2">
      <c r="A11" s="2305" t="s">
        <v>1944</v>
      </c>
      <c r="B11" s="2306"/>
      <c r="C11" s="2306"/>
      <c r="D11" s="2307"/>
      <c r="E11" s="978">
        <v>37446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5373900</v>
      </c>
      <c r="F19" s="1822"/>
      <c r="G19" s="1824">
        <f>'Expenditures 15-22'!K33-SUM('Expenditures 15-22'!G33,'Expenditures 15-22'!I33)+'Expenditures 15-22'!D229</f>
        <v>5373900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378799</v>
      </c>
      <c r="F21" s="1825"/>
      <c r="G21" s="1828">
        <f>'Expenditures 15-22'!K42-SUM('Expenditures 15-22'!G42,'Expenditures 15-22'!I42)+'Expenditures 15-22'!K120-SUM('Expenditures 15-22'!G120,'Expenditures 15-22'!I120)+'Expenditures 15-22'!K180-SUM('Expenditures 15-22'!G180,'Expenditures 15-22'!I180)+'Expenditures 15-22'!D238</f>
        <v>378799</v>
      </c>
      <c r="H21" s="988"/>
      <c r="I21" s="162"/>
    </row>
    <row r="22" spans="1:9" s="669" customFormat="1" ht="12" customHeight="1" x14ac:dyDescent="0.2">
      <c r="A22" s="995" t="s">
        <v>585</v>
      </c>
      <c r="B22" s="996"/>
      <c r="C22" s="994">
        <v>2200</v>
      </c>
      <c r="D22" s="1825"/>
      <c r="E22" s="1827">
        <f>'Expenditures 15-22'!K47-SUM('Expenditures 15-22'!G47,'Expenditures 15-22'!I47)+'Expenditures 15-22'!D243</f>
        <v>597829</v>
      </c>
      <c r="F22" s="1825"/>
      <c r="G22" s="1828">
        <f>'Expenditures 15-22'!K47-SUM('Expenditures 15-22'!G47,'Expenditures 15-22'!I47)+'Expenditures 15-22'!D243</f>
        <v>597829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1373052</v>
      </c>
      <c r="F23" s="1825"/>
      <c r="G23" s="1827">
        <f>'Expenditures 15-22'!K53-SUM('Expenditures 15-22'!G53,'Expenditures 15-22'!I53)+'Expenditures 15-22'!D257+'Expenditures 15-22'!K330-SUM('Expenditures 15-22'!G330,'Expenditures 15-22'!I330)</f>
        <v>1373052</v>
      </c>
      <c r="H23" s="988"/>
      <c r="I23" s="162"/>
    </row>
    <row r="24" spans="1:9" s="669" customFormat="1" ht="12" customHeight="1" x14ac:dyDescent="0.2">
      <c r="A24" s="995" t="s">
        <v>587</v>
      </c>
      <c r="B24" s="996"/>
      <c r="C24" s="994">
        <v>2400</v>
      </c>
      <c r="D24" s="1825"/>
      <c r="E24" s="1827">
        <f>'Expenditures 15-22'!K57-SUM('Expenditures 15-22'!G57,'Expenditures 15-22'!I57)+'Expenditures 15-22'!D261</f>
        <v>616711</v>
      </c>
      <c r="F24" s="1825"/>
      <c r="G24" s="1828">
        <f>'Expenditures 15-22'!K57-SUM('Expenditures 15-22'!G57,'Expenditures 15-22'!I57)+'Expenditures 15-22'!D261</f>
        <v>616711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113370</v>
      </c>
      <c r="E27" s="1827">
        <f>E8</f>
        <v>0</v>
      </c>
      <c r="F27" s="1827">
        <f>'Expenditures 15-22'!K60-SUM('Expenditures 15-22'!G60,'Expenditures 15-22'!I60)+'Expenditures 15-22'!D264-E8</f>
        <v>113370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761437</v>
      </c>
      <c r="F28" s="1829">
        <f>'Expenditures 15-22'!K61-SUM('Expenditures 15-22'!G61,'Expenditures 15-22'!I61)+'Expenditures 15-22'!K124-SUM('Expenditures 15-22'!G124,'Expenditures 15-22'!I124)+'Expenditures 15-22'!D266-E9</f>
        <v>761437</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749590</v>
      </c>
      <c r="F29" s="1825"/>
      <c r="G29" s="1828">
        <f>'Expenditures 15-22'!K62-SUM('Expenditures 15-22'!G62,'Expenditures 15-22'!I62)+'Expenditures 15-22'!K125-SUM('Expenditures 15-22'!G125,'Expenditures 15-22'!I125)+'Expenditures 15-22'!K182-SUM('Expenditures 15-22'!G182,'Expenditures 15-22'!I182)+'Expenditures 15-22'!D267</f>
        <v>749590</v>
      </c>
      <c r="H29" s="986"/>
    </row>
    <row r="30" spans="1:9" ht="12" customHeight="1" x14ac:dyDescent="0.2">
      <c r="A30" s="995" t="s">
        <v>102</v>
      </c>
      <c r="B30" s="998"/>
      <c r="C30" s="994">
        <v>2560</v>
      </c>
      <c r="D30" s="1825"/>
      <c r="E30" s="1827">
        <f>'Expenditures 15-22'!K63-SUM('Expenditures 15-22'!G63,'Expenditures 15-22'!I63)+'Expenditures 15-22'!D268-E10</f>
        <v>252661</v>
      </c>
      <c r="F30" s="1825"/>
      <c r="G30" s="1827">
        <f>'Expenditures 15-22'!K63-SUM('Expenditures 15-22'!G63,'Expenditures 15-22'!I63)+'Expenditures 15-22'!D268-E10</f>
        <v>252661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113370</v>
      </c>
      <c r="E41" s="1829">
        <f>SUM(E19:E40)</f>
        <v>10103979</v>
      </c>
      <c r="F41" s="1829">
        <f>SUM(F19:F39)</f>
        <v>874807</v>
      </c>
      <c r="G41" s="1829">
        <f>SUM(G19:G40)</f>
        <v>9342542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113370</v>
      </c>
      <c r="F43" s="1830" t="s">
        <v>495</v>
      </c>
      <c r="G43" s="1831">
        <f>F41</f>
        <v>874807</v>
      </c>
    </row>
    <row r="44" spans="1:7" ht="12" customHeight="1" x14ac:dyDescent="0.2">
      <c r="A44" s="988"/>
      <c r="B44" s="162"/>
      <c r="C44" s="1002"/>
      <c r="D44" s="1830" t="s">
        <v>494</v>
      </c>
      <c r="E44" s="1831">
        <f>E41</f>
        <v>10103979</v>
      </c>
      <c r="F44" s="1830" t="s">
        <v>494</v>
      </c>
      <c r="G44" s="1831">
        <f>G41</f>
        <v>9342542</v>
      </c>
    </row>
    <row r="45" spans="1:7" ht="12" customHeight="1" x14ac:dyDescent="0.2">
      <c r="A45" s="988"/>
      <c r="B45" s="162"/>
      <c r="C45" s="162"/>
      <c r="D45" s="1832" t="s">
        <v>1063</v>
      </c>
      <c r="E45" s="1833">
        <f>(E43/E44)</f>
        <v>1.1220332108766259E-2</v>
      </c>
      <c r="F45" s="1832" t="s">
        <v>1063</v>
      </c>
      <c r="G45" s="1833">
        <f>(G43/G44)</f>
        <v>9.3636935215276523E-2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2047</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Marshall CUSD C-2</v>
      </c>
      <c r="D6" s="2326"/>
      <c r="E6" s="2326"/>
      <c r="F6" s="1877"/>
    </row>
    <row r="7" spans="1:10" ht="11.25" customHeight="1" thickBot="1" x14ac:dyDescent="0.3">
      <c r="A7" s="1875"/>
      <c r="B7" s="1876"/>
      <c r="C7" s="2327" t="str">
        <f>COVER!A13</f>
        <v>11012002C26</v>
      </c>
      <c r="D7" s="2327"/>
      <c r="E7" s="2327"/>
      <c r="F7" s="1877"/>
    </row>
    <row r="8" spans="1:10" ht="25.5" customHeight="1" thickBot="1" x14ac:dyDescent="0.25">
      <c r="A8" s="1918" t="s">
        <v>2024</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2076</v>
      </c>
      <c r="D26" s="1890" t="s">
        <v>2076</v>
      </c>
      <c r="E26" s="1893" t="s">
        <v>2101</v>
      </c>
      <c r="F26" s="1892" t="s">
        <v>2102</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Marshall CUSD C-2</v>
      </c>
      <c r="J6" s="2336"/>
      <c r="Q6" s="1686"/>
    </row>
    <row r="7" spans="1:17" x14ac:dyDescent="0.2">
      <c r="A7" s="2337" t="s">
        <v>924</v>
      </c>
      <c r="B7" s="2338"/>
      <c r="C7" s="2338"/>
      <c r="D7" s="2338"/>
      <c r="E7" s="2339"/>
      <c r="F7" s="1018"/>
      <c r="G7" s="1010"/>
      <c r="H7" s="1017" t="s">
        <v>390</v>
      </c>
      <c r="I7" s="2340" t="str">
        <f>COVER!A13</f>
        <v>11012002C26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149167</v>
      </c>
      <c r="F12" s="1040"/>
      <c r="G12" s="1834">
        <f t="shared" ref="G12:G18" si="0">SUM(E12:F12)</f>
        <v>149167</v>
      </c>
      <c r="H12" s="1041">
        <v>149314</v>
      </c>
      <c r="I12" s="1040"/>
      <c r="J12" s="1834">
        <f t="shared" ref="J12:J18" si="1">SUM(H12:I12)</f>
        <v>149314</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149167</v>
      </c>
      <c r="F19" s="1836">
        <f t="shared" si="2"/>
        <v>0</v>
      </c>
      <c r="G19" s="1836">
        <f t="shared" si="2"/>
        <v>149167</v>
      </c>
      <c r="H19" s="1836">
        <f t="shared" si="2"/>
        <v>149314</v>
      </c>
      <c r="I19" s="1836">
        <f t="shared" si="2"/>
        <v>0</v>
      </c>
      <c r="J19" s="1836">
        <f t="shared" si="2"/>
        <v>149314</v>
      </c>
    </row>
    <row r="20" spans="1:10" ht="13.5" thickTop="1" x14ac:dyDescent="0.2">
      <c r="A20" s="1036">
        <v>9</v>
      </c>
      <c r="B20" s="2347" t="s">
        <v>1703</v>
      </c>
      <c r="C20" s="2347"/>
      <c r="D20" s="2348"/>
      <c r="E20" s="1047"/>
      <c r="F20" s="1047"/>
      <c r="G20" s="1047"/>
      <c r="H20" s="1047"/>
      <c r="I20" s="1047"/>
      <c r="J20" s="1837">
        <f>IF(AND(G19&gt;0,J19&gt;0),(((J19-G19)/G19)),"Enter Budget Data")</f>
        <v>9.8547265816165781E-4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2095</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Marshall CUSD C-2</v>
      </c>
    </row>
    <row r="65" spans="2:2" x14ac:dyDescent="0.2">
      <c r="B65" s="1071" t="str">
        <f>COVER!A13</f>
        <v>11012002C26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autoPict="0" r:id="rId5">
            <anchor moveWithCells="1">
              <from>
                <xdr:col>1</xdr:col>
                <xdr:colOff>2924175</xdr:colOff>
                <xdr:row>4</xdr:row>
                <xdr:rowOff>76200</xdr:rowOff>
              </from>
              <to>
                <xdr:col>1</xdr:col>
                <xdr:colOff>3876675</xdr:colOff>
                <xdr:row>8</xdr:row>
                <xdr:rowOff>142875</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9722711</v>
      </c>
      <c r="C8" s="1838">
        <f>'Acct Summary 7-8'!D8</f>
        <v>581682</v>
      </c>
      <c r="D8" s="1838">
        <f>'Acct Summary 7-8'!F8</f>
        <v>753161</v>
      </c>
      <c r="E8" s="1838">
        <f>'Acct Summary 7-8'!I8</f>
        <v>57504</v>
      </c>
      <c r="F8" s="1838">
        <f>SUM(B8:E8)</f>
        <v>11115058</v>
      </c>
    </row>
    <row r="9" spans="1:8" s="1080" customFormat="1" ht="14.25" customHeight="1" thickBot="1" x14ac:dyDescent="0.25">
      <c r="A9" s="1079" t="s">
        <v>1436</v>
      </c>
      <c r="B9" s="1839">
        <f>'Acct Summary 7-8'!C17</f>
        <v>9109305</v>
      </c>
      <c r="C9" s="1839">
        <f>'Acct Summary 7-8'!D17</f>
        <v>1552398</v>
      </c>
      <c r="D9" s="1839">
        <f>'Acct Summary 7-8'!F17</f>
        <v>686624</v>
      </c>
      <c r="E9" s="1838"/>
      <c r="F9" s="1838">
        <f>SUM(B9:E9)</f>
        <v>11348327</v>
      </c>
    </row>
    <row r="10" spans="1:8" s="1080" customFormat="1" ht="14.25" thickTop="1" thickBot="1" x14ac:dyDescent="0.25">
      <c r="A10" s="1081" t="s">
        <v>1437</v>
      </c>
      <c r="B10" s="1840">
        <f>(B8-B9)</f>
        <v>613406</v>
      </c>
      <c r="C10" s="1840">
        <f>(C8-C9)</f>
        <v>-970716</v>
      </c>
      <c r="D10" s="1840">
        <f>(D8-D9)</f>
        <v>66537</v>
      </c>
      <c r="E10" s="1839">
        <f>(E8-E9)</f>
        <v>57504</v>
      </c>
      <c r="F10" s="1841">
        <f>SUM(F8-F9)</f>
        <v>-233269</v>
      </c>
    </row>
    <row r="11" spans="1:8" s="1080" customFormat="1" ht="14.25" thickTop="1" thickBot="1" x14ac:dyDescent="0.25">
      <c r="A11" s="1082" t="s">
        <v>1785</v>
      </c>
      <c r="B11" s="1842">
        <f>'Acct Summary 7-8'!C81</f>
        <v>5558959</v>
      </c>
      <c r="C11" s="1842">
        <f>'Acct Summary 7-8'!D81</f>
        <v>1834461</v>
      </c>
      <c r="D11" s="1842">
        <f>'Acct Summary 7-8'!F81</f>
        <v>303619</v>
      </c>
      <c r="E11" s="1842">
        <f>'Acct Summary 7-8'!I81</f>
        <v>0</v>
      </c>
      <c r="F11" s="1843">
        <f>SUM(B11:E11)</f>
        <v>7697039</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11012002C26</v>
      </c>
    </row>
    <row r="3" spans="1:2" x14ac:dyDescent="0.2">
      <c r="A3" t="s">
        <v>1013</v>
      </c>
      <c r="B3" s="138" t="str">
        <f>COVER!A15</f>
        <v>Clark</v>
      </c>
    </row>
    <row r="4" spans="1:2" x14ac:dyDescent="0.2">
      <c r="A4" t="s">
        <v>1064</v>
      </c>
      <c r="B4" s="138" t="str">
        <f>COVER!A17</f>
        <v>Marshall CUSD C-2</v>
      </c>
    </row>
    <row r="5" spans="1:2" x14ac:dyDescent="0.2">
      <c r="A5" t="s">
        <v>728</v>
      </c>
      <c r="B5" s="138" t="str">
        <f>COVER!A38</f>
        <v>Kevin Ross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065-19320</v>
      </c>
    </row>
    <row r="16" spans="1:2" x14ac:dyDescent="0.2">
      <c r="A16" t="s">
        <v>442</v>
      </c>
      <c r="B16" s="138" t="str">
        <f>COVER!T13</f>
        <v>Daughhetee and Parks Management Consulting PX</v>
      </c>
    </row>
    <row r="17" spans="1:2" x14ac:dyDescent="0.2">
      <c r="A17" t="s">
        <v>939</v>
      </c>
      <c r="B17" s="138" t="str">
        <f>COVER!T15</f>
        <v>Phyllis Parks</v>
      </c>
    </row>
    <row r="18" spans="1:2" x14ac:dyDescent="0.2">
      <c r="A18" t="s">
        <v>1212</v>
      </c>
      <c r="B18" s="138" t="str">
        <f>COVER!T17</f>
        <v>2200 Kickapoo Drive Suite A</v>
      </c>
    </row>
    <row r="19" spans="1:2" x14ac:dyDescent="0.2">
      <c r="A19" t="s">
        <v>941</v>
      </c>
      <c r="B19" s="138" t="str">
        <f>COVER!T25</f>
        <v>pparksxpa@gmail.com</v>
      </c>
    </row>
    <row r="20" spans="1:2" x14ac:dyDescent="0.2">
      <c r="A20" t="s">
        <v>942</v>
      </c>
      <c r="B20" s="138" t="str">
        <f>COVER!T19</f>
        <v>Danville</v>
      </c>
    </row>
    <row r="21" spans="1:2" x14ac:dyDescent="0.2">
      <c r="A21" t="s">
        <v>500</v>
      </c>
      <c r="B21" s="138" t="str">
        <f>COVER!X19</f>
        <v>IL</v>
      </c>
    </row>
    <row r="22" spans="1:2" x14ac:dyDescent="0.2">
      <c r="A22" t="s">
        <v>943</v>
      </c>
      <c r="B22" s="138">
        <f>COVER!Z19</f>
        <v>61832</v>
      </c>
    </row>
    <row r="23" spans="1:2" x14ac:dyDescent="0.2">
      <c r="A23" t="s">
        <v>1214</v>
      </c>
      <c r="B23" s="138" t="str">
        <f>COVER!T21</f>
        <v>217-431-2727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5561684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2725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2725</v>
      </c>
      <c r="C91" s="2" t="s">
        <v>594</v>
      </c>
      <c r="D91" s="2" t="str">
        <f t="shared" si="0"/>
        <v>Error?</v>
      </c>
    </row>
    <row r="92" spans="1:4" x14ac:dyDescent="0.2">
      <c r="A92" s="5">
        <v>31</v>
      </c>
      <c r="B92" s="138">
        <f>'Assets-Liab 5-6'!C39</f>
        <v>5558959</v>
      </c>
      <c r="D92" s="2" t="str">
        <f t="shared" si="0"/>
        <v>Error?</v>
      </c>
    </row>
    <row r="93" spans="1:4" x14ac:dyDescent="0.2">
      <c r="A93" s="5">
        <v>32</v>
      </c>
      <c r="B93" s="138">
        <f>'Assets-Liab 5-6'!C41</f>
        <v>5561684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1834672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211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211</v>
      </c>
      <c r="C122" s="2" t="s">
        <v>594</v>
      </c>
      <c r="D122" s="2" t="str">
        <f t="shared" si="0"/>
        <v>Error?</v>
      </c>
    </row>
    <row r="123" spans="1:4" x14ac:dyDescent="0.2">
      <c r="A123" s="5">
        <v>62</v>
      </c>
      <c r="B123" s="138">
        <f>'Assets-Liab 5-6'!D39</f>
        <v>1834461</v>
      </c>
      <c r="D123" s="2" t="str">
        <f t="shared" si="0"/>
        <v>Error?</v>
      </c>
    </row>
    <row r="124" spans="1:4" x14ac:dyDescent="0.2">
      <c r="A124" s="5">
        <v>63</v>
      </c>
      <c r="B124" s="138">
        <f>'Assets-Liab 5-6'!D41</f>
        <v>1834672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66673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66673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304035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416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416</v>
      </c>
      <c r="C169" s="2" t="s">
        <v>594</v>
      </c>
      <c r="D169" s="2" t="str">
        <f t="shared" si="1"/>
        <v>Error?</v>
      </c>
    </row>
    <row r="170" spans="1:4" x14ac:dyDescent="0.2">
      <c r="A170" s="5">
        <v>109</v>
      </c>
      <c r="B170" s="138">
        <f>'Assets-Liab 5-6'!F39</f>
        <v>303619</v>
      </c>
      <c r="D170" s="2" t="str">
        <f t="shared" si="1"/>
        <v>Error?</v>
      </c>
    </row>
    <row r="171" spans="1:4" x14ac:dyDescent="0.2">
      <c r="A171" s="5">
        <v>110</v>
      </c>
      <c r="B171" s="138">
        <f>'Assets-Liab 5-6'!F41</f>
        <v>304035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102776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102776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101299</v>
      </c>
      <c r="D273" s="2" t="str">
        <f t="shared" si="3"/>
        <v>Error?</v>
      </c>
    </row>
    <row r="274" spans="1:4" x14ac:dyDescent="0.2">
      <c r="A274" s="5">
        <v>213</v>
      </c>
      <c r="B274" s="138">
        <f>'Assets-Liab 5-6'!M17</f>
        <v>6831074</v>
      </c>
      <c r="D274" s="2" t="str">
        <f t="shared" si="3"/>
        <v>Error?</v>
      </c>
    </row>
    <row r="275" spans="1:4" x14ac:dyDescent="0.2">
      <c r="A275" s="5">
        <v>214</v>
      </c>
      <c r="B275" s="138">
        <f>'Assets-Liab 5-6'!M18</f>
        <v>0</v>
      </c>
      <c r="D275" s="2" t="str">
        <f t="shared" si="3"/>
        <v>Error?</v>
      </c>
    </row>
    <row r="276" spans="1:4" x14ac:dyDescent="0.2">
      <c r="A276" s="5">
        <v>215</v>
      </c>
      <c r="B276" s="138">
        <f>'Assets-Liab 5-6'!M19</f>
        <v>174290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8099776</v>
      </c>
      <c r="C279" s="2" t="s">
        <v>594</v>
      </c>
      <c r="D279" s="2" t="str">
        <f t="shared" si="3"/>
        <v>Error?</v>
      </c>
    </row>
    <row r="280" spans="1:4" x14ac:dyDescent="0.2">
      <c r="A280" s="5">
        <v>219</v>
      </c>
      <c r="B280" s="138">
        <f>'Assets-Liab 5-6'!M40</f>
        <v>8099776</v>
      </c>
      <c r="D280" s="2" t="str">
        <f t="shared" si="3"/>
        <v>Error?</v>
      </c>
    </row>
    <row r="281" spans="1:4" x14ac:dyDescent="0.2">
      <c r="A281" s="5">
        <v>220</v>
      </c>
      <c r="B281" s="138">
        <f>'Assets-Liab 5-6'!M41</f>
        <v>8099776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5803800</v>
      </c>
      <c r="D283" s="2" t="str">
        <f t="shared" si="3"/>
        <v>Error?</v>
      </c>
    </row>
    <row r="284" spans="1:4" x14ac:dyDescent="0.2">
      <c r="A284" s="5">
        <v>223</v>
      </c>
      <c r="B284" s="138">
        <f>'Assets-Liab 5-6'!N23</f>
        <v>5803800</v>
      </c>
      <c r="C284" s="2" t="s">
        <v>594</v>
      </c>
      <c r="D284" s="2" t="str">
        <f t="shared" si="3"/>
        <v>Error?</v>
      </c>
    </row>
    <row r="285" spans="1:4" x14ac:dyDescent="0.2">
      <c r="A285" s="5">
        <v>224</v>
      </c>
      <c r="B285" s="138">
        <f>'Assets-Liab 5-6'!N36</f>
        <v>5803800</v>
      </c>
      <c r="D285" s="2" t="str">
        <f t="shared" si="3"/>
        <v>Error?</v>
      </c>
    </row>
    <row r="286" spans="1:4" x14ac:dyDescent="0.2">
      <c r="A286" s="10">
        <v>225</v>
      </c>
      <c r="D286" s="2" t="str">
        <f t="shared" si="3"/>
        <v>OK</v>
      </c>
    </row>
    <row r="287" spans="1:4" x14ac:dyDescent="0.2">
      <c r="A287" s="5">
        <v>226</v>
      </c>
      <c r="B287" s="138">
        <f>'Assets-Liab 5-6'!N37</f>
        <v>5803800</v>
      </c>
      <c r="C287" s="2" t="s">
        <v>594</v>
      </c>
      <c r="D287" s="2" t="str">
        <f t="shared" si="3"/>
        <v>Error?</v>
      </c>
    </row>
    <row r="288" spans="1:4" x14ac:dyDescent="0.2">
      <c r="A288" s="5">
        <v>227</v>
      </c>
      <c r="B288" s="138">
        <f>'Assets-Liab 5-6'!N41</f>
        <v>5803800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2006101</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1936500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2731176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288271</v>
      </c>
      <c r="D717" s="2" t="str">
        <f t="shared" si="10"/>
        <v>Error?</v>
      </c>
    </row>
    <row r="718" spans="1:4" x14ac:dyDescent="0.2">
      <c r="A718" s="5">
        <v>657</v>
      </c>
      <c r="B718" s="138">
        <f>'Expenditures 15-22'!C14</f>
        <v>111962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4418839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91265</v>
      </c>
      <c r="D722" s="2" t="str">
        <f t="shared" si="10"/>
        <v>Error?</v>
      </c>
    </row>
    <row r="723" spans="1:4" x14ac:dyDescent="0.2">
      <c r="A723" s="5">
        <v>662</v>
      </c>
      <c r="B723" s="138">
        <f>'Expenditures 15-22'!C38</f>
        <v>76551</v>
      </c>
      <c r="D723" s="2" t="str">
        <f t="shared" si="10"/>
        <v>Error?</v>
      </c>
    </row>
    <row r="724" spans="1:4" x14ac:dyDescent="0.2">
      <c r="A724" s="5">
        <v>663</v>
      </c>
      <c r="B724" s="138">
        <f>'Expenditures 15-22'!C39</f>
        <v>123935</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291751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295841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295841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119423</v>
      </c>
      <c r="D733" s="2" t="str">
        <f t="shared" si="10"/>
        <v>Error?</v>
      </c>
    </row>
    <row r="734" spans="1:4" x14ac:dyDescent="0.2">
      <c r="A734" s="5">
        <v>673</v>
      </c>
      <c r="B734" s="138">
        <f>'Expenditures 15-22'!C53</f>
        <v>119423</v>
      </c>
      <c r="C734" s="2" t="s">
        <v>594</v>
      </c>
      <c r="D734" s="2" t="str">
        <f t="shared" si="10"/>
        <v>Error?</v>
      </c>
    </row>
    <row r="735" spans="1:4" x14ac:dyDescent="0.2">
      <c r="A735" s="5">
        <v>674</v>
      </c>
      <c r="B735" s="138">
        <f>'Expenditures 15-22'!C55</f>
        <v>516852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516852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70753</v>
      </c>
      <c r="D739" s="2" t="str">
        <f t="shared" si="10"/>
        <v>Error?</v>
      </c>
    </row>
    <row r="740" spans="1:4" x14ac:dyDescent="0.2">
      <c r="A740" s="5">
        <v>679</v>
      </c>
      <c r="B740" s="138">
        <f>'Expenditures 15-22'!C61</f>
        <v>48159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193768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312680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1536547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5955386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324748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31269</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551322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8758</v>
      </c>
      <c r="D780" s="2" t="str">
        <f t="shared" si="11"/>
        <v>Error?</v>
      </c>
    </row>
    <row r="781" spans="1:4" x14ac:dyDescent="0.2">
      <c r="A781" s="5">
        <v>720</v>
      </c>
      <c r="B781" s="138">
        <f>'Expenditures 15-22'!D38</f>
        <v>8723</v>
      </c>
      <c r="D781" s="2" t="str">
        <f t="shared" si="11"/>
        <v>Error?</v>
      </c>
    </row>
    <row r="782" spans="1:4" x14ac:dyDescent="0.2">
      <c r="A782" s="5">
        <v>721</v>
      </c>
      <c r="B782" s="138">
        <f>'Expenditures 15-22'!D39</f>
        <v>8758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26239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22997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22997</v>
      </c>
      <c r="C789" s="2" t="s">
        <v>594</v>
      </c>
      <c r="D789" s="2" t="str">
        <f t="shared" si="11"/>
        <v>Error?</v>
      </c>
    </row>
    <row r="790" spans="1:4" x14ac:dyDescent="0.2">
      <c r="A790" s="5">
        <v>729</v>
      </c>
      <c r="B790" s="138">
        <f>'Expenditures 15-22'!D49</f>
        <v>685693</v>
      </c>
      <c r="D790" s="2" t="str">
        <f t="shared" si="11"/>
        <v>Error?</v>
      </c>
    </row>
    <row r="791" spans="1:4" x14ac:dyDescent="0.2">
      <c r="A791" s="5">
        <v>730</v>
      </c>
      <c r="B791" s="138">
        <f>'Expenditures 15-22'!D50</f>
        <v>29019</v>
      </c>
      <c r="D791" s="2" t="str">
        <f t="shared" si="11"/>
        <v>Error?</v>
      </c>
    </row>
    <row r="792" spans="1:4" x14ac:dyDescent="0.2">
      <c r="A792" s="5">
        <v>731</v>
      </c>
      <c r="B792" s="138">
        <f>'Expenditures 15-22'!D53</f>
        <v>714712</v>
      </c>
      <c r="C792" s="2" t="s">
        <v>594</v>
      </c>
      <c r="D792" s="2" t="str">
        <f t="shared" si="11"/>
        <v>Error?</v>
      </c>
    </row>
    <row r="793" spans="1:4" x14ac:dyDescent="0.2">
      <c r="A793" s="5">
        <v>732</v>
      </c>
      <c r="B793" s="138">
        <f>'Expenditures 15-22'!D55</f>
        <v>67637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67637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15185</v>
      </c>
      <c r="D797" s="2" t="str">
        <f t="shared" si="11"/>
        <v>Error?</v>
      </c>
    </row>
    <row r="798" spans="1:4" x14ac:dyDescent="0.2">
      <c r="A798" s="5">
        <v>737</v>
      </c>
      <c r="B798" s="138">
        <f>'Expenditures 15-22'!D61</f>
        <v>6745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58893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80823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912408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1463730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81634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907</v>
      </c>
      <c r="D833" s="2" t="str">
        <f t="shared" si="12"/>
        <v>Error?</v>
      </c>
    </row>
    <row r="834" spans="1:4" x14ac:dyDescent="0.2">
      <c r="A834" s="5">
        <v>773</v>
      </c>
      <c r="B834" s="138">
        <f>'Expenditures 15-22'!E14</f>
        <v>23344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135789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1075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1259</v>
      </c>
      <c r="C843" s="2" t="s">
        <v>594</v>
      </c>
      <c r="D843" s="2" t="str">
        <f t="shared" si="12"/>
        <v>Error?</v>
      </c>
    </row>
    <row r="844" spans="1:4" x14ac:dyDescent="0.2">
      <c r="A844" s="5">
        <v>783</v>
      </c>
      <c r="B844" s="138">
        <f>'Expenditures 15-22'!E44</f>
        <v>9369</v>
      </c>
      <c r="D844" s="2" t="str">
        <f t="shared" si="12"/>
        <v>Error?</v>
      </c>
    </row>
    <row r="845" spans="1:4" x14ac:dyDescent="0.2">
      <c r="A845" s="5">
        <v>784</v>
      </c>
      <c r="B845" s="138">
        <f>'Expenditures 15-22'!E45</f>
        <v>42033</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51402</v>
      </c>
      <c r="C847" s="2" t="s">
        <v>594</v>
      </c>
      <c r="D847" s="2" t="str">
        <f t="shared" si="12"/>
        <v>Error?</v>
      </c>
    </row>
    <row r="848" spans="1:4" x14ac:dyDescent="0.2">
      <c r="A848" s="5">
        <v>787</v>
      </c>
      <c r="B848" s="138">
        <f>'Expenditures 15-22'!E49</f>
        <v>48795</v>
      </c>
      <c r="D848" s="2" t="str">
        <f t="shared" si="12"/>
        <v>Error?</v>
      </c>
    </row>
    <row r="849" spans="1:4" x14ac:dyDescent="0.2">
      <c r="A849" s="5">
        <v>788</v>
      </c>
      <c r="B849" s="138">
        <f>'Expenditures 15-22'!E50</f>
        <v>416</v>
      </c>
      <c r="D849" s="2" t="str">
        <f t="shared" si="12"/>
        <v>Error?</v>
      </c>
    </row>
    <row r="850" spans="1:4" x14ac:dyDescent="0.2">
      <c r="A850" s="5">
        <v>789</v>
      </c>
      <c r="B850" s="138">
        <f>'Expenditures 15-22'!E53</f>
        <v>49211</v>
      </c>
      <c r="C850" s="2" t="s">
        <v>594</v>
      </c>
      <c r="D850" s="2" t="str">
        <f t="shared" si="12"/>
        <v>Error?</v>
      </c>
    </row>
    <row r="851" spans="1:4" x14ac:dyDescent="0.2">
      <c r="A851" s="5">
        <v>790</v>
      </c>
      <c r="B851" s="138">
        <f>'Expenditures 15-22'!E55</f>
        <v>13264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13264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4121</v>
      </c>
      <c r="D855" s="2" t="str">
        <f t="shared" si="12"/>
        <v>Error?</v>
      </c>
    </row>
    <row r="856" spans="1:4" x14ac:dyDescent="0.2">
      <c r="A856" s="5">
        <v>795</v>
      </c>
      <c r="B856" s="138">
        <f>'Expenditures 15-22'!E61</f>
        <v>19096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25864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141000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276789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96905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37050</v>
      </c>
      <c r="D891" s="2" t="str">
        <f t="shared" si="12"/>
        <v>Error?</v>
      </c>
    </row>
    <row r="892" spans="1:4" x14ac:dyDescent="0.2">
      <c r="A892" s="5">
        <v>831</v>
      </c>
      <c r="B892" s="138">
        <f>'Expenditures 15-22'!F14</f>
        <v>14388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251327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369</v>
      </c>
      <c r="D896" s="2" t="str">
        <f t="shared" si="13"/>
        <v>Error?</v>
      </c>
    </row>
    <row r="897" spans="1:4" x14ac:dyDescent="0.2">
      <c r="A897" s="5">
        <v>836</v>
      </c>
      <c r="B897" s="138">
        <f>'Expenditures 15-22'!F38</f>
        <v>3688</v>
      </c>
      <c r="D897" s="2" t="str">
        <f t="shared" si="13"/>
        <v>Error?</v>
      </c>
    </row>
    <row r="898" spans="1:4" x14ac:dyDescent="0.2">
      <c r="A898" s="5">
        <v>837</v>
      </c>
      <c r="B898" s="138">
        <f>'Expenditures 15-22'!F39</f>
        <v>6600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1515</v>
      </c>
      <c r="D900" s="2" t="str">
        <f t="shared" si="13"/>
        <v>Error?</v>
      </c>
    </row>
    <row r="901" spans="1:4" x14ac:dyDescent="0.2">
      <c r="A901" s="5">
        <v>840</v>
      </c>
      <c r="B901" s="138">
        <f>'Expenditures 15-22'!F42</f>
        <v>12172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227589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227589</v>
      </c>
      <c r="C905" s="2" t="s">
        <v>594</v>
      </c>
      <c r="D905" s="2" t="str">
        <f t="shared" si="13"/>
        <v>Error?</v>
      </c>
    </row>
    <row r="906" spans="1:4" x14ac:dyDescent="0.2">
      <c r="A906" s="5">
        <v>845</v>
      </c>
      <c r="B906" s="138">
        <f>'Expenditures 15-22'!F49</f>
        <v>424</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424</v>
      </c>
      <c r="C908" s="2" t="s">
        <v>594</v>
      </c>
      <c r="D908" s="2" t="str">
        <f t="shared" si="13"/>
        <v>Error?</v>
      </c>
    </row>
    <row r="909" spans="1:4" x14ac:dyDescent="0.2">
      <c r="A909" s="5">
        <v>848</v>
      </c>
      <c r="B909" s="138">
        <f>'Expenditures 15-22'!F55</f>
        <v>15070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15070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23311</v>
      </c>
      <c r="D913" s="2" t="str">
        <f t="shared" si="13"/>
        <v>Error?</v>
      </c>
    </row>
    <row r="914" spans="1:4" x14ac:dyDescent="0.2">
      <c r="A914" s="5">
        <v>853</v>
      </c>
      <c r="B914" s="138">
        <f>'Expenditures 15-22'!F61</f>
        <v>214852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206264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444427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699682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951009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8778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8778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12859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12859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12859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21637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3293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16623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47378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47378</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4651</v>
      </c>
      <c r="D1022" s="2" t="str">
        <f t="shared" si="14"/>
        <v>Error?</v>
      </c>
    </row>
    <row r="1023" spans="1:4" x14ac:dyDescent="0.2">
      <c r="A1023" s="5">
        <v>962</v>
      </c>
      <c r="B1023" s="138">
        <f>'Expenditures 15-22'!H50</f>
        <v>309</v>
      </c>
      <c r="D1023" s="2" t="str">
        <f t="shared" ref="D1023:D1086" si="15">IF(ISBLANK(B1023),"OK",IF(A1023-B1023=0,"OK","Error?"))</f>
        <v>Error?</v>
      </c>
    </row>
    <row r="1024" spans="1:4" x14ac:dyDescent="0.2">
      <c r="A1024" s="5">
        <v>963</v>
      </c>
      <c r="B1024" s="138">
        <f>'Expenditures 15-22'!H53</f>
        <v>4960</v>
      </c>
      <c r="C1024" s="2" t="s">
        <v>594</v>
      </c>
      <c r="D1024" s="2" t="str">
        <f t="shared" si="15"/>
        <v>Error?</v>
      </c>
    </row>
    <row r="1025" spans="1:4" x14ac:dyDescent="0.2">
      <c r="A1025" s="5">
        <v>964</v>
      </c>
      <c r="B1025" s="138">
        <f>'Expenditures 15-22'!H55</f>
        <v>3888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3888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56226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360110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432959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3256571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360497</v>
      </c>
      <c r="C1105" s="2" t="s">
        <v>594</v>
      </c>
      <c r="D1105" s="2" t="str">
        <f t="shared" si="16"/>
        <v>Error?</v>
      </c>
    </row>
    <row r="1106" spans="1:4" x14ac:dyDescent="0.2">
      <c r="A1106" s="5">
        <v>1045</v>
      </c>
      <c r="B1106" s="138">
        <f>'Expenditures 15-22'!K14</f>
        <v>152987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5385678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100576</v>
      </c>
      <c r="C1110" s="2" t="s">
        <v>594</v>
      </c>
      <c r="D1110" s="2" t="str">
        <f t="shared" si="16"/>
        <v>Error?</v>
      </c>
    </row>
    <row r="1111" spans="1:4" x14ac:dyDescent="0.2">
      <c r="A1111" s="5">
        <v>1050</v>
      </c>
      <c r="B1111" s="138">
        <f>'Expenditures 15-22'!K38</f>
        <v>136340</v>
      </c>
      <c r="C1111" s="2" t="s">
        <v>594</v>
      </c>
      <c r="D1111" s="2" t="str">
        <f t="shared" si="16"/>
        <v>Error?</v>
      </c>
    </row>
    <row r="1112" spans="1:4" x14ac:dyDescent="0.2">
      <c r="A1112" s="5">
        <v>1051</v>
      </c>
      <c r="B1112" s="138">
        <f>'Expenditures 15-22'!K39</f>
        <v>140368</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1515</v>
      </c>
      <c r="C1114" s="2" t="s">
        <v>594</v>
      </c>
      <c r="D1114" s="2" t="str">
        <f t="shared" si="16"/>
        <v>Error?</v>
      </c>
    </row>
    <row r="1115" spans="1:4" x14ac:dyDescent="0.2">
      <c r="A1115" s="5">
        <v>1054</v>
      </c>
      <c r="B1115" s="138">
        <f>'Expenditures 15-22'!K42</f>
        <v>378799</v>
      </c>
      <c r="C1115" s="2" t="s">
        <v>594</v>
      </c>
      <c r="D1115" s="2" t="str">
        <f t="shared" si="16"/>
        <v>Error?</v>
      </c>
    </row>
    <row r="1116" spans="1:4" x14ac:dyDescent="0.2">
      <c r="A1116" s="5">
        <v>1055</v>
      </c>
      <c r="B1116" s="138">
        <f>'Expenditures 15-22'!K44</f>
        <v>9369</v>
      </c>
      <c r="C1116" s="2" t="s">
        <v>594</v>
      </c>
      <c r="D1116" s="2" t="str">
        <f t="shared" si="16"/>
        <v>Error?</v>
      </c>
    </row>
    <row r="1117" spans="1:4" x14ac:dyDescent="0.2">
      <c r="A1117" s="5">
        <v>1056</v>
      </c>
      <c r="B1117" s="138">
        <f>'Expenditures 15-22'!K45</f>
        <v>606114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615483</v>
      </c>
      <c r="C1119" s="2" t="s">
        <v>594</v>
      </c>
      <c r="D1119" s="2" t="str">
        <f t="shared" si="16"/>
        <v>Error?</v>
      </c>
    </row>
    <row r="1120" spans="1:4" x14ac:dyDescent="0.2">
      <c r="A1120" s="5">
        <v>1059</v>
      </c>
      <c r="B1120" s="138">
        <f>'Expenditures 15-22'!K49</f>
        <v>739563</v>
      </c>
      <c r="C1120" s="2" t="s">
        <v>594</v>
      </c>
      <c r="D1120" s="2" t="str">
        <f t="shared" si="16"/>
        <v>Error?</v>
      </c>
    </row>
    <row r="1121" spans="1:4" x14ac:dyDescent="0.2">
      <c r="A1121" s="5">
        <v>1060</v>
      </c>
      <c r="B1121" s="138">
        <f>'Expenditures 15-22'!K50</f>
        <v>149167</v>
      </c>
      <c r="C1121" s="2" t="s">
        <v>594</v>
      </c>
      <c r="D1121" s="2" t="str">
        <f t="shared" si="16"/>
        <v>Error?</v>
      </c>
    </row>
    <row r="1122" spans="1:4" x14ac:dyDescent="0.2">
      <c r="A1122" s="5">
        <v>1061</v>
      </c>
      <c r="B1122" s="138">
        <f>'Expenditures 15-22'!K53</f>
        <v>888730</v>
      </c>
      <c r="C1122" s="2" t="s">
        <v>594</v>
      </c>
      <c r="D1122" s="2" t="str">
        <f t="shared" si="16"/>
        <v>Error?</v>
      </c>
    </row>
    <row r="1123" spans="1:4" x14ac:dyDescent="0.2">
      <c r="A1123" s="5">
        <v>1062</v>
      </c>
      <c r="B1123" s="138">
        <f>'Expenditures 15-22'!K55</f>
        <v>616711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616711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113370</v>
      </c>
      <c r="C1127" s="2" t="s">
        <v>594</v>
      </c>
      <c r="D1127" s="2" t="str">
        <f t="shared" si="16"/>
        <v>Error?</v>
      </c>
    </row>
    <row r="1128" spans="1:4" x14ac:dyDescent="0.2">
      <c r="A1128" s="5">
        <v>1067</v>
      </c>
      <c r="B1128" s="138">
        <f>'Expenditures 15-22'!K61</f>
        <v>288852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461572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863794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3363517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360110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9109305</v>
      </c>
      <c r="C1152" s="2" t="s">
        <v>594</v>
      </c>
      <c r="D1152" s="2" t="str">
        <f t="shared" si="17"/>
        <v>Error?</v>
      </c>
    </row>
    <row r="1153" spans="1:4" x14ac:dyDescent="0.2">
      <c r="A1153" s="5">
        <v>1092</v>
      </c>
      <c r="B1153" s="138">
        <f>'Expenditures 15-22'!K115</f>
        <v>613406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276904</v>
      </c>
      <c r="D1221" s="2" t="str">
        <f t="shared" si="18"/>
        <v>Error?</v>
      </c>
    </row>
    <row r="1222" spans="1:4" x14ac:dyDescent="0.2">
      <c r="A1222" s="10">
        <v>1161</v>
      </c>
      <c r="D1222" s="2" t="str">
        <f t="shared" si="18"/>
        <v>OK</v>
      </c>
    </row>
    <row r="1223" spans="1:4" x14ac:dyDescent="0.2">
      <c r="A1223" s="5">
        <v>1162</v>
      </c>
      <c r="B1223" s="138">
        <f>'Expenditures 15-22'!C127</f>
        <v>276904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276904</v>
      </c>
      <c r="C1225" s="2" t="s">
        <v>594</v>
      </c>
      <c r="D1225" s="2" t="str">
        <f t="shared" si="18"/>
        <v>Error?</v>
      </c>
    </row>
    <row r="1226" spans="1:4" x14ac:dyDescent="0.2">
      <c r="A1226" s="5">
        <v>1165</v>
      </c>
      <c r="B1226" s="138">
        <f>'Expenditures 15-22'!C151</f>
        <v>276904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47173</v>
      </c>
      <c r="D1229" s="2" t="str">
        <f t="shared" si="18"/>
        <v>Error?</v>
      </c>
    </row>
    <row r="1230" spans="1:4" x14ac:dyDescent="0.2">
      <c r="A1230" s="10">
        <v>1169</v>
      </c>
      <c r="D1230" s="2" t="str">
        <f t="shared" si="18"/>
        <v>OK</v>
      </c>
    </row>
    <row r="1231" spans="1:4" x14ac:dyDescent="0.2">
      <c r="A1231" s="5">
        <v>1170</v>
      </c>
      <c r="B1231" s="138">
        <f>'Expenditures 15-22'!D127</f>
        <v>47173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47173</v>
      </c>
      <c r="C1233" s="2" t="s">
        <v>594</v>
      </c>
      <c r="D1233" s="2" t="str">
        <f t="shared" si="18"/>
        <v>Error?</v>
      </c>
    </row>
    <row r="1234" spans="1:4" x14ac:dyDescent="0.2">
      <c r="A1234" s="5">
        <v>1173</v>
      </c>
      <c r="B1234" s="138">
        <f>'Expenditures 15-22'!D151</f>
        <v>47173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82119</v>
      </c>
      <c r="D1237" s="2" t="str">
        <f t="shared" si="18"/>
        <v>Error?</v>
      </c>
    </row>
    <row r="1238" spans="1:4" x14ac:dyDescent="0.2">
      <c r="A1238" s="10">
        <v>1177</v>
      </c>
      <c r="D1238" s="2" t="str">
        <f t="shared" si="18"/>
        <v>OK</v>
      </c>
    </row>
    <row r="1239" spans="1:4" x14ac:dyDescent="0.2">
      <c r="A1239" s="5">
        <v>1178</v>
      </c>
      <c r="B1239" s="138">
        <f>'Expenditures 15-22'!E127</f>
        <v>82119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82119</v>
      </c>
      <c r="C1241" s="2" t="s">
        <v>594</v>
      </c>
      <c r="D1241" s="2" t="str">
        <f t="shared" si="18"/>
        <v>Error?</v>
      </c>
    </row>
    <row r="1242" spans="1:4" x14ac:dyDescent="0.2">
      <c r="A1242" s="5">
        <v>1181</v>
      </c>
      <c r="B1242" s="138">
        <f>'Expenditures 15-22'!E151</f>
        <v>82119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66389</v>
      </c>
      <c r="D1245" s="2" t="str">
        <f t="shared" si="18"/>
        <v>Error?</v>
      </c>
    </row>
    <row r="1246" spans="1:4" x14ac:dyDescent="0.2">
      <c r="A1246" s="10">
        <v>1185</v>
      </c>
      <c r="D1246" s="2" t="str">
        <f t="shared" si="18"/>
        <v>OK</v>
      </c>
    </row>
    <row r="1247" spans="1:4" x14ac:dyDescent="0.2">
      <c r="A1247" s="5">
        <v>1186</v>
      </c>
      <c r="B1247" s="138">
        <f>'Expenditures 15-22'!F127</f>
        <v>66389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66389</v>
      </c>
      <c r="C1249" s="2" t="s">
        <v>594</v>
      </c>
      <c r="D1249" s="2" t="str">
        <f t="shared" si="18"/>
        <v>Error?</v>
      </c>
    </row>
    <row r="1250" spans="1:4" x14ac:dyDescent="0.2">
      <c r="A1250" s="5">
        <v>1189</v>
      </c>
      <c r="B1250" s="138">
        <f>'Expenditures 15-22'!F151</f>
        <v>66389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1025969</v>
      </c>
      <c r="D1252" s="2" t="str">
        <f t="shared" si="18"/>
        <v>Error?</v>
      </c>
    </row>
    <row r="1253" spans="1:4" x14ac:dyDescent="0.2">
      <c r="A1253" s="5">
        <v>1192</v>
      </c>
      <c r="B1253" s="138">
        <f>'Expenditures 15-22'!G124</f>
        <v>7075</v>
      </c>
      <c r="D1253" s="2" t="str">
        <f t="shared" si="18"/>
        <v>Error?</v>
      </c>
    </row>
    <row r="1254" spans="1:4" x14ac:dyDescent="0.2">
      <c r="A1254" s="5">
        <v>1193</v>
      </c>
      <c r="B1254" s="138">
        <f>'Expenditures 15-22'!G126</f>
        <v>24512</v>
      </c>
      <c r="D1254" s="2" t="str">
        <f t="shared" si="18"/>
        <v>Error?</v>
      </c>
    </row>
    <row r="1255" spans="1:4" x14ac:dyDescent="0.2">
      <c r="A1255" s="10">
        <v>1194</v>
      </c>
      <c r="D1255" s="2" t="str">
        <f t="shared" si="18"/>
        <v>OK</v>
      </c>
    </row>
    <row r="1256" spans="1:4" x14ac:dyDescent="0.2">
      <c r="A1256" s="5">
        <v>1195</v>
      </c>
      <c r="B1256" s="138">
        <f>'Expenditures 15-22'!G127</f>
        <v>1057556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1057556</v>
      </c>
      <c r="C1258" s="2" t="s">
        <v>594</v>
      </c>
      <c r="D1258" s="2" t="str">
        <f t="shared" si="18"/>
        <v>Error?</v>
      </c>
    </row>
    <row r="1259" spans="1:4" x14ac:dyDescent="0.2">
      <c r="A1259" s="5">
        <v>1198</v>
      </c>
      <c r="B1259" s="138">
        <f>'Expenditures 15-22'!G151</f>
        <v>1057556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1045947</v>
      </c>
      <c r="C1275" s="2" t="s">
        <v>594</v>
      </c>
      <c r="D1275" s="2" t="str">
        <f t="shared" si="18"/>
        <v>Error?</v>
      </c>
    </row>
    <row r="1276" spans="1:4" x14ac:dyDescent="0.2">
      <c r="A1276" s="5">
        <v>1215</v>
      </c>
      <c r="B1276" s="138">
        <f>'Expenditures 15-22'!K124</f>
        <v>479660</v>
      </c>
      <c r="C1276" s="2" t="s">
        <v>594</v>
      </c>
      <c r="D1276" s="2" t="str">
        <f t="shared" si="18"/>
        <v>Error?</v>
      </c>
    </row>
    <row r="1277" spans="1:4" x14ac:dyDescent="0.2">
      <c r="A1277" s="5">
        <v>1216</v>
      </c>
      <c r="B1277" s="138">
        <f>'Expenditures 15-22'!K126</f>
        <v>26791</v>
      </c>
      <c r="C1277" s="2" t="s">
        <v>594</v>
      </c>
      <c r="D1277" s="2" t="str">
        <f t="shared" si="18"/>
        <v>Error?</v>
      </c>
    </row>
    <row r="1278" spans="1:4" x14ac:dyDescent="0.2">
      <c r="A1278" s="10">
        <v>1217</v>
      </c>
      <c r="D1278" s="2" t="str">
        <f t="shared" si="18"/>
        <v>OK</v>
      </c>
    </row>
    <row r="1279" spans="1:4" x14ac:dyDescent="0.2">
      <c r="A1279" s="5">
        <v>1218</v>
      </c>
      <c r="B1279" s="138">
        <f>'Expenditures 15-22'!K127</f>
        <v>1552398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1552398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1552398</v>
      </c>
      <c r="C1288" s="2" t="s">
        <v>594</v>
      </c>
      <c r="D1288" s="2" t="str">
        <f t="shared" si="19"/>
        <v>Error?</v>
      </c>
    </row>
    <row r="1289" spans="1:4" x14ac:dyDescent="0.2">
      <c r="A1289" s="5">
        <v>1228</v>
      </c>
      <c r="B1289" s="138">
        <f>'Expenditures 15-22'!K152</f>
        <v>-970716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248957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1621993</v>
      </c>
      <c r="D1315" s="2" t="str">
        <f t="shared" si="19"/>
        <v>Error?</v>
      </c>
    </row>
    <row r="1316" spans="1:4" x14ac:dyDescent="0.2">
      <c r="A1316" s="5">
        <v>1255</v>
      </c>
      <c r="B1316" s="138">
        <f>'Expenditures 15-22'!H171</f>
        <v>191777</v>
      </c>
      <c r="D1316" s="2" t="str">
        <f t="shared" si="19"/>
        <v>Error?</v>
      </c>
    </row>
    <row r="1317" spans="1:4" x14ac:dyDescent="0.2">
      <c r="A1317" s="5">
        <v>1256</v>
      </c>
      <c r="B1317" s="138">
        <f>'Expenditures 15-22'!H172</f>
        <v>2062727</v>
      </c>
      <c r="C1317" s="2" t="s">
        <v>594</v>
      </c>
      <c r="D1317" s="2" t="str">
        <f t="shared" si="19"/>
        <v>Error?</v>
      </c>
    </row>
    <row r="1318" spans="1:4" x14ac:dyDescent="0.2">
      <c r="A1318" s="5">
        <v>1257</v>
      </c>
      <c r="B1318" s="138">
        <f>'Expenditures 15-22'!H174</f>
        <v>2062727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248957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1621993</v>
      </c>
      <c r="C1329" s="2" t="s">
        <v>594</v>
      </c>
      <c r="D1329" s="2" t="str">
        <f t="shared" si="19"/>
        <v>Error?</v>
      </c>
    </row>
    <row r="1330" spans="1:4" x14ac:dyDescent="0.2">
      <c r="A1330" s="5">
        <v>1269</v>
      </c>
      <c r="B1330" s="138">
        <f>'Expenditures 15-22'!K171</f>
        <v>191777</v>
      </c>
      <c r="C1330" s="2" t="s">
        <v>594</v>
      </c>
      <c r="D1330" s="2" t="str">
        <f t="shared" si="19"/>
        <v>Error?</v>
      </c>
    </row>
    <row r="1331" spans="1:4" x14ac:dyDescent="0.2">
      <c r="A1331" s="5">
        <v>1270</v>
      </c>
      <c r="B1331" s="138">
        <f>'Expenditures 15-22'!K172</f>
        <v>2062727</v>
      </c>
      <c r="C1331" s="2" t="s">
        <v>594</v>
      </c>
      <c r="D1331" s="2" t="str">
        <f t="shared" si="19"/>
        <v>Error?</v>
      </c>
    </row>
    <row r="1332" spans="1:4" x14ac:dyDescent="0.2">
      <c r="A1332" s="5">
        <v>1271</v>
      </c>
      <c r="B1332" s="138">
        <f>'Expenditures 15-22'!K174</f>
        <v>2062727</v>
      </c>
      <c r="C1332" s="2" t="s">
        <v>594</v>
      </c>
      <c r="D1332" s="2" t="str">
        <f t="shared" si="19"/>
        <v>Error?</v>
      </c>
    </row>
    <row r="1333" spans="1:4" x14ac:dyDescent="0.2">
      <c r="A1333" s="5">
        <v>1272</v>
      </c>
      <c r="B1333" s="138">
        <f>'Expenditures 15-22'!K175</f>
        <v>-1506972</v>
      </c>
      <c r="C1333" s="2" t="s">
        <v>594</v>
      </c>
      <c r="D1333" s="2" t="str">
        <f t="shared" si="19"/>
        <v>Error?</v>
      </c>
    </row>
    <row r="1334" spans="1:4" x14ac:dyDescent="0.2">
      <c r="A1334" s="10">
        <v>1273</v>
      </c>
      <c r="D1334" s="2" t="str">
        <f t="shared" si="19"/>
        <v>OK</v>
      </c>
    </row>
    <row r="1335" spans="1:4" x14ac:dyDescent="0.2">
      <c r="A1335" s="5">
        <v>1274</v>
      </c>
      <c r="B1335" s="138">
        <f>'Expenditures 15-22'!C182</f>
        <v>440611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440611</v>
      </c>
      <c r="C1339" s="2" t="s">
        <v>594</v>
      </c>
      <c r="D1339" s="2" t="str">
        <f t="shared" si="19"/>
        <v>Error?</v>
      </c>
    </row>
    <row r="1340" spans="1:4" x14ac:dyDescent="0.2">
      <c r="A1340" s="5">
        <v>1279</v>
      </c>
      <c r="B1340" s="138">
        <f>'Expenditures 15-22'!C210</f>
        <v>440611</v>
      </c>
      <c r="C1340" s="2" t="s">
        <v>594</v>
      </c>
      <c r="D1340" s="2" t="str">
        <f t="shared" si="19"/>
        <v>Error?</v>
      </c>
    </row>
    <row r="1341" spans="1:4" x14ac:dyDescent="0.2">
      <c r="A1341" s="5">
        <v>1280</v>
      </c>
      <c r="B1341" s="138">
        <f>'Expenditures 15-22'!D182</f>
        <v>32725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32725</v>
      </c>
      <c r="C1345" s="2" t="s">
        <v>594</v>
      </c>
      <c r="D1345" s="2" t="str">
        <f t="shared" si="20"/>
        <v>Error?</v>
      </c>
    </row>
    <row r="1346" spans="1:4" x14ac:dyDescent="0.2">
      <c r="A1346" s="5">
        <v>1285</v>
      </c>
      <c r="B1346" s="138">
        <f>'Expenditures 15-22'!D210</f>
        <v>32725</v>
      </c>
      <c r="C1346" s="2" t="s">
        <v>594</v>
      </c>
      <c r="D1346" s="2" t="str">
        <f t="shared" si="20"/>
        <v>Error?</v>
      </c>
    </row>
    <row r="1347" spans="1:4" x14ac:dyDescent="0.2">
      <c r="A1347" s="5">
        <v>1286</v>
      </c>
      <c r="B1347" s="138">
        <f>'Expenditures 15-22'!E182</f>
        <v>92065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92065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92065</v>
      </c>
      <c r="C1353" s="2" t="s">
        <v>594</v>
      </c>
      <c r="D1353" s="2" t="str">
        <f t="shared" si="20"/>
        <v>Error?</v>
      </c>
    </row>
    <row r="1354" spans="1:4" x14ac:dyDescent="0.2">
      <c r="A1354" s="5">
        <v>1293</v>
      </c>
      <c r="B1354" s="138">
        <f>'Expenditures 15-22'!F182</f>
        <v>121223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121223</v>
      </c>
      <c r="C1358" s="2" t="s">
        <v>594</v>
      </c>
      <c r="D1358" s="2" t="str">
        <f t="shared" si="20"/>
        <v>Error?</v>
      </c>
    </row>
    <row r="1359" spans="1:4" x14ac:dyDescent="0.2">
      <c r="A1359" s="5">
        <v>1298</v>
      </c>
      <c r="B1359" s="138">
        <f>'Expenditures 15-22'!F210</f>
        <v>121223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686624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686624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686624</v>
      </c>
      <c r="C1388" s="2" t="s">
        <v>594</v>
      </c>
      <c r="D1388" s="2" t="str">
        <f t="shared" si="20"/>
        <v>Error?</v>
      </c>
    </row>
    <row r="1389" spans="1:4" x14ac:dyDescent="0.2">
      <c r="A1389" s="5">
        <v>1328</v>
      </c>
      <c r="B1389" s="138">
        <f>'Expenditures 15-22'!K211</f>
        <v>66537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23990</v>
      </c>
      <c r="D1422" s="2" t="str">
        <f t="shared" si="21"/>
        <v>Error?</v>
      </c>
    </row>
    <row r="1423" spans="1:4" x14ac:dyDescent="0.2">
      <c r="A1423" s="5">
        <v>1362</v>
      </c>
      <c r="B1423" s="138">
        <f>'Expenditures 15-22'!D246</f>
        <v>261918</v>
      </c>
      <c r="D1423" s="2" t="str">
        <f t="shared" si="21"/>
        <v>Error?</v>
      </c>
    </row>
    <row r="1424" spans="1:4" x14ac:dyDescent="0.2">
      <c r="A1424" s="5">
        <v>1363</v>
      </c>
      <c r="B1424" s="138">
        <f>'Expenditures 15-22'!D257</f>
        <v>285908</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62966</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62966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348874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348874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23990</v>
      </c>
      <c r="C1486" s="2" t="s">
        <v>594</v>
      </c>
      <c r="D1486" s="2" t="str">
        <f t="shared" si="22"/>
        <v>Error?</v>
      </c>
    </row>
    <row r="1487" spans="1:4" x14ac:dyDescent="0.2">
      <c r="A1487" s="5">
        <v>1426</v>
      </c>
      <c r="B1487" s="138">
        <f>'Expenditures 15-22'!K246</f>
        <v>261918</v>
      </c>
      <c r="C1487" s="2" t="s">
        <v>594</v>
      </c>
      <c r="D1487" s="2" t="str">
        <f t="shared" si="22"/>
        <v>Error?</v>
      </c>
    </row>
    <row r="1488" spans="1:4" x14ac:dyDescent="0.2">
      <c r="A1488" s="5">
        <v>1427</v>
      </c>
      <c r="B1488" s="138">
        <f>'Expenditures 15-22'!K257</f>
        <v>285908</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62966</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62966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348874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348874</v>
      </c>
      <c r="C1517" s="2" t="s">
        <v>594</v>
      </c>
      <c r="D1517" s="2" t="str">
        <f t="shared" si="22"/>
        <v>Error?</v>
      </c>
    </row>
    <row r="1518" spans="1:4" x14ac:dyDescent="0.2">
      <c r="A1518" s="5">
        <v>1457</v>
      </c>
      <c r="B1518" s="138">
        <f>'Expenditures 15-22'!K296</f>
        <v>14374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4945553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5558959</v>
      </c>
      <c r="C1630" s="2" t="s">
        <v>594</v>
      </c>
      <c r="D1630" s="2" t="str">
        <f t="shared" si="24"/>
        <v>Error?</v>
      </c>
    </row>
    <row r="1631" spans="1:4" x14ac:dyDescent="0.2">
      <c r="A1631" s="5">
        <v>1570</v>
      </c>
      <c r="B1631" s="138">
        <f>'Acct Summary 7-8'!D79</f>
        <v>799076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1834461</v>
      </c>
      <c r="C1644" s="2" t="s">
        <v>594</v>
      </c>
      <c r="D1644" s="2" t="str">
        <f t="shared" si="24"/>
        <v>Error?</v>
      </c>
    </row>
    <row r="1645" spans="1:4" x14ac:dyDescent="0.2">
      <c r="A1645" s="5">
        <v>1584</v>
      </c>
      <c r="B1645" s="138">
        <f>'Acct Summary 7-8'!E79</f>
        <v>73245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66673</v>
      </c>
      <c r="C1658" s="2" t="s">
        <v>594</v>
      </c>
      <c r="D1658" s="2" t="str">
        <f t="shared" si="24"/>
        <v>Error?</v>
      </c>
    </row>
    <row r="1659" spans="1:4" x14ac:dyDescent="0.2">
      <c r="A1659" s="5">
        <v>1598</v>
      </c>
      <c r="B1659" s="138">
        <f>'Acct Summary 7-8'!F79</f>
        <v>237082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303619</v>
      </c>
      <c r="C1672" s="2" t="s">
        <v>594</v>
      </c>
      <c r="D1672" s="2" t="str">
        <f t="shared" si="25"/>
        <v>Error?</v>
      </c>
    </row>
    <row r="1673" spans="1:4" x14ac:dyDescent="0.2">
      <c r="A1673" s="5">
        <v>1612</v>
      </c>
      <c r="B1673" s="138">
        <f>'Acct Summary 7-8'!G79</f>
        <v>88402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102776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2098782</v>
      </c>
      <c r="C1744" s="2" t="s">
        <v>594</v>
      </c>
      <c r="D1744" s="2" t="str">
        <f t="shared" si="26"/>
        <v>Error?</v>
      </c>
    </row>
    <row r="1745" spans="1:5" x14ac:dyDescent="0.2">
      <c r="A1745" s="5">
        <v>1684</v>
      </c>
      <c r="B1745" s="138">
        <f>'Tax Sched 23'!B5</f>
        <v>570323</v>
      </c>
      <c r="C1745" s="2" t="s">
        <v>594</v>
      </c>
      <c r="D1745" s="2" t="str">
        <f t="shared" si="26"/>
        <v>Error?</v>
      </c>
    </row>
    <row r="1746" spans="1:5" x14ac:dyDescent="0.2">
      <c r="A1746" s="5">
        <v>1685</v>
      </c>
      <c r="B1746" s="138">
        <f>'Tax Sched 23'!B6</f>
        <v>552416</v>
      </c>
      <c r="C1746" s="2" t="s">
        <v>594</v>
      </c>
      <c r="D1746" s="2" t="str">
        <f t="shared" si="26"/>
        <v>Error?</v>
      </c>
    </row>
    <row r="1747" spans="1:5" x14ac:dyDescent="0.2">
      <c r="A1747" s="5">
        <v>1686</v>
      </c>
      <c r="B1747" s="138">
        <f>'Tax Sched 23'!B7</f>
        <v>228131</v>
      </c>
      <c r="C1747" s="2" t="s">
        <v>594</v>
      </c>
      <c r="D1747" s="2" t="str">
        <f t="shared" si="26"/>
        <v>Error?</v>
      </c>
    </row>
    <row r="1748" spans="1:5" x14ac:dyDescent="0.2">
      <c r="A1748" s="5">
        <v>1687</v>
      </c>
      <c r="B1748" s="138">
        <f>'Tax Sched 23'!B8</f>
        <v>249232</v>
      </c>
      <c r="C1748" s="2" t="s">
        <v>594</v>
      </c>
      <c r="D1748" s="2" t="str">
        <f t="shared" si="26"/>
        <v>Error?</v>
      </c>
    </row>
    <row r="1749" spans="1:5" x14ac:dyDescent="0.2">
      <c r="A1749" s="5">
        <v>1688</v>
      </c>
      <c r="B1749" s="138">
        <f>'Tax Sched 23'!B10</f>
        <v>57033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199385</v>
      </c>
      <c r="C1752" s="2" t="s">
        <v>594</v>
      </c>
      <c r="D1752" s="2" t="str">
        <f t="shared" si="26"/>
        <v>Error?</v>
      </c>
    </row>
    <row r="1753" spans="1:5" x14ac:dyDescent="0.2">
      <c r="A1753" s="5">
        <v>1692</v>
      </c>
      <c r="B1753" s="138">
        <f>'Tax Sched 23'!B12</f>
        <v>57033</v>
      </c>
      <c r="C1753" s="2" t="s">
        <v>594</v>
      </c>
      <c r="D1753" s="2" t="str">
        <f t="shared" si="26"/>
        <v>Error?</v>
      </c>
    </row>
    <row r="1754" spans="1:5" x14ac:dyDescent="0.2">
      <c r="A1754" s="5">
        <v>1693</v>
      </c>
      <c r="B1754" s="138">
        <f>'Tax Sched 23'!B14</f>
        <v>45283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4214346</v>
      </c>
      <c r="C1759" s="2" t="s">
        <v>594</v>
      </c>
      <c r="D1759" s="2" t="str">
        <f t="shared" si="26"/>
        <v>Error?</v>
      </c>
    </row>
    <row r="1760" spans="1:5" x14ac:dyDescent="0.2">
      <c r="A1760" s="5">
        <v>1699</v>
      </c>
      <c r="B1760" s="138">
        <f>'Tax Sched 23'!D4</f>
        <v>2098782</v>
      </c>
      <c r="C1760" s="2" t="s">
        <v>594</v>
      </c>
      <c r="D1760" s="2" t="str">
        <f t="shared" si="26"/>
        <v>Error?</v>
      </c>
    </row>
    <row r="1761" spans="1:5" x14ac:dyDescent="0.2">
      <c r="A1761" s="5">
        <v>1700</v>
      </c>
      <c r="B1761" s="138">
        <f>'Tax Sched 23'!D5</f>
        <v>570323</v>
      </c>
      <c r="C1761" s="2" t="s">
        <v>594</v>
      </c>
      <c r="D1761" s="2" t="str">
        <f t="shared" si="26"/>
        <v>Error?</v>
      </c>
    </row>
    <row r="1762" spans="1:5" s="8" customFormat="1" x14ac:dyDescent="0.2">
      <c r="A1762" s="5">
        <v>1701</v>
      </c>
      <c r="B1762" s="138">
        <f>'Tax Sched 23'!D6</f>
        <v>552416</v>
      </c>
      <c r="C1762" s="2" t="s">
        <v>594</v>
      </c>
      <c r="D1762" s="2" t="str">
        <f t="shared" si="26"/>
        <v>Error?</v>
      </c>
      <c r="E1762" s="9"/>
    </row>
    <row r="1763" spans="1:5" x14ac:dyDescent="0.2">
      <c r="A1763" s="5">
        <v>1702</v>
      </c>
      <c r="B1763" s="138">
        <f>'Tax Sched 23'!D7</f>
        <v>228131</v>
      </c>
      <c r="C1763" s="2" t="s">
        <v>594</v>
      </c>
      <c r="D1763" s="2" t="str">
        <f t="shared" si="26"/>
        <v>Error?</v>
      </c>
    </row>
    <row r="1764" spans="1:5" x14ac:dyDescent="0.2">
      <c r="A1764" s="5">
        <v>1703</v>
      </c>
      <c r="B1764" s="138">
        <f>'Tax Sched 23'!D8</f>
        <v>249232</v>
      </c>
      <c r="C1764" s="2" t="s">
        <v>594</v>
      </c>
      <c r="D1764" s="2" t="str">
        <f t="shared" si="26"/>
        <v>Error?</v>
      </c>
    </row>
    <row r="1765" spans="1:5" x14ac:dyDescent="0.2">
      <c r="A1765" s="5">
        <v>1704</v>
      </c>
      <c r="B1765" s="138">
        <f>'Tax Sched 23'!D10</f>
        <v>57033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199385</v>
      </c>
      <c r="C1768" s="2" t="s">
        <v>594</v>
      </c>
      <c r="D1768" s="2" t="str">
        <f t="shared" si="26"/>
        <v>Error?</v>
      </c>
    </row>
    <row r="1769" spans="1:5" x14ac:dyDescent="0.2">
      <c r="A1769" s="5">
        <v>1708</v>
      </c>
      <c r="B1769" s="138">
        <f>'Tax Sched 23'!D12</f>
        <v>57033</v>
      </c>
      <c r="C1769" s="2" t="s">
        <v>594</v>
      </c>
      <c r="D1769" s="2" t="str">
        <f t="shared" si="26"/>
        <v>Error?</v>
      </c>
    </row>
    <row r="1770" spans="1:5" x14ac:dyDescent="0.2">
      <c r="A1770" s="5">
        <v>1709</v>
      </c>
      <c r="B1770" s="138">
        <f>'Tax Sched 23'!D14</f>
        <v>45283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4214346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2246134</v>
      </c>
      <c r="C1792" s="2" t="s">
        <v>594</v>
      </c>
      <c r="D1792" s="2" t="str">
        <f t="shared" si="27"/>
        <v>Error?</v>
      </c>
    </row>
    <row r="1793" spans="1:4" x14ac:dyDescent="0.2">
      <c r="A1793" s="5">
        <v>1732</v>
      </c>
      <c r="B1793" s="138">
        <f>'Tax Sched 23'!F5</f>
        <v>610363</v>
      </c>
      <c r="C1793" s="2" t="s">
        <v>594</v>
      </c>
      <c r="D1793" s="2" t="str">
        <f t="shared" si="27"/>
        <v>Error?</v>
      </c>
    </row>
    <row r="1794" spans="1:4" x14ac:dyDescent="0.2">
      <c r="A1794" s="5">
        <v>1733</v>
      </c>
      <c r="B1794" s="138">
        <f>'Tax Sched 23'!F6</f>
        <v>568858</v>
      </c>
      <c r="C1794" s="2" t="s">
        <v>594</v>
      </c>
      <c r="D1794" s="2" t="str">
        <f t="shared" si="27"/>
        <v>Error?</v>
      </c>
    </row>
    <row r="1795" spans="1:4" x14ac:dyDescent="0.2">
      <c r="A1795" s="5">
        <v>1734</v>
      </c>
      <c r="B1795" s="138">
        <f>'Tax Sched 23'!F7</f>
        <v>244145</v>
      </c>
      <c r="C1795" s="2" t="s">
        <v>594</v>
      </c>
      <c r="D1795" s="2" t="str">
        <f t="shared" si="27"/>
        <v>Error?</v>
      </c>
    </row>
    <row r="1796" spans="1:4" x14ac:dyDescent="0.2">
      <c r="A1796" s="5">
        <v>1735</v>
      </c>
      <c r="B1796" s="138">
        <f>'Tax Sched 23'!F8</f>
        <v>107790</v>
      </c>
      <c r="C1796" s="2" t="s">
        <v>594</v>
      </c>
      <c r="D1796" s="2" t="str">
        <f t="shared" si="27"/>
        <v>Error?</v>
      </c>
    </row>
    <row r="1797" spans="1:4" x14ac:dyDescent="0.2">
      <c r="A1797" s="5">
        <v>1736</v>
      </c>
      <c r="B1797" s="138">
        <f>'Tax Sched 23'!F10</f>
        <v>61036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210453</v>
      </c>
      <c r="C1800" s="2" t="s">
        <v>594</v>
      </c>
      <c r="D1800" s="2" t="str">
        <f t="shared" si="27"/>
        <v>Error?</v>
      </c>
    </row>
    <row r="1801" spans="1:4" x14ac:dyDescent="0.2">
      <c r="A1801" s="5">
        <v>1740</v>
      </c>
      <c r="B1801" s="138">
        <f>'Tax Sched 23'!F12</f>
        <v>61036</v>
      </c>
      <c r="C1801" s="2" t="s">
        <v>594</v>
      </c>
      <c r="D1801" s="2" t="str">
        <f t="shared" si="27"/>
        <v>Error?</v>
      </c>
    </row>
    <row r="1802" spans="1:4" x14ac:dyDescent="0.2">
      <c r="A1802" s="5">
        <v>1741</v>
      </c>
      <c r="B1802" s="138">
        <f>'Tax Sched 23'!F14</f>
        <v>48829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4481403</v>
      </c>
      <c r="C1807" s="2" t="s">
        <v>594</v>
      </c>
      <c r="D1807" s="2" t="str">
        <f t="shared" si="27"/>
        <v>Error?</v>
      </c>
    </row>
    <row r="1808" spans="1:4" x14ac:dyDescent="0.2">
      <c r="A1808" s="5">
        <v>1747</v>
      </c>
      <c r="B1808" s="138">
        <f>'Tax Sched 23'!E4</f>
        <v>2246134</v>
      </c>
      <c r="D1808" s="2" t="str">
        <f t="shared" si="27"/>
        <v>Error?</v>
      </c>
    </row>
    <row r="1809" spans="1:4" x14ac:dyDescent="0.2">
      <c r="A1809" s="5">
        <v>1748</v>
      </c>
      <c r="B1809" s="138">
        <f>'Tax Sched 23'!E5</f>
        <v>610363</v>
      </c>
      <c r="D1809" s="2" t="str">
        <f t="shared" si="27"/>
        <v>Error?</v>
      </c>
    </row>
    <row r="1810" spans="1:4" x14ac:dyDescent="0.2">
      <c r="A1810" s="5">
        <v>1749</v>
      </c>
      <c r="B1810" s="138">
        <f>'Tax Sched 23'!E6</f>
        <v>568858</v>
      </c>
      <c r="D1810" s="2" t="str">
        <f t="shared" si="27"/>
        <v>Error?</v>
      </c>
    </row>
    <row r="1811" spans="1:4" x14ac:dyDescent="0.2">
      <c r="A1811" s="5">
        <v>1750</v>
      </c>
      <c r="B1811" s="138">
        <f>'Tax Sched 23'!E7</f>
        <v>244145</v>
      </c>
      <c r="D1811" s="2" t="str">
        <f t="shared" si="27"/>
        <v>Error?</v>
      </c>
    </row>
    <row r="1812" spans="1:4" x14ac:dyDescent="0.2">
      <c r="A1812" s="5">
        <v>1751</v>
      </c>
      <c r="B1812" s="138">
        <f>'Tax Sched 23'!E8</f>
        <v>107790</v>
      </c>
      <c r="D1812" s="2" t="str">
        <f t="shared" si="27"/>
        <v>Error?</v>
      </c>
    </row>
    <row r="1813" spans="1:4" x14ac:dyDescent="0.2">
      <c r="A1813" s="5">
        <v>1752</v>
      </c>
      <c r="B1813" s="138">
        <f>'Tax Sched 23'!E10</f>
        <v>61036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210453</v>
      </c>
      <c r="D1816" s="2" t="str">
        <f t="shared" si="27"/>
        <v>Error?</v>
      </c>
    </row>
    <row r="1817" spans="1:4" x14ac:dyDescent="0.2">
      <c r="A1817" s="5">
        <v>1756</v>
      </c>
      <c r="B1817" s="138">
        <f>'Tax Sched 23'!E12</f>
        <v>61036</v>
      </c>
      <c r="D1817" s="2" t="str">
        <f t="shared" si="27"/>
        <v>Error?</v>
      </c>
    </row>
    <row r="1818" spans="1:4" x14ac:dyDescent="0.2">
      <c r="A1818" s="5">
        <v>1757</v>
      </c>
      <c r="B1818" s="138">
        <f>'Tax Sched 23'!E14</f>
        <v>48829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4481403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3988893</v>
      </c>
      <c r="C1939" s="2" t="s">
        <v>594</v>
      </c>
      <c r="D1939" s="2" t="str">
        <f t="shared" si="29"/>
        <v>Error?</v>
      </c>
    </row>
    <row r="1940" spans="1:5" x14ac:dyDescent="0.2">
      <c r="A1940" s="5">
        <v>1879</v>
      </c>
      <c r="B1940" s="138">
        <f>'Short-Term Long-Term Debt 24'!F49</f>
        <v>3436900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101299</v>
      </c>
      <c r="D2008" s="2" t="str">
        <f t="shared" si="30"/>
        <v>Error?</v>
      </c>
    </row>
    <row r="2009" spans="1:4" x14ac:dyDescent="0.2">
      <c r="A2009" s="5">
        <v>1948</v>
      </c>
      <c r="B2009" s="138">
        <f>'Cap Outlay Deprec 26'!C8</f>
        <v>13984056</v>
      </c>
      <c r="D2009" s="2" t="str">
        <f t="shared" si="30"/>
        <v>Error?</v>
      </c>
    </row>
    <row r="2010" spans="1:4" x14ac:dyDescent="0.2">
      <c r="A2010" s="5">
        <v>1949</v>
      </c>
      <c r="B2010" s="138">
        <f>'Cap Outlay Deprec 26'!C10</f>
        <v>275112</v>
      </c>
      <c r="D2010" s="2" t="str">
        <f t="shared" si="30"/>
        <v>Error?</v>
      </c>
    </row>
    <row r="2011" spans="1:4" x14ac:dyDescent="0.2">
      <c r="A2011" s="5">
        <v>1950</v>
      </c>
      <c r="B2011" s="138">
        <f>'Cap Outlay Deprec 26'!C12</f>
        <v>807201</v>
      </c>
      <c r="D2011" s="2" t="str">
        <f t="shared" si="30"/>
        <v>Error?</v>
      </c>
    </row>
    <row r="2012" spans="1:4" x14ac:dyDescent="0.2">
      <c r="A2012" s="5">
        <v>1951</v>
      </c>
      <c r="B2012" s="138">
        <f>'Cap Outlay Deprec 26'!C13</f>
        <v>307034</v>
      </c>
      <c r="D2012" s="2" t="str">
        <f t="shared" si="30"/>
        <v>Error?</v>
      </c>
    </row>
    <row r="2013" spans="1:4" x14ac:dyDescent="0.2">
      <c r="A2013" s="5">
        <v>1952</v>
      </c>
      <c r="B2013" s="138">
        <f>'Cap Outlay Deprec 26'!C16</f>
        <v>15474702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56433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19933</v>
      </c>
      <c r="D2017" s="2" t="str">
        <f t="shared" si="30"/>
        <v>Error?</v>
      </c>
    </row>
    <row r="2018" spans="1:4" x14ac:dyDescent="0.2">
      <c r="A2018" s="5">
        <v>1957</v>
      </c>
      <c r="B2018" s="138">
        <f>'Cap Outlay Deprec 26'!D13</f>
        <v>29449</v>
      </c>
      <c r="D2018" s="2" t="str">
        <f t="shared" si="30"/>
        <v>Error?</v>
      </c>
    </row>
    <row r="2019" spans="1:4" x14ac:dyDescent="0.2">
      <c r="A2019" s="5">
        <v>1958</v>
      </c>
      <c r="B2019" s="138">
        <f>'Cap Outlay Deprec 26'!D16</f>
        <v>1098928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101299</v>
      </c>
      <c r="C2026" s="2" t="s">
        <v>594</v>
      </c>
      <c r="D2026" s="2" t="str">
        <f t="shared" si="30"/>
        <v>Error?</v>
      </c>
    </row>
    <row r="2027" spans="1:4" x14ac:dyDescent="0.2">
      <c r="A2027" s="5">
        <v>1966</v>
      </c>
      <c r="B2027" s="138">
        <f>'Cap Outlay Deprec 26'!F8</f>
        <v>14040489</v>
      </c>
      <c r="C2027" s="2" t="s">
        <v>594</v>
      </c>
      <c r="D2027" s="2" t="str">
        <f t="shared" si="30"/>
        <v>Error?</v>
      </c>
    </row>
    <row r="2028" spans="1:4" x14ac:dyDescent="0.2">
      <c r="A2028" s="5">
        <v>1967</v>
      </c>
      <c r="B2028" s="138">
        <f>'Cap Outlay Deprec 26'!F10</f>
        <v>275112</v>
      </c>
      <c r="C2028" s="2" t="s">
        <v>594</v>
      </c>
      <c r="D2028" s="2" t="str">
        <f t="shared" si="30"/>
        <v>Error?</v>
      </c>
    </row>
    <row r="2029" spans="1:4" x14ac:dyDescent="0.2">
      <c r="A2029" s="5">
        <v>1968</v>
      </c>
      <c r="B2029" s="138">
        <f>'Cap Outlay Deprec 26'!F12</f>
        <v>827134</v>
      </c>
      <c r="C2029" s="2" t="s">
        <v>594</v>
      </c>
      <c r="D2029" s="2" t="str">
        <f t="shared" si="30"/>
        <v>Error?</v>
      </c>
    </row>
    <row r="2030" spans="1:4" x14ac:dyDescent="0.2">
      <c r="A2030" s="5">
        <v>1969</v>
      </c>
      <c r="B2030" s="138">
        <f>'Cap Outlay Deprec 26'!F13</f>
        <v>336483</v>
      </c>
      <c r="C2030" s="2" t="s">
        <v>594</v>
      </c>
      <c r="D2030" s="2" t="str">
        <f t="shared" si="30"/>
        <v>Error?</v>
      </c>
    </row>
    <row r="2031" spans="1:4" x14ac:dyDescent="0.2">
      <c r="A2031" s="5">
        <v>1970</v>
      </c>
      <c r="B2031" s="138">
        <f>'Cap Outlay Deprec 26'!F16</f>
        <v>16573630</v>
      </c>
      <c r="C2031" s="2" t="s">
        <v>594</v>
      </c>
      <c r="D2031" s="2" t="str">
        <f t="shared" si="30"/>
        <v>Error?</v>
      </c>
    </row>
    <row r="2032" spans="1:4" x14ac:dyDescent="0.2">
      <c r="A2032" s="10">
        <v>1971</v>
      </c>
      <c r="D2032" s="2" t="str">
        <f t="shared" si="30"/>
        <v>OK</v>
      </c>
    </row>
    <row r="2033" spans="1:4" x14ac:dyDescent="0.2">
      <c r="A2033" s="5">
        <v>1972</v>
      </c>
      <c r="B2033" s="138">
        <f>'Cap Outlay Deprec 26'!H8</f>
        <v>6869946</v>
      </c>
      <c r="D2033" s="2" t="str">
        <f t="shared" si="30"/>
        <v>Error?</v>
      </c>
    </row>
    <row r="2034" spans="1:4" x14ac:dyDescent="0.2">
      <c r="A2034" s="5">
        <v>1973</v>
      </c>
      <c r="B2034" s="138">
        <f>'Cap Outlay Deprec 26'!H10</f>
        <v>274460</v>
      </c>
      <c r="D2034" s="2" t="str">
        <f t="shared" si="30"/>
        <v>Error?</v>
      </c>
    </row>
    <row r="2035" spans="1:4" x14ac:dyDescent="0.2">
      <c r="A2035" s="5">
        <v>1974</v>
      </c>
      <c r="B2035" s="138">
        <f>'Cap Outlay Deprec 26'!H12</f>
        <v>632552</v>
      </c>
      <c r="D2035" s="2" t="str">
        <f t="shared" si="30"/>
        <v>Error?</v>
      </c>
    </row>
    <row r="2036" spans="1:4" x14ac:dyDescent="0.2">
      <c r="A2036" s="5">
        <v>1975</v>
      </c>
      <c r="B2036" s="138">
        <f>'Cap Outlay Deprec 26'!H13</f>
        <v>273121</v>
      </c>
      <c r="D2036" s="2" t="str">
        <f t="shared" si="30"/>
        <v>Error?</v>
      </c>
    </row>
    <row r="2037" spans="1:4" x14ac:dyDescent="0.2">
      <c r="A2037" s="5">
        <v>1976</v>
      </c>
      <c r="B2037" s="138">
        <f>'Cap Outlay Deprec 26'!H16</f>
        <v>8050079</v>
      </c>
      <c r="C2037" s="2" t="s">
        <v>594</v>
      </c>
      <c r="D2037" s="2" t="str">
        <f t="shared" si="30"/>
        <v>Error?</v>
      </c>
    </row>
    <row r="2038" spans="1:4" x14ac:dyDescent="0.2">
      <c r="A2038" s="10">
        <v>1977</v>
      </c>
      <c r="D2038" s="2" t="str">
        <f t="shared" si="30"/>
        <v>OK</v>
      </c>
    </row>
    <row r="2039" spans="1:4" x14ac:dyDescent="0.2">
      <c r="A2039" s="5">
        <v>1978</v>
      </c>
      <c r="B2039" s="138">
        <f>'Cap Outlay Deprec 26'!I8</f>
        <v>339945</v>
      </c>
      <c r="D2039" s="2" t="str">
        <f t="shared" si="30"/>
        <v>Error?</v>
      </c>
    </row>
    <row r="2040" spans="1:4" x14ac:dyDescent="0.2">
      <c r="A2040" s="5">
        <v>1979</v>
      </c>
      <c r="B2040" s="138">
        <f>'Cap Outlay Deprec 26'!I10</f>
        <v>176</v>
      </c>
      <c r="D2040" s="2" t="str">
        <f t="shared" si="30"/>
        <v>Error?</v>
      </c>
    </row>
    <row r="2041" spans="1:4" x14ac:dyDescent="0.2">
      <c r="A2041" s="5">
        <v>1980</v>
      </c>
      <c r="B2041" s="138">
        <f>'Cap Outlay Deprec 26'!I12</f>
        <v>63862</v>
      </c>
      <c r="D2041" s="2" t="str">
        <f t="shared" si="30"/>
        <v>Error?</v>
      </c>
    </row>
    <row r="2042" spans="1:4" x14ac:dyDescent="0.2">
      <c r="A2042" s="5">
        <v>1981</v>
      </c>
      <c r="B2042" s="138">
        <f>'Cap Outlay Deprec 26'!I13</f>
        <v>19792</v>
      </c>
      <c r="D2042" s="2" t="str">
        <f t="shared" si="30"/>
        <v>Error?</v>
      </c>
    </row>
    <row r="2043" spans="1:4" x14ac:dyDescent="0.2">
      <c r="A2043" s="5">
        <v>1982</v>
      </c>
      <c r="B2043" s="138">
        <f>'Cap Outlay Deprec 26'!I16</f>
        <v>423775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7209891</v>
      </c>
      <c r="C2051" s="2" t="s">
        <v>594</v>
      </c>
      <c r="D2051" s="2" t="str">
        <f t="shared" si="31"/>
        <v>Error?</v>
      </c>
    </row>
    <row r="2052" spans="1:4" x14ac:dyDescent="0.2">
      <c r="A2052" s="5">
        <v>1991</v>
      </c>
      <c r="B2052" s="138">
        <f>'Cap Outlay Deprec 26'!K10</f>
        <v>274636</v>
      </c>
      <c r="C2052" s="2" t="s">
        <v>594</v>
      </c>
      <c r="D2052" s="2" t="str">
        <f t="shared" si="31"/>
        <v>Error?</v>
      </c>
    </row>
    <row r="2053" spans="1:4" x14ac:dyDescent="0.2">
      <c r="A2053" s="5">
        <v>1992</v>
      </c>
      <c r="B2053" s="138">
        <f>'Cap Outlay Deprec 26'!K12</f>
        <v>696414</v>
      </c>
      <c r="C2053" s="2" t="s">
        <v>594</v>
      </c>
      <c r="D2053" s="2" t="str">
        <f t="shared" si="31"/>
        <v>Error?</v>
      </c>
    </row>
    <row r="2054" spans="1:4" x14ac:dyDescent="0.2">
      <c r="A2054" s="5">
        <v>1993</v>
      </c>
      <c r="B2054" s="138">
        <f>'Cap Outlay Deprec 26'!K13</f>
        <v>292913</v>
      </c>
      <c r="C2054" s="2" t="s">
        <v>594</v>
      </c>
      <c r="D2054" s="2" t="str">
        <f t="shared" si="31"/>
        <v>Error?</v>
      </c>
    </row>
    <row r="2055" spans="1:4" x14ac:dyDescent="0.2">
      <c r="A2055" s="5">
        <v>1994</v>
      </c>
      <c r="B2055" s="138">
        <f>'Cap Outlay Deprec 26'!K16</f>
        <v>8473854</v>
      </c>
      <c r="C2055" s="2" t="s">
        <v>594</v>
      </c>
      <c r="D2055" s="2" t="str">
        <f t="shared" si="31"/>
        <v>Error?</v>
      </c>
    </row>
    <row r="2056" spans="1:4" x14ac:dyDescent="0.2">
      <c r="A2056" s="5">
        <v>1995</v>
      </c>
      <c r="B2056" s="138">
        <f>'Cap Outlay Deprec 26'!L5</f>
        <v>101299</v>
      </c>
      <c r="C2056" s="2" t="s">
        <v>594</v>
      </c>
      <c r="D2056" s="2" t="str">
        <f t="shared" si="31"/>
        <v>Error?</v>
      </c>
    </row>
    <row r="2057" spans="1:4" x14ac:dyDescent="0.2">
      <c r="A2057" s="5">
        <v>1996</v>
      </c>
      <c r="B2057" s="138">
        <f>'Cap Outlay Deprec 26'!L8</f>
        <v>6830598</v>
      </c>
      <c r="C2057" s="2" t="s">
        <v>594</v>
      </c>
      <c r="D2057" s="2" t="str">
        <f t="shared" si="31"/>
        <v>Error?</v>
      </c>
    </row>
    <row r="2058" spans="1:4" x14ac:dyDescent="0.2">
      <c r="A2058" s="5">
        <v>1997</v>
      </c>
      <c r="B2058" s="138">
        <f>'Cap Outlay Deprec 26'!L10</f>
        <v>476</v>
      </c>
      <c r="C2058" s="2" t="s">
        <v>594</v>
      </c>
      <c r="D2058" s="2" t="str">
        <f t="shared" si="31"/>
        <v>Error?</v>
      </c>
    </row>
    <row r="2059" spans="1:4" x14ac:dyDescent="0.2">
      <c r="A2059" s="5">
        <v>1998</v>
      </c>
      <c r="B2059" s="138">
        <f>'Cap Outlay Deprec 26'!L12</f>
        <v>130720</v>
      </c>
      <c r="C2059" s="2" t="s">
        <v>594</v>
      </c>
      <c r="D2059" s="2" t="str">
        <f t="shared" si="31"/>
        <v>Error?</v>
      </c>
    </row>
    <row r="2060" spans="1:4" x14ac:dyDescent="0.2">
      <c r="A2060" s="5">
        <v>1999</v>
      </c>
      <c r="B2060" s="138">
        <f>'Cap Outlay Deprec 26'!L13</f>
        <v>43570</v>
      </c>
      <c r="C2060" s="2" t="s">
        <v>594</v>
      </c>
      <c r="D2060" s="2" t="str">
        <f t="shared" si="31"/>
        <v>Error?</v>
      </c>
    </row>
    <row r="2061" spans="1:4" x14ac:dyDescent="0.2">
      <c r="A2061" s="5">
        <v>2000</v>
      </c>
      <c r="B2061" s="138">
        <f>'Cap Outlay Deprec 26'!L16</f>
        <v>8099776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345306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2006101</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102776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66673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2799248</v>
      </c>
      <c r="C2551" s="2" t="s">
        <v>594</v>
      </c>
      <c r="D2551" s="2" t="str">
        <f t="shared" si="38"/>
        <v>Error?</v>
      </c>
    </row>
    <row r="2552" spans="1:4" x14ac:dyDescent="0.2">
      <c r="A2552" s="10">
        <v>2491</v>
      </c>
      <c r="D2552" s="2" t="str">
        <f t="shared" si="38"/>
        <v>OK</v>
      </c>
    </row>
    <row r="2553" spans="1:4" x14ac:dyDescent="0.2">
      <c r="A2553" s="5">
        <v>2492</v>
      </c>
      <c r="B2553" s="138">
        <f>'Acct Summary 7-8'!C6</f>
        <v>6101868</v>
      </c>
      <c r="C2553" s="2" t="s">
        <v>594</v>
      </c>
      <c r="D2553" s="2" t="str">
        <f t="shared" si="38"/>
        <v>Error?</v>
      </c>
    </row>
    <row r="2554" spans="1:4" x14ac:dyDescent="0.2">
      <c r="A2554" s="5">
        <v>2493</v>
      </c>
      <c r="B2554" s="138">
        <f>'Acct Summary 7-8'!C7</f>
        <v>730413</v>
      </c>
      <c r="C2554" s="2" t="s">
        <v>594</v>
      </c>
      <c r="D2554" s="2" t="str">
        <f t="shared" si="38"/>
        <v>Error?</v>
      </c>
    </row>
    <row r="2555" spans="1:4" x14ac:dyDescent="0.2">
      <c r="A2555" s="5">
        <v>2494</v>
      </c>
      <c r="B2555" s="138">
        <f>'Acct Summary 7-8'!C8</f>
        <v>9722711</v>
      </c>
      <c r="C2555" s="2" t="s">
        <v>594</v>
      </c>
      <c r="D2555" s="2" t="str">
        <f t="shared" si="38"/>
        <v>Error?</v>
      </c>
    </row>
    <row r="2556" spans="1:4" x14ac:dyDescent="0.2">
      <c r="A2556" s="5">
        <v>2495</v>
      </c>
      <c r="B2556" s="138">
        <f>'Acct Summary 7-8'!C12</f>
        <v>5385678</v>
      </c>
      <c r="C2556" s="2" t="s">
        <v>594</v>
      </c>
      <c r="D2556" s="2" t="str">
        <f t="shared" si="38"/>
        <v>Error?</v>
      </c>
    </row>
    <row r="2557" spans="1:4" x14ac:dyDescent="0.2">
      <c r="A2557" s="5">
        <v>2496</v>
      </c>
      <c r="B2557" s="138">
        <f>'Acct Summary 7-8'!C13</f>
        <v>3363517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360110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9109305</v>
      </c>
      <c r="C2561" s="2" t="s">
        <v>594</v>
      </c>
      <c r="D2561" s="2" t="str">
        <f t="shared" si="39"/>
        <v>Error?</v>
      </c>
    </row>
    <row r="2562" spans="1:4" x14ac:dyDescent="0.2">
      <c r="A2562" s="5">
        <v>2501</v>
      </c>
      <c r="B2562" s="138">
        <f>'Acct Summary 7-8'!C20</f>
        <v>613406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581682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581682</v>
      </c>
      <c r="C2568" s="2" t="s">
        <v>594</v>
      </c>
      <c r="D2568" s="2" t="str">
        <f t="shared" si="39"/>
        <v>Error?</v>
      </c>
    </row>
    <row r="2569" spans="1:4" x14ac:dyDescent="0.2">
      <c r="A2569" s="5">
        <v>2508</v>
      </c>
      <c r="B2569" s="138">
        <f>'Acct Summary 7-8'!D13</f>
        <v>1552398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1552398</v>
      </c>
      <c r="C2573" s="2" t="s">
        <v>594</v>
      </c>
      <c r="D2573" s="2" t="str">
        <f t="shared" si="39"/>
        <v>Error?</v>
      </c>
    </row>
    <row r="2574" spans="1:4" x14ac:dyDescent="0.2">
      <c r="A2574" s="5">
        <v>2513</v>
      </c>
      <c r="B2574" s="138">
        <f>'Acct Summary 7-8'!D20</f>
        <v>-970716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238454</v>
      </c>
      <c r="C2591" s="2" t="s">
        <v>594</v>
      </c>
      <c r="D2591" s="2" t="str">
        <f t="shared" si="39"/>
        <v>Error?</v>
      </c>
    </row>
    <row r="2592" spans="1:4" x14ac:dyDescent="0.2">
      <c r="A2592" s="10">
        <v>2531</v>
      </c>
      <c r="D2592" s="2" t="str">
        <f t="shared" si="39"/>
        <v>OK</v>
      </c>
    </row>
    <row r="2593" spans="1:4" x14ac:dyDescent="0.2">
      <c r="A2593" s="5">
        <v>2532</v>
      </c>
      <c r="B2593" s="138">
        <f>'Acct Summary 7-8'!F6</f>
        <v>514707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753161</v>
      </c>
      <c r="C2595" s="2" t="s">
        <v>594</v>
      </c>
      <c r="D2595" s="2" t="str">
        <f t="shared" si="39"/>
        <v>Error?</v>
      </c>
    </row>
    <row r="2596" spans="1:4" x14ac:dyDescent="0.2">
      <c r="A2596" s="5">
        <v>2535</v>
      </c>
      <c r="B2596" s="138">
        <f>'Acct Summary 7-8'!F13</f>
        <v>686624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686624</v>
      </c>
      <c r="C2600" s="2" t="s">
        <v>594</v>
      </c>
      <c r="D2600" s="2" t="str">
        <f t="shared" si="39"/>
        <v>Error?</v>
      </c>
    </row>
    <row r="2601" spans="1:4" x14ac:dyDescent="0.2">
      <c r="A2601" s="5">
        <v>2540</v>
      </c>
      <c r="B2601" s="138">
        <f>'Acct Summary 7-8'!F20</f>
        <v>66537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363248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363248</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348874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348874</v>
      </c>
      <c r="C2612" s="2" t="s">
        <v>594</v>
      </c>
      <c r="D2612" s="2" t="str">
        <f t="shared" si="39"/>
        <v>Error?</v>
      </c>
    </row>
    <row r="2613" spans="1:4" x14ac:dyDescent="0.2">
      <c r="A2613" s="5">
        <v>2552</v>
      </c>
      <c r="B2613" s="138">
        <f>'Acct Summary 7-8'!G20</f>
        <v>14374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555755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555755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2062727</v>
      </c>
      <c r="C2634" s="2" t="s">
        <v>594</v>
      </c>
      <c r="D2634" s="2" t="str">
        <f t="shared" si="40"/>
        <v>Error?</v>
      </c>
    </row>
    <row r="2635" spans="1:4" x14ac:dyDescent="0.2">
      <c r="A2635" s="5">
        <v>2574</v>
      </c>
      <c r="B2635" s="138">
        <f>'Acct Summary 7-8'!E17</f>
        <v>2062727</v>
      </c>
      <c r="C2635" s="2" t="s">
        <v>594</v>
      </c>
      <c r="D2635" s="2" t="str">
        <f t="shared" si="40"/>
        <v>Error?</v>
      </c>
    </row>
    <row r="2636" spans="1:4" x14ac:dyDescent="0.2">
      <c r="A2636" s="5">
        <v>2575</v>
      </c>
      <c r="B2636" s="138">
        <f>'Acct Summary 7-8'!E20</f>
        <v>-1506972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993113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249101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249101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165705</v>
      </c>
      <c r="D3055" s="2" t="str">
        <f t="shared" si="46"/>
        <v>Error?</v>
      </c>
    </row>
    <row r="3056" spans="1:4" x14ac:dyDescent="0.2">
      <c r="A3056" s="5">
        <v>2995</v>
      </c>
      <c r="B3056" s="138">
        <f>'Expenditures 15-22'!D10</f>
        <v>18629</v>
      </c>
      <c r="D3056" s="2" t="str">
        <f t="shared" si="46"/>
        <v>Error?</v>
      </c>
    </row>
    <row r="3057" spans="1:4" x14ac:dyDescent="0.2">
      <c r="A3057" s="5">
        <v>2996</v>
      </c>
      <c r="B3057" s="138">
        <f>'Expenditures 15-22'!E10</f>
        <v>29676</v>
      </c>
      <c r="D3057" s="2" t="str">
        <f t="shared" si="46"/>
        <v>Error?</v>
      </c>
    </row>
    <row r="3058" spans="1:4" x14ac:dyDescent="0.2">
      <c r="A3058" s="5">
        <v>2997</v>
      </c>
      <c r="B3058" s="138">
        <f>'Expenditures 15-22'!F10</f>
        <v>95051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309061</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249101</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1500400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57504</v>
      </c>
      <c r="C3225" s="2" t="s">
        <v>594</v>
      </c>
      <c r="D3225" s="2" t="str">
        <f t="shared" si="49"/>
        <v>Error?</v>
      </c>
    </row>
    <row r="3226" spans="1:4" x14ac:dyDescent="0.2">
      <c r="A3226" s="5">
        <v>3165</v>
      </c>
      <c r="B3226" s="138">
        <f>'Acct Summary 7-8'!I8</f>
        <v>57504</v>
      </c>
      <c r="C3226" s="2" t="s">
        <v>594</v>
      </c>
      <c r="D3226" s="2" t="str">
        <f t="shared" si="49"/>
        <v>Error?</v>
      </c>
    </row>
    <row r="3227" spans="1:4" x14ac:dyDescent="0.2">
      <c r="A3227" s="5">
        <v>3166</v>
      </c>
      <c r="B3227" s="138">
        <f>'Acct Summary 7-8'!I20</f>
        <v>57504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613406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2006101</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2006101</v>
      </c>
      <c r="C3238" s="2" t="s">
        <v>594</v>
      </c>
      <c r="D3238" s="2" t="str">
        <f t="shared" si="49"/>
        <v>Error?</v>
      </c>
    </row>
    <row r="3239" spans="1:4" x14ac:dyDescent="0.2">
      <c r="A3239" s="5">
        <v>3178</v>
      </c>
      <c r="B3239" s="138">
        <f>'Acct Summary 7-8'!D78</f>
        <v>1035385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66537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14374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1500400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1500400</v>
      </c>
      <c r="C3277" s="2" t="s">
        <v>594</v>
      </c>
      <c r="D3277" s="2" t="str">
        <f t="shared" si="50"/>
        <v>Error?</v>
      </c>
    </row>
    <row r="3278" spans="1:4" x14ac:dyDescent="0.2">
      <c r="A3278" s="5">
        <v>3217</v>
      </c>
      <c r="B3278" s="138">
        <f>'Acct Summary 7-8'!E78</f>
        <v>-6572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1936500</v>
      </c>
      <c r="C3317" s="2" t="s">
        <v>594</v>
      </c>
      <c r="D3317" s="2" t="str">
        <f t="shared" si="50"/>
        <v>Error?</v>
      </c>
    </row>
    <row r="3318" spans="1:4" x14ac:dyDescent="0.2">
      <c r="A3318" s="5">
        <v>3257</v>
      </c>
      <c r="B3318" s="138">
        <f>'Acct Summary 7-8'!I76</f>
        <v>2006101</v>
      </c>
      <c r="C3318" s="2" t="s">
        <v>594</v>
      </c>
      <c r="D3318" s="2" t="str">
        <f t="shared" si="50"/>
        <v>Error?</v>
      </c>
    </row>
    <row r="3319" spans="1:4" x14ac:dyDescent="0.2">
      <c r="A3319" s="5">
        <v>3258</v>
      </c>
      <c r="B3319" s="138">
        <f>'Acct Summary 7-8'!I77</f>
        <v>-69601</v>
      </c>
      <c r="C3319" s="2" t="s">
        <v>594</v>
      </c>
      <c r="D3319" s="2" t="str">
        <f t="shared" si="50"/>
        <v>Error?</v>
      </c>
    </row>
    <row r="3320" spans="1:4" x14ac:dyDescent="0.2">
      <c r="A3320" s="5">
        <v>3259</v>
      </c>
      <c r="B3320" s="138">
        <f>'Acct Summary 7-8'!I78</f>
        <v>-12097</v>
      </c>
      <c r="C3320" s="2" t="s">
        <v>594</v>
      </c>
      <c r="D3320" s="2" t="str">
        <f t="shared" si="50"/>
        <v>Error?</v>
      </c>
    </row>
    <row r="3321" spans="1:4" x14ac:dyDescent="0.2">
      <c r="A3321" s="5">
        <v>3260</v>
      </c>
      <c r="B3321" s="138">
        <f>'Acct Summary 7-8'!I79</f>
        <v>12097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1003444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154653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7178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1165503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91182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3009592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1834672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66673</v>
      </c>
      <c r="D3417" s="2" t="str">
        <f t="shared" si="52"/>
        <v>Error?</v>
      </c>
    </row>
    <row r="3418" spans="1:4" x14ac:dyDescent="0.2">
      <c r="A3418" s="10">
        <v>3357</v>
      </c>
      <c r="D3418" s="2" t="str">
        <f t="shared" si="52"/>
        <v>OK</v>
      </c>
    </row>
    <row r="3419" spans="1:4" x14ac:dyDescent="0.2">
      <c r="A3419" s="5">
        <v>3358</v>
      </c>
      <c r="B3419" s="138">
        <f>'Assets-Liab 5-6'!F4</f>
        <v>304035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102776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249101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99695</v>
      </c>
      <c r="C3446" s="2" t="s">
        <v>594</v>
      </c>
      <c r="D3446" s="2" t="str">
        <f t="shared" si="52"/>
        <v>Error?</v>
      </c>
    </row>
    <row r="3447" spans="1:4" x14ac:dyDescent="0.2">
      <c r="A3447" s="5">
        <v>3386</v>
      </c>
      <c r="B3447" s="138">
        <f>'Tax Sched 23'!D16</f>
        <v>99695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261723</v>
      </c>
      <c r="C3449" s="2" t="s">
        <v>594</v>
      </c>
      <c r="D3449" s="2" t="str">
        <f t="shared" si="52"/>
        <v>Error?</v>
      </c>
    </row>
    <row r="3450" spans="1:4" x14ac:dyDescent="0.2">
      <c r="A3450" s="5">
        <v>3389</v>
      </c>
      <c r="B3450" s="138">
        <f>'Tax Sched 23'!E16</f>
        <v>261723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993113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993113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993113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131036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131036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131036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131036</v>
      </c>
      <c r="C3568" s="2" t="s">
        <v>594</v>
      </c>
      <c r="D3568" s="2" t="str">
        <f t="shared" si="54"/>
        <v>Error?</v>
      </c>
    </row>
    <row r="3569" spans="1:4" x14ac:dyDescent="0.2">
      <c r="A3569" s="5">
        <v>3508</v>
      </c>
      <c r="B3569" s="138">
        <f>'Acct Summary 7-8'!K4</f>
        <v>58133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58133</v>
      </c>
      <c r="C3571" s="2" t="s">
        <v>594</v>
      </c>
      <c r="D3571" s="2" t="str">
        <f t="shared" si="54"/>
        <v>Error?</v>
      </c>
    </row>
    <row r="3572" spans="1:4" x14ac:dyDescent="0.2">
      <c r="A3572" s="5">
        <v>3511</v>
      </c>
      <c r="B3572" s="138">
        <f>'Acct Summary 7-8'!K13</f>
        <v>106866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106866</v>
      </c>
      <c r="C3575" s="2" t="s">
        <v>594</v>
      </c>
      <c r="D3575" s="2" t="str">
        <f t="shared" si="54"/>
        <v>Error?</v>
      </c>
    </row>
    <row r="3576" spans="1:4" x14ac:dyDescent="0.2">
      <c r="A3576" s="5">
        <v>3515</v>
      </c>
      <c r="B3576" s="138">
        <f>'Acct Summary 7-8'!K20</f>
        <v>-48733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-48733</v>
      </c>
      <c r="C3588" s="2" t="s">
        <v>594</v>
      </c>
      <c r="D3588" s="2" t="str">
        <f t="shared" si="55"/>
        <v>Error?</v>
      </c>
    </row>
    <row r="3589" spans="1:4" x14ac:dyDescent="0.2">
      <c r="A3589" s="5">
        <v>3528</v>
      </c>
      <c r="B3589" s="138">
        <f>'Acct Summary 7-8'!K79</f>
        <v>179769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131036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66205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66205</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66205</v>
      </c>
      <c r="C3635" s="2" t="s">
        <v>594</v>
      </c>
      <c r="D3635" s="2" t="str">
        <f t="shared" si="55"/>
        <v>Error?</v>
      </c>
    </row>
    <row r="3636" spans="1:4" x14ac:dyDescent="0.2">
      <c r="A3636" s="5">
        <v>3575</v>
      </c>
      <c r="B3636" s="138">
        <f>'Expenditures 15-22'!E367</f>
        <v>66205</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16741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16741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16741</v>
      </c>
      <c r="C3649" s="2" t="s">
        <v>594</v>
      </c>
      <c r="D3649" s="2" t="str">
        <f t="shared" si="56"/>
        <v>Error?</v>
      </c>
    </row>
    <row r="3650" spans="1:4" x14ac:dyDescent="0.2">
      <c r="A3650" s="5">
        <v>3589</v>
      </c>
      <c r="B3650" s="138">
        <f>'Expenditures 15-22'!G367</f>
        <v>16741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106866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106866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106866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106866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-48733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57033</v>
      </c>
      <c r="C3725" s="2" t="s">
        <v>594</v>
      </c>
      <c r="D3725" s="2" t="str">
        <f t="shared" si="57"/>
        <v>Error?</v>
      </c>
    </row>
    <row r="3726" spans="1:4" x14ac:dyDescent="0.2">
      <c r="A3726" s="5">
        <v>3665</v>
      </c>
      <c r="B3726" s="138">
        <f>'Tax Sched 23'!D13</f>
        <v>57033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61036</v>
      </c>
      <c r="C3728" s="2" t="s">
        <v>594</v>
      </c>
      <c r="D3728" s="2" t="str">
        <f t="shared" si="57"/>
        <v>Error?</v>
      </c>
    </row>
    <row r="3729" spans="1:4" x14ac:dyDescent="0.2">
      <c r="A3729" s="5">
        <v>3668</v>
      </c>
      <c r="B3729" s="138">
        <f>'Tax Sched 23'!E13</f>
        <v>61036</v>
      </c>
      <c r="D3729" s="2" t="str">
        <f t="shared" si="57"/>
        <v>Error?</v>
      </c>
    </row>
    <row r="3730" spans="1:4" x14ac:dyDescent="0.2">
      <c r="A3730" s="5">
        <v>3669</v>
      </c>
      <c r="B3730" s="138">
        <f>'ICR Computation 30'!E10</f>
        <v>208911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643771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10366482</v>
      </c>
      <c r="C4122" s="2" t="s">
        <v>594</v>
      </c>
      <c r="D4122" s="2" t="str">
        <f t="shared" si="63"/>
        <v>Error?</v>
      </c>
    </row>
    <row r="4123" spans="1:4" x14ac:dyDescent="0.2">
      <c r="A4123" s="5">
        <v>4062</v>
      </c>
      <c r="B4123" s="138">
        <f>'Acct Summary 7-8'!D10</f>
        <v>581682</v>
      </c>
      <c r="C4123" s="2" t="s">
        <v>594</v>
      </c>
      <c r="D4123" s="2" t="str">
        <f t="shared" si="63"/>
        <v>Error?</v>
      </c>
    </row>
    <row r="4124" spans="1:4" x14ac:dyDescent="0.2">
      <c r="A4124" s="5">
        <v>4063</v>
      </c>
      <c r="B4124" s="138">
        <f>'Acct Summary 7-8'!E10</f>
        <v>555755</v>
      </c>
      <c r="C4124" s="2" t="s">
        <v>594</v>
      </c>
      <c r="D4124" s="2" t="str">
        <f t="shared" si="63"/>
        <v>Error?</v>
      </c>
    </row>
    <row r="4125" spans="1:4" x14ac:dyDescent="0.2">
      <c r="A4125" s="5">
        <v>4064</v>
      </c>
      <c r="B4125" s="138">
        <f>'Acct Summary 7-8'!F10</f>
        <v>753161</v>
      </c>
      <c r="C4125" s="2" t="s">
        <v>594</v>
      </c>
      <c r="D4125" s="2" t="str">
        <f t="shared" si="63"/>
        <v>Error?</v>
      </c>
    </row>
    <row r="4126" spans="1:4" x14ac:dyDescent="0.2">
      <c r="A4126" s="5">
        <v>4065</v>
      </c>
      <c r="B4126" s="138">
        <f>'Acct Summary 7-8'!G10</f>
        <v>363248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57504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58133</v>
      </c>
      <c r="C4130" s="2" t="s">
        <v>594</v>
      </c>
      <c r="D4130" s="2" t="str">
        <f t="shared" si="63"/>
        <v>Error?</v>
      </c>
    </row>
    <row r="4131" spans="1:4" x14ac:dyDescent="0.2">
      <c r="A4131" s="5">
        <v>4070</v>
      </c>
      <c r="B4131" s="138">
        <f>'Acct Summary 7-8'!C18</f>
        <v>643771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9753076</v>
      </c>
      <c r="C4136" s="2" t="s">
        <v>594</v>
      </c>
      <c r="D4136" s="2" t="str">
        <f t="shared" si="63"/>
        <v>Error?</v>
      </c>
    </row>
    <row r="4137" spans="1:4" x14ac:dyDescent="0.2">
      <c r="A4137" s="5">
        <v>4076</v>
      </c>
      <c r="B4137" s="138">
        <f>'Acct Summary 7-8'!D19</f>
        <v>1552398</v>
      </c>
      <c r="C4137" s="2" t="s">
        <v>594</v>
      </c>
      <c r="D4137" s="2" t="str">
        <f t="shared" si="63"/>
        <v>Error?</v>
      </c>
    </row>
    <row r="4138" spans="1:4" x14ac:dyDescent="0.2">
      <c r="A4138" s="5">
        <v>4077</v>
      </c>
      <c r="B4138" s="138">
        <f>'Acct Summary 7-8'!E19</f>
        <v>2062727</v>
      </c>
      <c r="C4138" s="2" t="s">
        <v>594</v>
      </c>
      <c r="D4138" s="2" t="str">
        <f t="shared" si="63"/>
        <v>Error?</v>
      </c>
    </row>
    <row r="4139" spans="1:4" x14ac:dyDescent="0.2">
      <c r="A4139" s="5">
        <v>4078</v>
      </c>
      <c r="B4139" s="138">
        <f>'Acct Summary 7-8'!F19</f>
        <v>686624</v>
      </c>
      <c r="C4139" s="2" t="s">
        <v>594</v>
      </c>
      <c r="D4139" s="2" t="str">
        <f t="shared" si="63"/>
        <v>Error?</v>
      </c>
    </row>
    <row r="4140" spans="1:4" x14ac:dyDescent="0.2">
      <c r="A4140" s="5">
        <v>4079</v>
      </c>
      <c r="B4140" s="138">
        <f>'Acct Summary 7-8'!G19</f>
        <v>348874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106866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5803800</v>
      </c>
      <c r="C4171" s="2" t="s">
        <v>594</v>
      </c>
      <c r="D4171" s="2" t="str">
        <f t="shared" si="64"/>
        <v>Error?</v>
      </c>
    </row>
    <row r="4172" spans="1:4" x14ac:dyDescent="0.2">
      <c r="A4172" s="5">
        <v>4111</v>
      </c>
      <c r="B4172" s="138">
        <f>'Short-Term Long-Term Debt 24'!J49</f>
        <v>5803800</v>
      </c>
      <c r="C4172" s="2" t="s">
        <v>594</v>
      </c>
      <c r="D4172" s="2" t="str">
        <f t="shared" si="64"/>
        <v>Error?</v>
      </c>
    </row>
    <row r="4173" spans="1:4" x14ac:dyDescent="0.2">
      <c r="A4173" s="5">
        <v>4112</v>
      </c>
      <c r="B4173" s="138">
        <f>'Short-Term Long-Term Debt 24'!H49</f>
        <v>1621993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7697039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22055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17123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64162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1819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118961694</v>
      </c>
      <c r="D4995" s="2" t="str">
        <f t="shared" si="77"/>
        <v>Error?</v>
      </c>
    </row>
    <row r="4996" spans="1:4" x14ac:dyDescent="0.2">
      <c r="A4996" s="12">
        <v>4935</v>
      </c>
      <c r="B4996" s="138">
        <f>'FP Info 3'!H31</f>
        <v>16416713.772000002</v>
      </c>
      <c r="D4996" s="2" t="str">
        <f t="shared" si="77"/>
        <v>Error?</v>
      </c>
    </row>
    <row r="4997" spans="1:4" x14ac:dyDescent="0.2">
      <c r="A4997" s="12">
        <v>4936</v>
      </c>
      <c r="B4997" s="138">
        <f>'FP Info 3'!H37</f>
        <v>5803800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57033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2098782</v>
      </c>
      <c r="D5061" s="2" t="str">
        <f t="shared" si="78"/>
        <v>Error?</v>
      </c>
    </row>
    <row r="5062" spans="1:4" x14ac:dyDescent="0.2">
      <c r="A5062" s="10">
        <v>5001</v>
      </c>
      <c r="D5062" s="2" t="str">
        <f t="shared" si="78"/>
        <v>OK</v>
      </c>
    </row>
    <row r="5063" spans="1:4" x14ac:dyDescent="0.2">
      <c r="A5063" s="5">
        <v>5002</v>
      </c>
      <c r="B5063" s="138">
        <f>'Revenues 9-14'!C7</f>
        <v>45283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2201098</v>
      </c>
      <c r="C5066" s="2" t="s">
        <v>594</v>
      </c>
      <c r="D5066" s="2" t="str">
        <f t="shared" si="78"/>
        <v>Error?</v>
      </c>
    </row>
    <row r="5067" spans="1:4" x14ac:dyDescent="0.2">
      <c r="A5067" s="5">
        <v>5006</v>
      </c>
      <c r="B5067" s="138">
        <f>'Revenues 9-14'!C14</f>
        <v>7914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189121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197035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57991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57991</v>
      </c>
      <c r="C5090" s="2" t="s">
        <v>594</v>
      </c>
      <c r="D5090" s="2" t="str">
        <f t="shared" si="78"/>
        <v>Error?</v>
      </c>
    </row>
    <row r="5091" spans="1:4" x14ac:dyDescent="0.2">
      <c r="A5091" s="5">
        <v>5030</v>
      </c>
      <c r="B5091" s="138">
        <f>'Revenues 9-14'!C70</f>
        <v>5732</v>
      </c>
      <c r="D5091" s="2" t="str">
        <f t="shared" si="78"/>
        <v>Error?</v>
      </c>
    </row>
    <row r="5092" spans="1:4" x14ac:dyDescent="0.2">
      <c r="A5092" s="5">
        <v>5031</v>
      </c>
      <c r="B5092" s="138">
        <f>'Revenues 9-14'!C71</f>
        <v>9371</v>
      </c>
      <c r="D5092" s="2" t="str">
        <f t="shared" si="78"/>
        <v>Error?</v>
      </c>
    </row>
    <row r="5093" spans="1:4" x14ac:dyDescent="0.2">
      <c r="A5093" s="5">
        <v>5032</v>
      </c>
      <c r="B5093" s="138">
        <f>'Revenues 9-14'!C72</f>
        <v>17849</v>
      </c>
      <c r="D5093" s="2" t="str">
        <f t="shared" si="78"/>
        <v>Error?</v>
      </c>
    </row>
    <row r="5094" spans="1:4" x14ac:dyDescent="0.2">
      <c r="A5094" s="5">
        <v>5033</v>
      </c>
      <c r="B5094" s="138">
        <f>'Revenues 9-14'!C73</f>
        <v>3733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140886</v>
      </c>
      <c r="C5096" s="2" t="s">
        <v>594</v>
      </c>
      <c r="D5096" s="2" t="str">
        <f t="shared" si="78"/>
        <v>Error?</v>
      </c>
    </row>
    <row r="5097" spans="1:4" x14ac:dyDescent="0.2">
      <c r="A5097" s="5">
        <v>5036</v>
      </c>
      <c r="B5097" s="138">
        <f>'Revenues 9-14'!C77</f>
        <v>49896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52946</v>
      </c>
      <c r="C5102" s="2" t="s">
        <v>594</v>
      </c>
      <c r="D5102" s="2" t="str">
        <f t="shared" si="78"/>
        <v>Error?</v>
      </c>
    </row>
    <row r="5103" spans="1:4" x14ac:dyDescent="0.2">
      <c r="A5103" s="5">
        <v>5042</v>
      </c>
      <c r="B5103" s="138">
        <f>'Revenues 9-14'!C84</f>
        <v>55641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55641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90000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v>
      </c>
      <c r="D5119" s="2" t="str">
        <f t="shared" ref="D5119:D5182" si="79">IF(ISBLANK(B5119),"OK",IF(A5119-B5119=0,"OK","Error?"))</f>
        <v>Error?</v>
      </c>
    </row>
    <row r="5120" spans="1:4" x14ac:dyDescent="0.2">
      <c r="A5120" s="5">
        <v>5059</v>
      </c>
      <c r="B5120" s="138">
        <f>'Revenues 9-14'!C108</f>
        <v>93651</v>
      </c>
      <c r="C5120" s="2" t="s">
        <v>594</v>
      </c>
      <c r="D5120" s="2" t="str">
        <f t="shared" si="79"/>
        <v>Error?</v>
      </c>
    </row>
    <row r="5121" spans="1:4" x14ac:dyDescent="0.2">
      <c r="A5121" s="5">
        <v>5060</v>
      </c>
      <c r="B5121" s="138">
        <f>'Revenues 9-14'!C109</f>
        <v>2799248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91182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91182</v>
      </c>
      <c r="C5125" s="2" t="s">
        <v>594</v>
      </c>
      <c r="D5125" s="2" t="str">
        <f t="shared" si="79"/>
        <v>Error?</v>
      </c>
    </row>
    <row r="5126" spans="1:4" x14ac:dyDescent="0.2">
      <c r="A5126" s="5">
        <v>5065</v>
      </c>
      <c r="B5126" s="138">
        <f>'Revenues 9-14'!C117</f>
        <v>5681692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5681692</v>
      </c>
      <c r="C5132" s="2" t="s">
        <v>594</v>
      </c>
      <c r="D5132" s="2" t="str">
        <f t="shared" si="79"/>
        <v>Error?</v>
      </c>
    </row>
    <row r="5133" spans="1:4" x14ac:dyDescent="0.2">
      <c r="A5133" s="5">
        <v>5072</v>
      </c>
      <c r="B5133" s="138">
        <f>'Revenues 9-14'!C124</f>
        <v>80672</v>
      </c>
      <c r="D5133" s="2" t="str">
        <f t="shared" si="79"/>
        <v>Error?</v>
      </c>
    </row>
    <row r="5134" spans="1:4" x14ac:dyDescent="0.2">
      <c r="A5134" s="5">
        <v>5073</v>
      </c>
      <c r="B5134" s="138">
        <f>'Revenues 9-14'!C125</f>
        <v>88806</v>
      </c>
      <c r="D5134" s="2" t="str">
        <f t="shared" si="79"/>
        <v>Error?</v>
      </c>
    </row>
    <row r="5135" spans="1:4" x14ac:dyDescent="0.2">
      <c r="A5135" s="5">
        <v>5074</v>
      </c>
      <c r="B5135" s="138">
        <f>'Revenues 9-14'!C126</f>
        <v>126002</v>
      </c>
      <c r="D5135" s="2" t="str">
        <f t="shared" si="79"/>
        <v>Error?</v>
      </c>
    </row>
    <row r="5136" spans="1:4" x14ac:dyDescent="0.2">
      <c r="A5136" s="10">
        <v>5075</v>
      </c>
      <c r="D5136" s="2" t="str">
        <f t="shared" si="79"/>
        <v>OK</v>
      </c>
    </row>
    <row r="5137" spans="1:4" x14ac:dyDescent="0.2">
      <c r="A5137" s="5">
        <v>5076</v>
      </c>
      <c r="B5137" s="138">
        <f>'Revenues 9-14'!C127</f>
        <v>30563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326043</v>
      </c>
      <c r="C5147" s="2" t="s">
        <v>594</v>
      </c>
      <c r="D5147" s="2" t="str">
        <f t="shared" si="79"/>
        <v>Error?</v>
      </c>
    </row>
    <row r="5148" spans="1:4" x14ac:dyDescent="0.2">
      <c r="A5148" s="5">
        <v>5087</v>
      </c>
      <c r="B5148" s="138">
        <f>'Revenues 9-14'!C133</f>
        <v>60872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69012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2990</v>
      </c>
      <c r="D5167" s="2" t="str">
        <f t="shared" si="79"/>
        <v>Error?</v>
      </c>
    </row>
    <row r="5168" spans="1:4" x14ac:dyDescent="0.2">
      <c r="A5168" s="5">
        <v>5107</v>
      </c>
      <c r="B5168" s="138">
        <f>'Revenues 9-14'!C147</f>
        <v>20312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420176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6101868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174682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40351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215033</v>
      </c>
      <c r="C5246" s="2" t="s">
        <v>594</v>
      </c>
      <c r="D5246" s="2" t="str">
        <f t="shared" si="80"/>
        <v>Error?</v>
      </c>
    </row>
    <row r="5247" spans="1:4" x14ac:dyDescent="0.2">
      <c r="A5247" s="5">
        <v>5186</v>
      </c>
      <c r="B5247" s="138">
        <f>'Revenues 9-14'!C203</f>
        <v>288136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288136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123904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123904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730413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730413</v>
      </c>
      <c r="C5326" s="2" t="s">
        <v>594</v>
      </c>
      <c r="D5326" s="2" t="str">
        <f t="shared" si="82"/>
        <v>Error?</v>
      </c>
    </row>
    <row r="5327" spans="1:4" x14ac:dyDescent="0.2">
      <c r="A5327" s="5">
        <v>5266</v>
      </c>
      <c r="B5327" s="138">
        <f>'Revenues 9-14'!C275</f>
        <v>9722711</v>
      </c>
      <c r="C5327" s="2" t="s">
        <v>594</v>
      </c>
      <c r="D5327" s="2" t="str">
        <f t="shared" si="82"/>
        <v>Error?</v>
      </c>
    </row>
    <row r="5328" spans="1:4" x14ac:dyDescent="0.2">
      <c r="A5328" s="5">
        <v>5267</v>
      </c>
      <c r="B5328" s="138">
        <f>'Revenues 9-14'!D5</f>
        <v>570323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570323</v>
      </c>
      <c r="C5334" s="2" t="s">
        <v>594</v>
      </c>
      <c r="D5334" s="2" t="str">
        <f t="shared" si="82"/>
        <v>Error?</v>
      </c>
    </row>
    <row r="5335" spans="1:4" x14ac:dyDescent="0.2">
      <c r="A5335" s="5">
        <v>5274</v>
      </c>
      <c r="B5335" s="138">
        <f>'Revenues 9-14'!D14</f>
        <v>2051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2051</v>
      </c>
      <c r="C5339" s="2" t="s">
        <v>594</v>
      </c>
      <c r="D5339" s="2" t="str">
        <f t="shared" si="82"/>
        <v>Error?</v>
      </c>
    </row>
    <row r="5340" spans="1:4" x14ac:dyDescent="0.2">
      <c r="A5340" s="5">
        <v>5279</v>
      </c>
      <c r="B5340" s="138">
        <f>'Revenues 9-14'!D65</f>
        <v>9108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9108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v>
      </c>
      <c r="C5355" s="2" t="s">
        <v>594</v>
      </c>
      <c r="D5355" s="2" t="str">
        <f t="shared" si="82"/>
        <v>Error?</v>
      </c>
    </row>
    <row r="5356" spans="1:4" x14ac:dyDescent="0.2">
      <c r="A5356" s="5">
        <v>5295</v>
      </c>
      <c r="B5356" s="138">
        <f>'Revenues 9-14'!D109</f>
        <v>581682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581682</v>
      </c>
      <c r="C5508" s="2" t="s">
        <v>594</v>
      </c>
      <c r="D5508" s="2" t="str">
        <f t="shared" si="85"/>
        <v>Error?</v>
      </c>
    </row>
    <row r="5509" spans="1:4" x14ac:dyDescent="0.2">
      <c r="A5509" s="5">
        <v>5448</v>
      </c>
      <c r="B5509" s="138">
        <f>'Revenues 9-14'!E5</f>
        <v>552416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552416</v>
      </c>
      <c r="C5513" s="2" t="s">
        <v>594</v>
      </c>
      <c r="D5513" s="2" t="str">
        <f t="shared" si="85"/>
        <v>Error?</v>
      </c>
    </row>
    <row r="5514" spans="1:4" x14ac:dyDescent="0.2">
      <c r="A5514" s="5">
        <v>5453</v>
      </c>
      <c r="B5514" s="138">
        <f>'Revenues 9-14'!E14</f>
        <v>1986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1986</v>
      </c>
      <c r="C5518" s="2" t="s">
        <v>594</v>
      </c>
      <c r="D5518" s="2" t="str">
        <f t="shared" si="85"/>
        <v>Error?</v>
      </c>
    </row>
    <row r="5519" spans="1:4" x14ac:dyDescent="0.2">
      <c r="A5519" s="5">
        <v>5458</v>
      </c>
      <c r="B5519" s="138">
        <f>'Revenues 9-14'!E65</f>
        <v>1353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1353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555755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555755</v>
      </c>
      <c r="C5552" s="2" t="s">
        <v>594</v>
      </c>
      <c r="D5552" s="2" t="str">
        <f t="shared" si="85"/>
        <v>Error?</v>
      </c>
    </row>
    <row r="5553" spans="1:4" x14ac:dyDescent="0.2">
      <c r="A5553" s="5">
        <v>5492</v>
      </c>
      <c r="B5553" s="138">
        <f>'Revenues 9-14'!F5</f>
        <v>228131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228131</v>
      </c>
      <c r="C5557" s="2" t="s">
        <v>594</v>
      </c>
      <c r="D5557" s="2" t="str">
        <f t="shared" si="85"/>
        <v>Error?</v>
      </c>
    </row>
    <row r="5558" spans="1:4" x14ac:dyDescent="0.2">
      <c r="A5558" s="5">
        <v>5497</v>
      </c>
      <c r="B5558" s="138">
        <f>'Revenues 9-14'!F14</f>
        <v>820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820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6356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6356</v>
      </c>
      <c r="C5579" s="2" t="s">
        <v>594</v>
      </c>
      <c r="D5579" s="2" t="str">
        <f t="shared" si="86"/>
        <v>Error?</v>
      </c>
    </row>
    <row r="5580" spans="1:4" x14ac:dyDescent="0.2">
      <c r="A5580" s="5">
        <v>5519</v>
      </c>
      <c r="B5580" s="138">
        <f>'Revenues 9-14'!F65</f>
        <v>1927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1927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1220</v>
      </c>
      <c r="D5586" s="2" t="str">
        <f t="shared" si="86"/>
        <v>Error?</v>
      </c>
    </row>
    <row r="5587" spans="1:4" x14ac:dyDescent="0.2">
      <c r="A5587" s="5">
        <v>5526</v>
      </c>
      <c r="B5587" s="138">
        <f>'Revenues 9-14'!F108</f>
        <v>1220</v>
      </c>
      <c r="C5587" s="2" t="s">
        <v>594</v>
      </c>
      <c r="D5587" s="2" t="str">
        <f t="shared" si="86"/>
        <v>Error?</v>
      </c>
    </row>
    <row r="5588" spans="1:4" x14ac:dyDescent="0.2">
      <c r="A5588" s="5">
        <v>5527</v>
      </c>
      <c r="B5588" s="138">
        <f>'Revenues 9-14'!F109</f>
        <v>238454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32011</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32011</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379501</v>
      </c>
      <c r="D5615" s="2" t="str">
        <f t="shared" si="86"/>
        <v>Error?</v>
      </c>
    </row>
    <row r="5616" spans="1:4" x14ac:dyDescent="0.2">
      <c r="A5616" s="10">
        <v>5555</v>
      </c>
      <c r="D5616" s="2" t="str">
        <f t="shared" si="86"/>
        <v>OK</v>
      </c>
    </row>
    <row r="5617" spans="1:4" x14ac:dyDescent="0.2">
      <c r="A5617" s="5">
        <v>5556</v>
      </c>
      <c r="B5617" s="138">
        <f>'Revenues 9-14'!F152</f>
        <v>103195</v>
      </c>
      <c r="D5617" s="2" t="str">
        <f t="shared" si="86"/>
        <v>Error?</v>
      </c>
    </row>
    <row r="5618" spans="1:4" x14ac:dyDescent="0.2">
      <c r="A5618" s="5">
        <v>5557</v>
      </c>
      <c r="B5618" s="138">
        <f>'Revenues 9-14'!F154</f>
        <v>482696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482696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514707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753161</v>
      </c>
      <c r="C5720" s="2" t="s">
        <v>594</v>
      </c>
      <c r="D5720" s="2" t="str">
        <f t="shared" si="88"/>
        <v>Error?</v>
      </c>
    </row>
    <row r="5721" spans="1:4" x14ac:dyDescent="0.2">
      <c r="A5721" s="5">
        <v>5660</v>
      </c>
      <c r="B5721" s="138">
        <f>'Revenues 9-14'!G5</f>
        <v>249232</v>
      </c>
      <c r="D5721" s="2" t="str">
        <f t="shared" si="88"/>
        <v>Error?</v>
      </c>
    </row>
    <row r="5722" spans="1:4" x14ac:dyDescent="0.2">
      <c r="A5722" s="5">
        <v>5661</v>
      </c>
      <c r="B5722" s="138">
        <f>'Revenues 9-14'!G7</f>
        <v>0</v>
      </c>
      <c r="D5722" s="2" t="str">
        <f t="shared" si="88"/>
        <v>Error?</v>
      </c>
    </row>
    <row r="5723" spans="1:4" x14ac:dyDescent="0.2">
      <c r="A5723" s="5">
        <v>5662</v>
      </c>
      <c r="B5723" s="138">
        <f>'Revenues 9-14'!G8</f>
        <v>99695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348927</v>
      </c>
      <c r="C5725" s="2" t="s">
        <v>594</v>
      </c>
      <c r="D5725" s="2" t="str">
        <f t="shared" si="88"/>
        <v>Error?</v>
      </c>
    </row>
    <row r="5726" spans="1:4" x14ac:dyDescent="0.2">
      <c r="A5726" s="5">
        <v>5665</v>
      </c>
      <c r="B5726" s="138">
        <f>'Revenues 9-14'!G14</f>
        <v>1255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11602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12857</v>
      </c>
      <c r="C5730" s="2" t="s">
        <v>594</v>
      </c>
      <c r="D5730" s="2" t="str">
        <f t="shared" si="88"/>
        <v>Error?</v>
      </c>
    </row>
    <row r="5731" spans="1:4" x14ac:dyDescent="0.2">
      <c r="A5731" s="5">
        <v>5670</v>
      </c>
      <c r="B5731" s="138">
        <f>'Revenues 9-14'!G65</f>
        <v>1464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363248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57033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57033</v>
      </c>
      <c r="C5918" s="2" t="s">
        <v>594</v>
      </c>
      <c r="D5918" s="2" t="str">
        <f t="shared" si="91"/>
        <v>Error?</v>
      </c>
    </row>
    <row r="5919" spans="1:4" x14ac:dyDescent="0.2">
      <c r="A5919" s="5">
        <v>5858</v>
      </c>
      <c r="B5919" s="138">
        <f>'Revenues 9-14'!I14</f>
        <v>205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205</v>
      </c>
      <c r="C5923" s="2" t="s">
        <v>594</v>
      </c>
      <c r="D5923" s="2" t="str">
        <f t="shared" si="91"/>
        <v>Error?</v>
      </c>
    </row>
    <row r="5924" spans="1:4" x14ac:dyDescent="0.2">
      <c r="A5924" s="5">
        <v>5863</v>
      </c>
      <c r="B5924" s="138">
        <f>'Revenues 9-14'!I65</f>
        <v>266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57504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57033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57033</v>
      </c>
      <c r="C5987" s="2" t="s">
        <v>594</v>
      </c>
      <c r="D5987" s="2" t="str">
        <f t="shared" si="92"/>
        <v>Error?</v>
      </c>
    </row>
    <row r="5988" spans="1:4" x14ac:dyDescent="0.2">
      <c r="A5988" s="5">
        <v>5927</v>
      </c>
      <c r="B5988" s="138">
        <f>'Revenues 9-14'!K14</f>
        <v>205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205</v>
      </c>
      <c r="C5992" s="2" t="s">
        <v>594</v>
      </c>
      <c r="D5992" s="2" t="str">
        <f t="shared" si="92"/>
        <v>Error?</v>
      </c>
    </row>
    <row r="5993" spans="1:4" x14ac:dyDescent="0.2">
      <c r="A5993" s="5">
        <v>5932</v>
      </c>
      <c r="B5993" s="138">
        <f>'Revenues 9-14'!K65</f>
        <v>895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895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58133</v>
      </c>
      <c r="C6023" s="2" t="s">
        <v>594</v>
      </c>
      <c r="D6023" s="2" t="str">
        <f t="shared" si="93"/>
        <v>Error?</v>
      </c>
    </row>
    <row r="6024" spans="1:5" x14ac:dyDescent="0.2">
      <c r="A6024" s="5">
        <v>5963</v>
      </c>
      <c r="B6024" s="138">
        <f>'Revenues 9-14'!G109</f>
        <v>363248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57504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58133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104201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37446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1220.8699999999999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2552092</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45379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45379</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45379</v>
      </c>
      <c r="D6216" s="2" t="str">
        <f t="shared" si="96"/>
        <v>Error?</v>
      </c>
      <c r="E6216" s="2" t="s">
        <v>199</v>
      </c>
    </row>
    <row r="6217" spans="1:5" x14ac:dyDescent="0.2">
      <c r="A6217">
        <v>6156</v>
      </c>
      <c r="B6217" s="138">
        <f>'Assets-Liab 5-6'!J4</f>
        <v>45379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200839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200839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200839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198414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198414</v>
      </c>
      <c r="D6229" s="2" t="str">
        <f t="shared" si="96"/>
        <v>Error?</v>
      </c>
      <c r="E6229" s="2" t="s">
        <v>199</v>
      </c>
    </row>
    <row r="6230" spans="1:5" x14ac:dyDescent="0.2">
      <c r="A6230">
        <v>6169</v>
      </c>
      <c r="B6230" s="138">
        <f>'Acct Summary 7-8'!J20</f>
        <v>2425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2425</v>
      </c>
      <c r="D6263" s="2" t="str">
        <f t="shared" si="96"/>
        <v>Error?</v>
      </c>
      <c r="E6263" s="2" t="s">
        <v>199</v>
      </c>
    </row>
    <row r="6264" spans="1:5" x14ac:dyDescent="0.2">
      <c r="A6264">
        <v>6203</v>
      </c>
      <c r="B6264" s="138">
        <f>'Acct Summary 7-8'!J79</f>
        <v>42954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45379</v>
      </c>
      <c r="D6266" s="2" t="str">
        <f t="shared" si="96"/>
        <v>Error?</v>
      </c>
      <c r="E6266" s="2" t="s">
        <v>199</v>
      </c>
    </row>
    <row r="6267" spans="1:5" x14ac:dyDescent="0.2">
      <c r="A6267">
        <v>6206</v>
      </c>
      <c r="B6267" s="138">
        <f>'Acct Summary 7-8'!C82</f>
        <v>613406</v>
      </c>
      <c r="D6267" s="2" t="str">
        <f t="shared" si="96"/>
        <v>Error?</v>
      </c>
      <c r="E6267" s="2" t="s">
        <v>199</v>
      </c>
    </row>
    <row r="6268" spans="1:5" x14ac:dyDescent="0.2">
      <c r="A6268">
        <v>6207</v>
      </c>
      <c r="B6268" s="138">
        <f>'Acct Summary 7-8'!D82</f>
        <v>1035385</v>
      </c>
      <c r="D6268" s="2" t="str">
        <f t="shared" si="96"/>
        <v>Error?</v>
      </c>
      <c r="E6268" s="2" t="s">
        <v>199</v>
      </c>
    </row>
    <row r="6269" spans="1:5" x14ac:dyDescent="0.2">
      <c r="A6269">
        <v>6208</v>
      </c>
      <c r="B6269" s="138">
        <f>'Acct Summary 7-8'!E82</f>
        <v>-6572</v>
      </c>
      <c r="D6269" s="2" t="str">
        <f t="shared" si="96"/>
        <v>Error?</v>
      </c>
      <c r="E6269" s="2" t="s">
        <v>199</v>
      </c>
    </row>
    <row r="6270" spans="1:5" x14ac:dyDescent="0.2">
      <c r="A6270">
        <v>6209</v>
      </c>
      <c r="B6270" s="138">
        <f>'Acct Summary 7-8'!F82</f>
        <v>66537</v>
      </c>
      <c r="D6270" s="2" t="str">
        <f t="shared" si="96"/>
        <v>Error?</v>
      </c>
      <c r="E6270" s="2" t="s">
        <v>199</v>
      </c>
    </row>
    <row r="6271" spans="1:5" x14ac:dyDescent="0.2">
      <c r="A6271">
        <v>6210</v>
      </c>
      <c r="B6271" s="138">
        <f>'Acct Summary 7-8'!G82</f>
        <v>14374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-12097</v>
      </c>
      <c r="D6273" s="2" t="str">
        <f t="shared" si="97"/>
        <v>Error?</v>
      </c>
      <c r="E6273" s="2" t="s">
        <v>199</v>
      </c>
    </row>
    <row r="6274" spans="1:5" x14ac:dyDescent="0.2">
      <c r="A6274">
        <v>6213</v>
      </c>
      <c r="B6274" s="138">
        <f>'Acct Summary 7-8'!J82</f>
        <v>2425</v>
      </c>
      <c r="D6274" s="2" t="str">
        <f t="shared" si="97"/>
        <v>Error?</v>
      </c>
      <c r="E6274" s="2" t="s">
        <v>199</v>
      </c>
    </row>
    <row r="6275" spans="1:5" x14ac:dyDescent="0.2">
      <c r="A6275">
        <v>6214</v>
      </c>
      <c r="B6275" s="138">
        <f>'Acct Summary 7-8'!K82</f>
        <v>-48733</v>
      </c>
      <c r="D6275" s="2" t="str">
        <f t="shared" si="97"/>
        <v>Error?</v>
      </c>
      <c r="E6275" s="2" t="s">
        <v>199</v>
      </c>
    </row>
    <row r="6276" spans="1:5" x14ac:dyDescent="0.2">
      <c r="A6276">
        <v>6215</v>
      </c>
      <c r="B6276" s="138">
        <f>'Acct Summary 7-8'!C83</f>
        <v>0.11034548015194931</v>
      </c>
      <c r="D6276" s="2" t="str">
        <f t="shared" si="97"/>
        <v>Error?</v>
      </c>
      <c r="E6276" s="2" t="s">
        <v>199</v>
      </c>
    </row>
    <row r="6277" spans="1:5" x14ac:dyDescent="0.2">
      <c r="A6277">
        <v>6216</v>
      </c>
      <c r="B6277" s="138">
        <f>'Acct Summary 7-8'!D83</f>
        <v>0.56440829213594623</v>
      </c>
      <c r="D6277" s="2" t="str">
        <f t="shared" si="97"/>
        <v>Error?</v>
      </c>
      <c r="E6277" s="2" t="s">
        <v>199</v>
      </c>
    </row>
    <row r="6278" spans="1:5" x14ac:dyDescent="0.2">
      <c r="A6278">
        <v>6217</v>
      </c>
      <c r="B6278" s="138">
        <f>'Acct Summary 7-8'!E83</f>
        <v>-9.8570635789599986E-2</v>
      </c>
      <c r="D6278" s="2" t="str">
        <f t="shared" si="97"/>
        <v>Error?</v>
      </c>
      <c r="E6278" s="2" t="s">
        <v>199</v>
      </c>
    </row>
    <row r="6279" spans="1:5" x14ac:dyDescent="0.2">
      <c r="A6279">
        <v>6218</v>
      </c>
      <c r="B6279" s="138">
        <f>'Acct Summary 7-8'!F83</f>
        <v>0.21914636435796178</v>
      </c>
      <c r="D6279" s="2" t="str">
        <f t="shared" si="97"/>
        <v>Error?</v>
      </c>
      <c r="E6279" s="2" t="s">
        <v>199</v>
      </c>
    </row>
    <row r="6280" spans="1:5" x14ac:dyDescent="0.2">
      <c r="A6280">
        <v>6219</v>
      </c>
      <c r="B6280" s="138">
        <f>'Acct Summary 7-8'!G83</f>
        <v>0.139857554292831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5.343881531104696E-2</v>
      </c>
      <c r="D6283" s="2" t="str">
        <f t="shared" si="97"/>
        <v>Error?</v>
      </c>
      <c r="E6283" s="2" t="s">
        <v>199</v>
      </c>
    </row>
    <row r="6284" spans="1:5" x14ac:dyDescent="0.2">
      <c r="A6284">
        <v>6223</v>
      </c>
      <c r="B6284" s="138">
        <f>'Acct Summary 7-8'!K83</f>
        <v>-0.37190543056869868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199385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199385</v>
      </c>
      <c r="D6301" s="2" t="str">
        <f t="shared" si="97"/>
        <v>Error?</v>
      </c>
      <c r="E6301" s="2" t="s">
        <v>199</v>
      </c>
    </row>
    <row r="6302" spans="1:5" x14ac:dyDescent="0.2">
      <c r="A6302">
        <v>6241</v>
      </c>
      <c r="B6302" s="138">
        <f>'Revenues 9-14'!J14</f>
        <v>717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717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737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737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200839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8140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101884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3000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39175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3000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4795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4795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4795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345306</v>
      </c>
      <c r="D6983" s="2" t="str">
        <f t="shared" si="108"/>
        <v>Error?</v>
      </c>
    </row>
    <row r="6984" spans="1:4" x14ac:dyDescent="0.2">
      <c r="A6984">
        <v>6923</v>
      </c>
      <c r="B6984" s="138">
        <f>'Expenditures 15-22'!K86</f>
        <v>345306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345306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14804</v>
      </c>
      <c r="D7014" s="2" t="str">
        <f t="shared" si="108"/>
        <v>Error?</v>
      </c>
    </row>
    <row r="7015" spans="1:4" x14ac:dyDescent="0.2">
      <c r="A7015">
        <v>6954</v>
      </c>
      <c r="B7015" s="138">
        <f>'Expenditures 15-22'!K101</f>
        <v>14804</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7795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19978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2279</v>
      </c>
      <c r="D7032" s="2" t="str">
        <f t="shared" si="108"/>
        <v>Error?</v>
      </c>
    </row>
    <row r="7033" spans="1:4" x14ac:dyDescent="0.2">
      <c r="A7033">
        <v>6972</v>
      </c>
      <c r="B7033" s="138">
        <f>'Expenditures 15-22'!I127</f>
        <v>22257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22257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198414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22257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200839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75051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75051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113014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113014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10349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10349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198414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198414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198414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198414</v>
      </c>
      <c r="D7224" s="2" t="str">
        <f t="shared" si="111"/>
        <v>Error?</v>
      </c>
    </row>
    <row r="7225" spans="1:4" x14ac:dyDescent="0.2">
      <c r="A7225">
        <v>7164</v>
      </c>
      <c r="B7225" s="138">
        <f>'Expenditures 15-22'!K343</f>
        <v>2425</v>
      </c>
      <c r="D7225" s="2" t="str">
        <f t="shared" si="111"/>
        <v>Error?</v>
      </c>
    </row>
    <row r="7226" spans="1:4" x14ac:dyDescent="0.2">
      <c r="A7226">
        <v>7165</v>
      </c>
      <c r="B7226" s="138">
        <f>'Expenditures 15-22'!I348</f>
        <v>23920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23920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23920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23920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86628</v>
      </c>
      <c r="D7251" s="2" t="str">
        <f t="shared" si="112"/>
        <v>Error?</v>
      </c>
    </row>
    <row r="7252" spans="1:4" x14ac:dyDescent="0.2">
      <c r="A7252">
        <f t="shared" si="113"/>
        <v>7191</v>
      </c>
      <c r="B7252" s="138">
        <f>'Expenditures 15-22'!D9</f>
        <v>15219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31653</v>
      </c>
      <c r="D7263" s="2" t="str">
        <f t="shared" si="112"/>
        <v>Error?</v>
      </c>
    </row>
    <row r="7264" spans="1:4" x14ac:dyDescent="0.2">
      <c r="A7264">
        <f t="shared" si="113"/>
        <v>7203</v>
      </c>
      <c r="B7264" s="138">
        <f>'Expenditures 15-22'!D17</f>
        <v>6804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718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53972</v>
      </c>
      <c r="D7624" s="2" t="str">
        <f t="shared" si="124"/>
        <v>Error?</v>
      </c>
      <c r="E7624" s="2" t="s">
        <v>19</v>
      </c>
    </row>
    <row r="7625" spans="1:5" x14ac:dyDescent="0.2">
      <c r="A7625">
        <f t="shared" si="123"/>
        <v>7564</v>
      </c>
      <c r="B7625" s="138">
        <f>'Cap Outlay Deprec 26'!I17</f>
        <v>5397.2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429172.2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Marshall CUSD C-2</v>
      </c>
      <c r="B7" s="2403"/>
      <c r="C7" s="2403"/>
      <c r="D7" s="2440"/>
      <c r="E7" s="2441" t="str">
        <f>COVER!A13</f>
        <v>11012002C26</v>
      </c>
      <c r="F7" s="2442"/>
      <c r="G7" s="2409" t="str">
        <f>COVER!T23</f>
        <v>065-19320</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Daughhetee and Parks Management Consulting PX</v>
      </c>
      <c r="H9" s="2416"/>
      <c r="I9" s="2416"/>
      <c r="J9" s="2416"/>
      <c r="K9" s="2416"/>
      <c r="L9" s="2417"/>
    </row>
    <row r="10" spans="1:29" ht="13.5" customHeight="1" x14ac:dyDescent="0.2">
      <c r="A10" s="2399" t="str">
        <f>COVER!A38</f>
        <v>Kevin Ross</v>
      </c>
      <c r="B10" s="2400"/>
      <c r="C10" s="2400"/>
      <c r="D10" s="2400"/>
      <c r="E10" s="2400"/>
      <c r="F10" s="2401"/>
      <c r="G10" s="2415" t="str">
        <f>COVER!T17</f>
        <v>2200 Kickapoo Drive Suite A</v>
      </c>
      <c r="H10" s="2428"/>
      <c r="I10" s="2428"/>
      <c r="J10" s="2428"/>
      <c r="K10" s="2428"/>
      <c r="L10" s="2429"/>
    </row>
    <row r="11" spans="1:29" ht="13.5" customHeight="1" x14ac:dyDescent="0.2">
      <c r="A11" s="1185" t="s">
        <v>1599</v>
      </c>
      <c r="B11" s="1186"/>
      <c r="C11" s="1187"/>
      <c r="D11" s="1192"/>
      <c r="E11" s="1187"/>
      <c r="F11" s="1191"/>
      <c r="G11" s="2415" t="str">
        <f>COVER!T19</f>
        <v>Danville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pparksxpa@gmail.com</v>
      </c>
      <c r="J13" s="2437"/>
      <c r="K13" s="2437"/>
      <c r="L13" s="2438"/>
    </row>
    <row r="14" spans="1:29" ht="13.5" customHeight="1" x14ac:dyDescent="0.2">
      <c r="A14" s="2415" t="str">
        <f>COVER!A19</f>
        <v>503 Pine Street</v>
      </c>
      <c r="B14" s="2428"/>
      <c r="C14" s="2428"/>
      <c r="D14" s="2428"/>
      <c r="E14" s="2428"/>
      <c r="F14" s="2429"/>
      <c r="G14" s="1196" t="s">
        <v>1247</v>
      </c>
      <c r="H14" s="1194"/>
      <c r="I14" s="1194"/>
      <c r="J14" s="1194"/>
      <c r="K14" s="1194"/>
      <c r="L14" s="1195"/>
    </row>
    <row r="15" spans="1:29" ht="13.5" customHeight="1" x14ac:dyDescent="0.2">
      <c r="A15" s="2415" t="str">
        <f>COVER!A21</f>
        <v xml:space="preserve">Marshall </v>
      </c>
      <c r="B15" s="2428"/>
      <c r="C15" s="2428"/>
      <c r="D15" s="2428"/>
      <c r="E15" s="2428"/>
      <c r="F15" s="2429"/>
      <c r="G15" s="2425" t="str">
        <f>COVER!T15</f>
        <v>Phyllis Parks</v>
      </c>
      <c r="H15" s="2426"/>
      <c r="I15" s="2426"/>
      <c r="J15" s="2426"/>
      <c r="K15" s="2426"/>
      <c r="L15" s="2427"/>
    </row>
    <row r="16" spans="1:29" ht="12.2" customHeight="1" x14ac:dyDescent="0.2">
      <c r="A16" s="2405">
        <f>COVER!A25</f>
        <v>62441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217-431-2727</v>
      </c>
      <c r="H18" s="2403"/>
      <c r="I18" s="2403"/>
      <c r="J18" s="2403"/>
      <c r="K18" s="2402" t="str">
        <f>COVER!X21</f>
        <v>217-431-3273</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Marshall CUSD C-2</v>
      </c>
      <c r="B1" s="2439"/>
      <c r="C1" s="2439"/>
      <c r="D1" s="2439"/>
    </row>
    <row r="2" spans="1:11" s="1215" customFormat="1" ht="12.75" x14ac:dyDescent="0.2">
      <c r="A2" s="2444" t="str">
        <f>'Single Audit Cover'!E7</f>
        <v>11012002C26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Marshall CUSD C-2</v>
      </c>
      <c r="B1" s="2447"/>
      <c r="C1" s="2447"/>
      <c r="D1" s="2447"/>
      <c r="E1" s="2447"/>
    </row>
    <row r="2" spans="1:5" x14ac:dyDescent="0.2">
      <c r="A2" s="2448" t="str">
        <f>'Single Audit Cover'!E7</f>
        <v>11012002C26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730413</v>
      </c>
    </row>
    <row r="11" spans="1:5" ht="18" customHeight="1" x14ac:dyDescent="0.2">
      <c r="A11" s="1261" t="s">
        <v>1302</v>
      </c>
      <c r="B11" s="1262"/>
      <c r="C11" s="1262"/>
    </row>
    <row r="12" spans="1:5" x14ac:dyDescent="0.2">
      <c r="A12" s="1261" t="s">
        <v>1301</v>
      </c>
      <c r="B12" s="1262" t="s">
        <v>1300</v>
      </c>
      <c r="C12" s="1262"/>
      <c r="D12" s="1264">
        <f>SUM('Revenues 9-14'!C112:D112,'Revenues 9-14'!F112:G112)</f>
        <v>91182</v>
      </c>
    </row>
    <row r="13" spans="1:5" x14ac:dyDescent="0.2">
      <c r="A13" s="1261" t="s">
        <v>1299</v>
      </c>
      <c r="B13" s="1262"/>
      <c r="C13" s="1262"/>
    </row>
    <row r="14" spans="1:5" x14ac:dyDescent="0.2">
      <c r="A14" s="1261" t="s">
        <v>1830</v>
      </c>
      <c r="B14" s="1262"/>
      <c r="C14" s="1262"/>
      <c r="D14" s="1264">
        <f>'ICR Computation 30'!E11</f>
        <v>37446</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-17123</v>
      </c>
    </row>
    <row r="19" spans="1:4" ht="13.5" thickBot="1" x14ac:dyDescent="0.25">
      <c r="A19" s="1265" t="s">
        <v>1297</v>
      </c>
      <c r="D19" s="1266">
        <f>SUM(D10:D17)</f>
        <v>841918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841918</v>
      </c>
    </row>
    <row r="33" spans="1:4" x14ac:dyDescent="0.2">
      <c r="D33" s="1269"/>
    </row>
    <row r="34" spans="1:4" x14ac:dyDescent="0.2">
      <c r="A34" s="317" t="s">
        <v>1294</v>
      </c>
    </row>
    <row r="35" spans="1:4" x14ac:dyDescent="0.2">
      <c r="A35" s="317" t="s">
        <v>1293</v>
      </c>
      <c r="B35" s="1258" t="s">
        <v>1292</v>
      </c>
      <c r="D35" s="1270">
        <v>841918</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841918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Marshall CUSD C-2</v>
      </c>
      <c r="B1" s="2452"/>
      <c r="C1" s="2452"/>
      <c r="D1" s="2452"/>
      <c r="E1" s="2452"/>
      <c r="F1" s="2452"/>
    </row>
    <row r="2" spans="1:7" ht="13.5" customHeight="1" x14ac:dyDescent="0.2">
      <c r="A2" s="2453" t="str">
        <f>'Single Audit Cover'!E7</f>
        <v>11012002C26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2104</v>
      </c>
      <c r="B7" s="2451"/>
      <c r="C7" s="2451"/>
      <c r="D7" s="2451"/>
      <c r="E7" s="2451"/>
      <c r="F7" s="2451"/>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t="s">
        <v>2105</v>
      </c>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1833</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1834</v>
      </c>
      <c r="B32" s="2460"/>
      <c r="C32" s="2460"/>
      <c r="D32" s="2460"/>
      <c r="E32" s="2460"/>
      <c r="F32" s="2460"/>
    </row>
    <row r="33" spans="1:6" ht="13.5" customHeight="1" x14ac:dyDescent="0.2">
      <c r="A33" s="328" t="s">
        <v>1509</v>
      </c>
      <c r="B33" s="328"/>
      <c r="C33" s="1288">
        <v>28947</v>
      </c>
      <c r="D33" s="1928"/>
      <c r="E33" s="1286"/>
    </row>
    <row r="34" spans="1:6" ht="13.5" customHeight="1" x14ac:dyDescent="0.2">
      <c r="A34" s="328" t="s">
        <v>1948</v>
      </c>
      <c r="B34" s="328"/>
      <c r="C34" s="1289">
        <v>8499</v>
      </c>
      <c r="D34" s="1928" t="s">
        <v>1671</v>
      </c>
      <c r="E34" s="2461">
        <f>+C33+C34</f>
        <v>37446</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2139</v>
      </c>
      <c r="D38" s="1928"/>
      <c r="E38" s="1286"/>
    </row>
    <row r="39" spans="1:6" ht="14.25" customHeight="1" x14ac:dyDescent="0.2">
      <c r="A39" s="328"/>
      <c r="B39" s="328" t="s">
        <v>1511</v>
      </c>
      <c r="C39" s="1292" t="s">
        <v>2139</v>
      </c>
      <c r="D39" s="1928"/>
      <c r="E39" s="1286"/>
    </row>
    <row r="40" spans="1:6" ht="14.25" customHeight="1" x14ac:dyDescent="0.2">
      <c r="A40" s="328"/>
      <c r="B40" s="328" t="s">
        <v>1512</v>
      </c>
      <c r="C40" s="1292" t="s">
        <v>2139</v>
      </c>
      <c r="D40" s="1928"/>
      <c r="E40" s="1286"/>
    </row>
    <row r="41" spans="1:6" ht="14.25" customHeight="1" x14ac:dyDescent="0.2">
      <c r="A41" s="328"/>
      <c r="B41" s="328" t="s">
        <v>1513</v>
      </c>
      <c r="C41" s="1292" t="s">
        <v>2139</v>
      </c>
      <c r="D41" s="1928"/>
      <c r="E41" s="1286"/>
    </row>
    <row r="42" spans="1:6" ht="14.25" customHeight="1" x14ac:dyDescent="0.2">
      <c r="A42" s="328" t="s">
        <v>1514</v>
      </c>
      <c r="B42" s="328"/>
      <c r="C42" s="1926" t="s">
        <v>2139</v>
      </c>
      <c r="D42" s="1928"/>
      <c r="E42" s="1286"/>
    </row>
    <row r="43" spans="1:6" ht="14.25" customHeight="1" x14ac:dyDescent="0.2">
      <c r="A43" s="328" t="s">
        <v>1515</v>
      </c>
      <c r="B43" s="328"/>
      <c r="C43" s="1293" t="s">
        <v>2139</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C13" sqref="C1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Marshall CUSD C-2</v>
      </c>
      <c r="C1" s="2464"/>
      <c r="D1" s="2464"/>
      <c r="E1" s="2464"/>
      <c r="F1" s="2464"/>
      <c r="G1" s="2464"/>
      <c r="H1" s="2464"/>
      <c r="I1" s="2464"/>
      <c r="J1" s="2464"/>
      <c r="K1" s="2464"/>
      <c r="L1" s="2464"/>
      <c r="M1" s="2464"/>
    </row>
    <row r="2" spans="2:14" ht="15" x14ac:dyDescent="0.2">
      <c r="B2" s="2453" t="str">
        <f>'Single Audit Cover'!E7</f>
        <v>11012002C26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2106</v>
      </c>
      <c r="C11" s="1338"/>
      <c r="D11" s="1339"/>
      <c r="E11" s="1340"/>
      <c r="F11" s="1340"/>
      <c r="G11" s="1340"/>
      <c r="H11" s="1340"/>
      <c r="I11" s="1340"/>
      <c r="J11" s="1340"/>
      <c r="K11" s="1340"/>
      <c r="L11" s="1340">
        <f>+G11+I11+K11</f>
        <v>0</v>
      </c>
      <c r="M11" s="1340"/>
    </row>
    <row r="12" spans="2:14" ht="20.100000000000001" customHeight="1" x14ac:dyDescent="0.2">
      <c r="B12" s="1337" t="s">
        <v>2111</v>
      </c>
      <c r="C12" s="1341" t="s">
        <v>2108</v>
      </c>
      <c r="D12" s="1342" t="s">
        <v>2112</v>
      </c>
      <c r="E12" s="1343">
        <v>274665</v>
      </c>
      <c r="F12" s="1343">
        <v>41183</v>
      </c>
      <c r="G12" s="1343">
        <f>223856+50809</f>
        <v>274665</v>
      </c>
      <c r="H12" s="1343"/>
      <c r="I12" s="1343">
        <v>24633</v>
      </c>
      <c r="J12" s="1343"/>
      <c r="K12" s="1343"/>
      <c r="L12" s="1340">
        <f t="shared" ref="L12:L27" si="0">+G12+I12+K12</f>
        <v>299298</v>
      </c>
      <c r="M12" s="1343"/>
    </row>
    <row r="13" spans="2:14" ht="20.100000000000001" customHeight="1" x14ac:dyDescent="0.2">
      <c r="B13" s="1337" t="str">
        <f>B12</f>
        <v>Titke I - Low Income (M)</v>
      </c>
      <c r="C13" s="1341" t="s">
        <v>2108</v>
      </c>
      <c r="D13" s="1342" t="s">
        <v>2113</v>
      </c>
      <c r="E13" s="1343"/>
      <c r="F13" s="1343">
        <v>246953</v>
      </c>
      <c r="G13" s="1343"/>
      <c r="H13" s="1343"/>
      <c r="I13" s="1343">
        <v>318415</v>
      </c>
      <c r="J13" s="1343"/>
      <c r="K13" s="1343"/>
      <c r="L13" s="1340">
        <f t="shared" si="0"/>
        <v>318415</v>
      </c>
      <c r="M13" s="1343"/>
    </row>
    <row r="14" spans="2:14" ht="20.100000000000001" customHeight="1" x14ac:dyDescent="0.2">
      <c r="B14" s="1337" t="s">
        <v>430</v>
      </c>
      <c r="C14" s="1341" t="s">
        <v>2109</v>
      </c>
      <c r="D14" s="1342" t="s">
        <v>2114</v>
      </c>
      <c r="E14" s="1343">
        <v>215790</v>
      </c>
      <c r="F14" s="1343">
        <v>73444</v>
      </c>
      <c r="G14" s="1343">
        <f>149234+66556</f>
        <v>215790</v>
      </c>
      <c r="H14" s="1343"/>
      <c r="I14" s="1343">
        <v>73444</v>
      </c>
      <c r="J14" s="1343"/>
      <c r="K14" s="1343"/>
      <c r="L14" s="1340">
        <f t="shared" si="0"/>
        <v>289234</v>
      </c>
      <c r="M14" s="1343"/>
    </row>
    <row r="15" spans="2:14" ht="20.100000000000001" customHeight="1" x14ac:dyDescent="0.2">
      <c r="B15" s="1337" t="s">
        <v>430</v>
      </c>
      <c r="C15" s="1341" t="str">
        <f>C14</f>
        <v>84.027A</v>
      </c>
      <c r="D15" s="1342" t="s">
        <v>2115</v>
      </c>
      <c r="E15" s="1343"/>
      <c r="F15" s="1343">
        <v>50460</v>
      </c>
      <c r="G15" s="1343"/>
      <c r="H15" s="1343"/>
      <c r="I15" s="1343">
        <v>50460</v>
      </c>
      <c r="J15" s="1343"/>
      <c r="K15" s="1343"/>
      <c r="L15" s="1340">
        <f t="shared" si="0"/>
        <v>50460</v>
      </c>
      <c r="M15" s="1343"/>
    </row>
    <row r="16" spans="2:14" ht="20.100000000000001" customHeight="1" x14ac:dyDescent="0.2">
      <c r="B16" s="1337" t="s">
        <v>782</v>
      </c>
      <c r="C16" s="1341" t="s">
        <v>2110</v>
      </c>
      <c r="D16" s="1342" t="s">
        <v>2116</v>
      </c>
      <c r="E16" s="1343">
        <v>43585</v>
      </c>
      <c r="F16" s="1343"/>
      <c r="G16" s="1343">
        <v>43585</v>
      </c>
      <c r="H16" s="1343"/>
      <c r="I16" s="1343"/>
      <c r="J16" s="1343"/>
      <c r="K16" s="1343"/>
      <c r="L16" s="1340">
        <f t="shared" si="0"/>
        <v>43585</v>
      </c>
      <c r="M16" s="1343"/>
    </row>
    <row r="17" spans="2:14" ht="20.100000000000001" customHeight="1" x14ac:dyDescent="0.2">
      <c r="B17" s="1337" t="s">
        <v>782</v>
      </c>
      <c r="C17" s="1341" t="s">
        <v>2110</v>
      </c>
      <c r="D17" s="1342" t="s">
        <v>2117</v>
      </c>
      <c r="E17" s="1343"/>
      <c r="F17" s="1343">
        <v>64162</v>
      </c>
      <c r="G17" s="1343"/>
      <c r="H17" s="1343"/>
      <c r="I17" s="1343">
        <v>64344</v>
      </c>
      <c r="J17" s="1343"/>
      <c r="K17" s="1343"/>
      <c r="L17" s="1340">
        <f t="shared" si="0"/>
        <v>64344</v>
      </c>
      <c r="M17" s="1343"/>
    </row>
    <row r="18" spans="2:14" ht="20.100000000000001" customHeight="1" x14ac:dyDescent="0.2">
      <c r="B18" s="1337" t="s">
        <v>2107</v>
      </c>
      <c r="C18" s="1341"/>
      <c r="D18" s="1342"/>
      <c r="E18" s="1343">
        <f>E16+E14+E12</f>
        <v>534040</v>
      </c>
      <c r="F18" s="1343">
        <f>SUM(F12:F17)</f>
        <v>476202</v>
      </c>
      <c r="G18" s="1343">
        <f>G12+G14+G16</f>
        <v>534040</v>
      </c>
      <c r="H18" s="1343"/>
      <c r="I18" s="1343">
        <f>SUM(I12:I17)</f>
        <v>531296</v>
      </c>
      <c r="J18" s="1343"/>
      <c r="K18" s="1343"/>
      <c r="L18" s="1340">
        <f t="shared" si="0"/>
        <v>1065336</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2118</v>
      </c>
      <c r="C20" s="1341"/>
      <c r="D20" s="1342"/>
      <c r="E20" s="1343"/>
      <c r="F20" s="1343"/>
      <c r="G20" s="1343"/>
      <c r="H20" s="1343"/>
      <c r="I20" s="1343"/>
      <c r="J20" s="1343"/>
      <c r="K20" s="1343"/>
      <c r="L20" s="1340">
        <f t="shared" si="0"/>
        <v>0</v>
      </c>
      <c r="M20" s="1343"/>
    </row>
    <row r="21" spans="2:14" ht="20.100000000000001" customHeight="1" x14ac:dyDescent="0.2">
      <c r="B21" s="1337" t="s">
        <v>2119</v>
      </c>
      <c r="C21" s="1341" t="s">
        <v>2109</v>
      </c>
      <c r="D21" s="1342" t="s">
        <v>2120</v>
      </c>
      <c r="E21" s="1343">
        <v>91182</v>
      </c>
      <c r="F21" s="1343"/>
      <c r="G21" s="1343">
        <v>91182</v>
      </c>
      <c r="H21" s="1343"/>
      <c r="I21" s="1343"/>
      <c r="J21" s="1343"/>
      <c r="K21" s="1343"/>
      <c r="L21" s="1340">
        <f t="shared" si="0"/>
        <v>91182</v>
      </c>
      <c r="M21" s="1343"/>
    </row>
    <row r="22" spans="2:14" ht="20.100000000000001" customHeight="1" x14ac:dyDescent="0.2">
      <c r="B22" s="1337" t="s">
        <v>2119</v>
      </c>
      <c r="C22" s="1341" t="s">
        <v>2109</v>
      </c>
      <c r="D22" s="1342" t="s">
        <v>2121</v>
      </c>
      <c r="E22" s="1343"/>
      <c r="F22" s="1343">
        <v>91182</v>
      </c>
      <c r="G22" s="1343"/>
      <c r="H22" s="1343"/>
      <c r="I22" s="1343">
        <v>91182</v>
      </c>
      <c r="J22" s="1343"/>
      <c r="K22" s="1343"/>
      <c r="L22" s="1340">
        <f t="shared" si="0"/>
        <v>91182</v>
      </c>
      <c r="M22" s="1343"/>
    </row>
    <row r="23" spans="2:14" ht="20.100000000000001" customHeight="1" x14ac:dyDescent="0.2">
      <c r="B23" s="1337" t="s">
        <v>2127</v>
      </c>
      <c r="C23" s="1341"/>
      <c r="D23" s="1342"/>
      <c r="E23" s="1343">
        <v>91182</v>
      </c>
      <c r="F23" s="1343">
        <v>91182</v>
      </c>
      <c r="G23" s="1343">
        <v>91182</v>
      </c>
      <c r="H23" s="1343"/>
      <c r="I23" s="1343">
        <v>91182</v>
      </c>
      <c r="J23" s="1343"/>
      <c r="K23" s="1343"/>
      <c r="L23" s="1340">
        <f t="shared" si="0"/>
        <v>182364</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t="s">
        <v>2125</v>
      </c>
      <c r="C25" s="1341"/>
      <c r="D25" s="1342"/>
      <c r="E25" s="1343"/>
      <c r="F25" s="1343"/>
      <c r="G25" s="1343"/>
      <c r="H25" s="1343"/>
      <c r="I25" s="1343"/>
      <c r="J25" s="1343"/>
      <c r="K25" s="1343"/>
      <c r="L25" s="1340">
        <f t="shared" si="0"/>
        <v>0</v>
      </c>
      <c r="M25" s="1343"/>
    </row>
    <row r="26" spans="2:14" ht="20.100000000000001" customHeight="1" x14ac:dyDescent="0.2">
      <c r="B26" s="1337" t="s">
        <v>2122</v>
      </c>
      <c r="C26" s="1341">
        <v>93.778000000000006</v>
      </c>
      <c r="D26" s="1342" t="s">
        <v>2123</v>
      </c>
      <c r="E26" s="1343">
        <v>19212</v>
      </c>
      <c r="F26" s="1343"/>
      <c r="G26" s="1343">
        <v>19212</v>
      </c>
      <c r="H26" s="1343"/>
      <c r="I26" s="1343"/>
      <c r="J26" s="1343"/>
      <c r="K26" s="1343"/>
      <c r="L26" s="1340">
        <f t="shared" si="0"/>
        <v>19212</v>
      </c>
      <c r="M26" s="1343"/>
    </row>
    <row r="27" spans="2:14" ht="20.100000000000001" customHeight="1" x14ac:dyDescent="0.2">
      <c r="B27" s="1337" t="s">
        <v>2122</v>
      </c>
      <c r="C27" s="1341">
        <v>93.778000000000006</v>
      </c>
      <c r="D27" s="1342" t="s">
        <v>2124</v>
      </c>
      <c r="E27" s="1343"/>
      <c r="F27" s="1343">
        <v>22055</v>
      </c>
      <c r="G27" s="1343"/>
      <c r="H27" s="1343"/>
      <c r="I27" s="1343">
        <v>22055</v>
      </c>
      <c r="J27" s="1343"/>
      <c r="K27" s="1343"/>
      <c r="L27" s="1340">
        <f t="shared" si="0"/>
        <v>22055</v>
      </c>
      <c r="M27" s="1343"/>
      <c r="N27" s="1344"/>
    </row>
    <row r="28" spans="2:14" ht="12.75" customHeight="1" x14ac:dyDescent="0.2">
      <c r="B28" s="1345" t="s">
        <v>2126</v>
      </c>
      <c r="C28" s="1346"/>
      <c r="D28" s="1347"/>
      <c r="E28" s="1348">
        <v>19212</v>
      </c>
      <c r="F28" s="1348">
        <v>22055</v>
      </c>
      <c r="G28" s="1348">
        <v>19212</v>
      </c>
      <c r="H28" s="1348"/>
      <c r="I28" s="1348">
        <v>22055</v>
      </c>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1"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2142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Marshall CUSD C-2</v>
      </c>
      <c r="C1" s="2464"/>
      <c r="D1" s="2464"/>
      <c r="E1" s="2464"/>
      <c r="F1" s="2464"/>
      <c r="G1" s="2464"/>
      <c r="H1" s="2464"/>
      <c r="I1" s="2464"/>
      <c r="J1" s="2464"/>
      <c r="K1" s="2464"/>
      <c r="L1" s="2464"/>
      <c r="M1" s="2464"/>
    </row>
    <row r="2" spans="2:14" ht="15" x14ac:dyDescent="0.2">
      <c r="B2" s="2453" t="str">
        <f>'Single Audit Cover'!E7</f>
        <v>11012002C26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2128</v>
      </c>
      <c r="C11" s="1338"/>
      <c r="D11" s="1339"/>
      <c r="E11" s="1340"/>
      <c r="F11" s="1340"/>
      <c r="G11" s="1340"/>
      <c r="H11" s="1340"/>
      <c r="I11" s="1340"/>
      <c r="J11" s="1340"/>
      <c r="K11" s="1340"/>
      <c r="L11" s="1340">
        <f>+G11+I11+K11</f>
        <v>0</v>
      </c>
      <c r="M11" s="1340"/>
    </row>
    <row r="12" spans="2:14" ht="20.100000000000001" customHeight="1" x14ac:dyDescent="0.2">
      <c r="B12" s="1337" t="s">
        <v>1118</v>
      </c>
      <c r="C12" s="1341">
        <v>10.555</v>
      </c>
      <c r="D12" s="1342" t="s">
        <v>2134</v>
      </c>
      <c r="E12" s="1343">
        <v>176440</v>
      </c>
      <c r="F12" s="1343">
        <v>33214</v>
      </c>
      <c r="G12" s="1343">
        <f>144135+32305</f>
        <v>176440</v>
      </c>
      <c r="H12" s="1343"/>
      <c r="I12" s="1343">
        <v>33214</v>
      </c>
      <c r="J12" s="1343"/>
      <c r="K12" s="1343"/>
      <c r="L12" s="1340">
        <f t="shared" ref="L12:L27" si="0">+G12+I12+K12</f>
        <v>209654</v>
      </c>
      <c r="M12" s="1343"/>
    </row>
    <row r="13" spans="2:14" ht="20.100000000000001" customHeight="1" x14ac:dyDescent="0.2">
      <c r="B13" s="1337" t="s">
        <v>1118</v>
      </c>
      <c r="C13" s="1341">
        <v>10.555</v>
      </c>
      <c r="D13" s="1342" t="s">
        <v>2135</v>
      </c>
      <c r="E13" s="1343"/>
      <c r="F13" s="1343">
        <v>141468</v>
      </c>
      <c r="G13" s="1343"/>
      <c r="H13" s="1343"/>
      <c r="I13" s="1343">
        <v>141468</v>
      </c>
      <c r="J13" s="1343"/>
      <c r="K13" s="1343"/>
      <c r="L13" s="1340">
        <f t="shared" si="0"/>
        <v>141468</v>
      </c>
      <c r="M13" s="1343"/>
    </row>
    <row r="14" spans="2:14" ht="20.100000000000001" customHeight="1" x14ac:dyDescent="0.2">
      <c r="B14" s="1337" t="s">
        <v>2129</v>
      </c>
      <c r="C14" s="1341">
        <v>10.555</v>
      </c>
      <c r="D14" s="1342" t="s">
        <v>2136</v>
      </c>
      <c r="E14" s="1343">
        <v>31509</v>
      </c>
      <c r="F14" s="1343">
        <v>28947</v>
      </c>
      <c r="G14" s="1343">
        <v>31509</v>
      </c>
      <c r="H14" s="1343"/>
      <c r="I14" s="1343">
        <v>28947</v>
      </c>
      <c r="J14" s="1343"/>
      <c r="K14" s="1343"/>
      <c r="L14" s="1340">
        <f t="shared" si="0"/>
        <v>60456</v>
      </c>
      <c r="M14" s="1343"/>
    </row>
    <row r="15" spans="2:14" ht="20.100000000000001" customHeight="1" x14ac:dyDescent="0.2">
      <c r="B15" s="1337" t="s">
        <v>2130</v>
      </c>
      <c r="C15" s="1341">
        <v>10.555</v>
      </c>
      <c r="D15" s="1342" t="s">
        <v>2136</v>
      </c>
      <c r="E15" s="1343">
        <v>8000</v>
      </c>
      <c r="F15" s="1343">
        <v>8499</v>
      </c>
      <c r="G15" s="1343">
        <v>8000</v>
      </c>
      <c r="H15" s="1343"/>
      <c r="I15" s="1343">
        <v>8499</v>
      </c>
      <c r="J15" s="1343"/>
      <c r="K15" s="1343"/>
      <c r="L15" s="1340">
        <f t="shared" si="0"/>
        <v>16499</v>
      </c>
      <c r="M15" s="1343"/>
    </row>
    <row r="16" spans="2:14" ht="20.100000000000001" customHeight="1" x14ac:dyDescent="0.2">
      <c r="B16" s="1337" t="s">
        <v>2131</v>
      </c>
      <c r="C16" s="1341">
        <v>10.553000000000001</v>
      </c>
      <c r="D16" s="1342" t="s">
        <v>2137</v>
      </c>
      <c r="E16" s="1343">
        <v>44293</v>
      </c>
      <c r="F16" s="1343">
        <v>7211</v>
      </c>
      <c r="G16" s="1343">
        <f>37066+7227</f>
        <v>44293</v>
      </c>
      <c r="H16" s="1343"/>
      <c r="I16" s="1343">
        <v>7211</v>
      </c>
      <c r="J16" s="1343"/>
      <c r="K16" s="1343"/>
      <c r="L16" s="1340">
        <f t="shared" si="0"/>
        <v>51504</v>
      </c>
      <c r="M16" s="1343"/>
    </row>
    <row r="17" spans="2:14" ht="20.100000000000001" customHeight="1" x14ac:dyDescent="0.2">
      <c r="B17" s="1337" t="s">
        <v>2131</v>
      </c>
      <c r="C17" s="1341">
        <v>10.553000000000001</v>
      </c>
      <c r="D17" s="1342" t="s">
        <v>2138</v>
      </c>
      <c r="E17" s="1343"/>
      <c r="F17" s="1343">
        <v>33140</v>
      </c>
      <c r="G17" s="1343"/>
      <c r="H17" s="1343"/>
      <c r="I17" s="1343">
        <v>33140</v>
      </c>
      <c r="J17" s="1343"/>
      <c r="K17" s="1343"/>
      <c r="L17" s="1340">
        <f t="shared" si="0"/>
        <v>33140</v>
      </c>
      <c r="M17" s="1343"/>
    </row>
    <row r="18" spans="2:14" ht="20.100000000000001" customHeight="1" x14ac:dyDescent="0.2">
      <c r="B18" s="1337" t="s">
        <v>2132</v>
      </c>
      <c r="C18" s="1341"/>
      <c r="D18" s="1342"/>
      <c r="E18" s="1343">
        <f>E12+E14+E15+E16</f>
        <v>260242</v>
      </c>
      <c r="F18" s="1343">
        <f>SUM(F12:F17)</f>
        <v>252479</v>
      </c>
      <c r="G18" s="1343">
        <f>G12+G14+G15+G16</f>
        <v>260242</v>
      </c>
      <c r="H18" s="1343"/>
      <c r="I18" s="1343">
        <f>SUM(I12:I17)</f>
        <v>252479</v>
      </c>
      <c r="J18" s="1343"/>
      <c r="K18" s="1343"/>
      <c r="L18" s="1340">
        <f t="shared" si="0"/>
        <v>512721</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2133</v>
      </c>
      <c r="C20" s="1341"/>
      <c r="D20" s="1342"/>
      <c r="E20" s="1343">
        <f>E18+' SEFA (2)'!E28+' SEFA (2)'!E23+' SEFA (2)'!E18</f>
        <v>904676</v>
      </c>
      <c r="F20" s="1343">
        <f>F18+' SEFA (2)'!F28+' SEFA (2)'!F23+' SEFA (2)'!F18</f>
        <v>841918</v>
      </c>
      <c r="G20" s="1343">
        <f>G18+' SEFA (2)'!G28+' SEFA (2)'!G23+' SEFA (2)'!G18</f>
        <v>904676</v>
      </c>
      <c r="H20" s="1343"/>
      <c r="I20" s="1343">
        <f>I18+' SEFA (2)'!I28+' SEFA (2)'!I23+' SEFA (2)'!I18</f>
        <v>897012</v>
      </c>
      <c r="J20" s="1343"/>
      <c r="K20" s="1343"/>
      <c r="L20" s="1340">
        <f t="shared" si="0"/>
        <v>1801688</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R54" sqref="R54"/>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Marshall CUSD C-2</v>
      </c>
      <c r="C1" s="2472"/>
      <c r="D1" s="2472"/>
      <c r="E1" s="2472"/>
      <c r="F1" s="2472"/>
      <c r="G1" s="2472"/>
      <c r="H1" s="2472"/>
      <c r="I1" s="2472"/>
      <c r="J1" s="1422"/>
    </row>
    <row r="2" spans="2:10" s="317" customFormat="1" ht="12.75" customHeight="1" x14ac:dyDescent="0.2">
      <c r="B2" s="2473" t="str">
        <f>'Single Audit Cover'!E7</f>
        <v>11012002C26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2140</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t="s">
        <v>2076</v>
      </c>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2140</v>
      </c>
      <c r="E29" s="2478"/>
      <c r="F29" s="2478"/>
      <c r="G29" s="2478"/>
      <c r="H29" s="2478"/>
      <c r="I29" s="2478"/>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79" t="s">
        <v>1853</v>
      </c>
      <c r="D37" s="2480"/>
      <c r="E37" s="2480"/>
      <c r="F37" s="2481"/>
      <c r="G37" s="2479" t="s">
        <v>1674</v>
      </c>
      <c r="H37" s="2480"/>
      <c r="I37" s="2481"/>
    </row>
    <row r="38" spans="2:9" ht="16.5" customHeight="1" x14ac:dyDescent="0.2">
      <c r="B38" s="1444">
        <v>84.01</v>
      </c>
      <c r="C38" s="2467" t="s">
        <v>974</v>
      </c>
      <c r="D38" s="2468"/>
      <c r="E38" s="2468"/>
      <c r="F38" s="2469"/>
      <c r="G38" s="2482">
        <f>246953+41183</f>
        <v>288136</v>
      </c>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288136</v>
      </c>
      <c r="H43" s="2488"/>
      <c r="I43" s="2488"/>
    </row>
    <row r="44" spans="2:9" ht="12.75" customHeight="1" x14ac:dyDescent="0.2"/>
    <row r="45" spans="2:9" ht="12.75" customHeight="1" x14ac:dyDescent="0.2">
      <c r="B45" s="1435" t="s">
        <v>1951</v>
      </c>
      <c r="D45" s="2489">
        <v>897012</v>
      </c>
      <c r="E45" s="2490"/>
    </row>
    <row r="46" spans="2:9" ht="5.25" customHeight="1" x14ac:dyDescent="0.2">
      <c r="B46" s="1445"/>
      <c r="D46" s="1446"/>
      <c r="E46" s="1447"/>
    </row>
    <row r="47" spans="2:9" ht="12.75" customHeight="1" x14ac:dyDescent="0.2">
      <c r="B47" s="1300" t="s">
        <v>1676</v>
      </c>
      <c r="C47" s="1300"/>
      <c r="D47" s="1448">
        <f>+G43/D45</f>
        <v>0.32121755338836044</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2076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Marshall CUSD C-2</v>
      </c>
      <c r="C1" s="2471"/>
      <c r="D1" s="2471"/>
      <c r="E1" s="2471"/>
      <c r="F1" s="2471"/>
      <c r="G1" s="2471"/>
      <c r="H1" s="2471"/>
      <c r="I1" s="2471"/>
      <c r="J1" s="2471"/>
      <c r="K1" s="2471"/>
      <c r="L1" s="1374"/>
      <c r="M1" s="1374"/>
    </row>
    <row r="2" spans="1:13" ht="12" customHeight="1" x14ac:dyDescent="0.2">
      <c r="B2" s="2473" t="str">
        <f>'Single Audit Cover'!E7</f>
        <v>11012002C26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2141</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
  <sheetViews>
    <sheetView showGridLines="0" topLeftCell="A21" zoomScale="110" zoomScaleNormal="110" workbookViewId="0">
      <selection activeCell="V35" sqref="V3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Marshall CUSD C-2</v>
      </c>
      <c r="C1" s="2498"/>
      <c r="D1" s="2498"/>
      <c r="E1" s="2498"/>
      <c r="F1" s="2498"/>
      <c r="G1" s="2498"/>
      <c r="H1" s="2498"/>
      <c r="I1" s="2498"/>
      <c r="J1" s="2498"/>
      <c r="K1" s="2498"/>
      <c r="L1" s="1465"/>
    </row>
    <row r="2" spans="1:12" ht="12.75" customHeight="1" x14ac:dyDescent="0.2">
      <c r="B2" s="2499" t="str">
        <f>'Single Audit Cover'!E7</f>
        <v>11012002C26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t="s">
        <v>2141</v>
      </c>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22" ht="4.5" customHeight="1" x14ac:dyDescent="0.2">
      <c r="B33" s="1479"/>
      <c r="C33" s="1479"/>
      <c r="D33" s="1427"/>
      <c r="E33" s="1427"/>
      <c r="F33" s="1427"/>
      <c r="G33" s="1428"/>
      <c r="H33" s="1427"/>
      <c r="I33" s="1428"/>
      <c r="J33" s="1427"/>
      <c r="K33" s="1427"/>
      <c r="L33" s="322"/>
    </row>
    <row r="34" spans="2:22" ht="13.5" customHeight="1" x14ac:dyDescent="0.2">
      <c r="B34" s="1384" t="s">
        <v>1365</v>
      </c>
      <c r="C34" s="1384"/>
      <c r="D34" s="322"/>
      <c r="E34" s="322"/>
      <c r="F34" s="322"/>
      <c r="G34" s="1383"/>
      <c r="H34" s="322"/>
      <c r="I34" s="1383"/>
      <c r="J34" s="322"/>
      <c r="K34" s="322"/>
      <c r="L34" s="322"/>
    </row>
    <row r="35" spans="2:22" ht="37.5" customHeight="1" x14ac:dyDescent="0.2">
      <c r="B35" s="2493"/>
      <c r="C35" s="2493"/>
      <c r="D35" s="2493"/>
      <c r="E35" s="2493"/>
      <c r="F35" s="2493"/>
      <c r="G35" s="2493"/>
      <c r="H35" s="2493"/>
      <c r="I35" s="2493"/>
      <c r="J35" s="2493"/>
      <c r="K35" s="2493"/>
      <c r="L35" s="322"/>
      <c r="V35" s="1958"/>
    </row>
    <row r="36" spans="2:22" ht="4.5" customHeight="1" x14ac:dyDescent="0.2">
      <c r="B36" s="1479"/>
      <c r="C36" s="1479"/>
      <c r="D36" s="1427"/>
      <c r="E36" s="1427"/>
      <c r="F36" s="1427"/>
      <c r="G36" s="1428"/>
      <c r="H36" s="1427"/>
      <c r="I36" s="1428"/>
      <c r="J36" s="1427"/>
      <c r="K36" s="1427"/>
      <c r="L36" s="322"/>
    </row>
    <row r="37" spans="2:22" ht="13.5" customHeight="1" x14ac:dyDescent="0.2">
      <c r="B37" s="1384" t="s">
        <v>1364</v>
      </c>
      <c r="C37" s="1384"/>
      <c r="D37" s="322"/>
      <c r="E37" s="322"/>
      <c r="F37" s="322"/>
      <c r="G37" s="1383"/>
      <c r="H37" s="322"/>
      <c r="I37" s="1383"/>
      <c r="J37" s="322"/>
      <c r="K37" s="322"/>
      <c r="L37" s="322"/>
    </row>
    <row r="38" spans="2:22" ht="35.25" customHeight="1" x14ac:dyDescent="0.2">
      <c r="B38" s="2493"/>
      <c r="C38" s="2493"/>
      <c r="D38" s="2493"/>
      <c r="E38" s="2493"/>
      <c r="F38" s="2493"/>
      <c r="G38" s="2493"/>
      <c r="H38" s="2493"/>
      <c r="I38" s="2493"/>
      <c r="J38" s="2493"/>
      <c r="K38" s="2493"/>
      <c r="L38" s="322"/>
    </row>
    <row r="39" spans="2:22" ht="4.5" customHeight="1" x14ac:dyDescent="0.2">
      <c r="B39" s="1402"/>
      <c r="C39" s="1402"/>
      <c r="D39" s="322"/>
      <c r="E39" s="322"/>
      <c r="F39" s="322"/>
      <c r="G39" s="1383"/>
      <c r="H39" s="322"/>
      <c r="I39" s="1383"/>
      <c r="J39" s="322"/>
      <c r="K39" s="322"/>
      <c r="L39" s="322"/>
    </row>
    <row r="40" spans="2:22" s="322" customFormat="1" ht="13.5" customHeight="1" x14ac:dyDescent="0.2">
      <c r="B40" s="1403" t="s">
        <v>1862</v>
      </c>
      <c r="C40" s="1403"/>
      <c r="D40" s="1378"/>
      <c r="E40" s="1379"/>
      <c r="F40" s="1379"/>
      <c r="G40" s="1380"/>
      <c r="H40" s="1379"/>
      <c r="I40" s="1380"/>
      <c r="J40" s="1379"/>
      <c r="K40" s="1379"/>
    </row>
    <row r="41" spans="2:22" s="322" customFormat="1" ht="33.75" customHeight="1" x14ac:dyDescent="0.2">
      <c r="B41" s="2493"/>
      <c r="C41" s="2493"/>
      <c r="D41" s="2493"/>
      <c r="E41" s="2493"/>
      <c r="F41" s="2493"/>
      <c r="G41" s="2493"/>
      <c r="H41" s="2493"/>
      <c r="I41" s="2493"/>
      <c r="J41" s="2493"/>
      <c r="K41" s="2493"/>
    </row>
    <row r="42" spans="2:22" s="322" customFormat="1" ht="4.5" customHeight="1" x14ac:dyDescent="0.2">
      <c r="B42" s="1402"/>
      <c r="C42" s="1402"/>
      <c r="G42" s="1383"/>
      <c r="I42" s="1383"/>
    </row>
    <row r="43" spans="2:22" s="322" customFormat="1" ht="13.5" customHeight="1" x14ac:dyDescent="0.2">
      <c r="B43" s="1482" t="s">
        <v>1353</v>
      </c>
      <c r="C43" s="1483"/>
      <c r="D43" s="1404"/>
      <c r="E43" s="1404"/>
      <c r="F43" s="1404"/>
      <c r="G43" s="1405"/>
      <c r="H43" s="1404"/>
      <c r="I43" s="1405"/>
      <c r="J43" s="1404"/>
      <c r="K43" s="1406"/>
      <c r="L43" s="1484"/>
    </row>
    <row r="44" spans="2:22" s="322" customFormat="1" ht="13.5" customHeight="1" x14ac:dyDescent="0.2">
      <c r="B44" s="1407" t="s">
        <v>1352</v>
      </c>
      <c r="C44" s="1408"/>
      <c r="D44" s="1485"/>
      <c r="E44" s="1409"/>
      <c r="F44" s="1413" t="s">
        <v>1351</v>
      </c>
      <c r="G44" s="1411"/>
      <c r="H44" s="1410"/>
      <c r="I44" s="1411"/>
      <c r="J44" s="1486"/>
      <c r="K44" s="1487"/>
      <c r="L44" s="1484"/>
    </row>
    <row r="45" spans="2:22" s="322" customFormat="1" ht="13.5" customHeight="1" x14ac:dyDescent="0.2">
      <c r="B45" s="1407" t="s">
        <v>1350</v>
      </c>
      <c r="C45" s="1408"/>
      <c r="D45" s="1486"/>
      <c r="E45" s="1410"/>
      <c r="F45" s="1413" t="s">
        <v>1349</v>
      </c>
      <c r="G45" s="1411"/>
      <c r="H45" s="1410"/>
      <c r="I45" s="1411"/>
      <c r="J45" s="1486"/>
      <c r="K45" s="1487"/>
      <c r="L45" s="1484"/>
    </row>
    <row r="46" spans="2:22" s="322" customFormat="1" ht="13.5" customHeight="1" x14ac:dyDescent="0.2">
      <c r="B46" s="1414"/>
      <c r="C46" s="1412"/>
      <c r="D46" s="1412"/>
      <c r="E46" s="1412"/>
      <c r="F46" s="1412"/>
      <c r="G46" s="1415"/>
      <c r="H46" s="1412"/>
      <c r="I46" s="1415"/>
      <c r="J46" s="1412"/>
      <c r="K46" s="1416"/>
      <c r="L46" s="1484"/>
    </row>
    <row r="47" spans="2:22" ht="7.5" customHeight="1" x14ac:dyDescent="0.25">
      <c r="B47" s="1488"/>
      <c r="C47" s="1488"/>
      <c r="D47" s="1489"/>
      <c r="E47" s="1489"/>
      <c r="F47" s="1489"/>
      <c r="G47" s="1490"/>
      <c r="H47" s="1489"/>
      <c r="I47" s="1490"/>
      <c r="J47" s="1489"/>
      <c r="K47" s="1489"/>
    </row>
    <row r="48" spans="2:2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M38" sqref="M3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Marshall CUSD C-2</v>
      </c>
      <c r="C1" s="2471"/>
      <c r="D1" s="2471"/>
      <c r="E1" s="1491"/>
    </row>
    <row r="2" spans="2:5" s="1282" customFormat="1" ht="12.75" customHeight="1" x14ac:dyDescent="0.2">
      <c r="B2" s="2473" t="str">
        <f>'Single Audit Cover'!E7</f>
        <v>11012002C26</v>
      </c>
      <c r="C2" s="2473"/>
      <c r="D2" s="2473"/>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t="s">
        <v>2141</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118961694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4">
        <f>ROUND(D10+F10+H10,5)</f>
        <v>2.5399999999999999E-2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11115058</v>
      </c>
      <c r="E16" s="356"/>
      <c r="F16" s="1755">
        <f>SUM('Acct Summary 7-8'!C17,'Acct Summary 7-8'!D17,'Acct Summary 7-8'!F17)</f>
        <v>11348327</v>
      </c>
      <c r="G16" s="356"/>
      <c r="H16" s="1755">
        <f>SUM(D16-F16)</f>
        <v>-233269</v>
      </c>
      <c r="I16" s="222"/>
      <c r="J16" s="1755">
        <f>SUM('Acct Summary 7-8'!C81,'Acct Summary 7-8'!D81,'Acct Summary 7-8'!F81,'Acct Summary 7-8'!I81)</f>
        <v>7697039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16416713.772000002</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5803800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E43" sqref="E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Marshall CUSD C-2</v>
      </c>
      <c r="E7" s="391"/>
      <c r="G7" s="252"/>
      <c r="H7" s="387"/>
      <c r="I7" s="387"/>
      <c r="J7" s="387"/>
      <c r="K7" s="387"/>
      <c r="L7" s="329"/>
      <c r="M7" s="329"/>
      <c r="N7" s="329"/>
      <c r="O7" s="329"/>
      <c r="P7" s="329"/>
    </row>
    <row r="8" spans="1:18" ht="12.75" x14ac:dyDescent="0.2">
      <c r="A8" s="329"/>
      <c r="B8" s="329"/>
      <c r="C8" s="389" t="s">
        <v>1187</v>
      </c>
      <c r="D8" s="392" t="str">
        <f>COVER!A13</f>
        <v>11012002C26</v>
      </c>
      <c r="E8" s="393"/>
      <c r="G8" s="329"/>
      <c r="H8" s="329"/>
      <c r="I8" s="329"/>
      <c r="J8" s="329"/>
      <c r="K8" s="329"/>
      <c r="L8" s="329"/>
      <c r="M8" s="329"/>
      <c r="N8" s="329"/>
      <c r="O8" s="329"/>
      <c r="P8" s="329"/>
    </row>
    <row r="9" spans="1:18" ht="12.75" x14ac:dyDescent="0.2">
      <c r="A9" s="329"/>
      <c r="B9" s="329"/>
      <c r="C9" s="389" t="s">
        <v>737</v>
      </c>
      <c r="D9" s="394" t="str">
        <f>COVER!A15</f>
        <v>Clark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7697039</v>
      </c>
      <c r="I12" s="404"/>
      <c r="J12" s="404"/>
      <c r="K12" s="405">
        <f>TRUNC((H12/H13*100000),5)/100000</f>
        <v>0.69248752449999995</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11115058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11348327</v>
      </c>
      <c r="I17" s="404"/>
      <c r="J17" s="416"/>
      <c r="K17" s="405">
        <f>TRUNC((H17/H18*100000),5)/100000</f>
        <v>1.020986755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11115058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28.231497599999997</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5148299</v>
      </c>
      <c r="I24" s="422"/>
      <c r="J24" s="422"/>
      <c r="K24" s="423">
        <f>TRUNC(((H24/H25*100000)/100000),2)</f>
        <v>163.31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31523.130560000001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2568382.97346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5803800</v>
      </c>
      <c r="I32" s="420"/>
      <c r="J32" s="420"/>
      <c r="K32" s="423">
        <f>TRUNC(100-((((H32/H33*100))*100)/100),2)</f>
        <v>64.64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16416713.772000002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L40" sqref="L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3009592</v>
      </c>
      <c r="D4" s="466">
        <v>1834672</v>
      </c>
      <c r="E4" s="466">
        <v>66673</v>
      </c>
      <c r="F4" s="466">
        <v>304035</v>
      </c>
      <c r="G4" s="466">
        <v>102776</v>
      </c>
      <c r="H4" s="466"/>
      <c r="I4" s="466"/>
      <c r="J4" s="467">
        <v>45379</v>
      </c>
      <c r="K4" s="466">
        <v>131036</v>
      </c>
      <c r="L4" s="466">
        <v>249101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2552092</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5561684</v>
      </c>
      <c r="D13" s="1759">
        <f t="shared" ref="D13:L13" si="0">SUM(D4:D12)</f>
        <v>1834672</v>
      </c>
      <c r="E13" s="1759">
        <f t="shared" si="0"/>
        <v>66673</v>
      </c>
      <c r="F13" s="1759">
        <f t="shared" si="0"/>
        <v>304035</v>
      </c>
      <c r="G13" s="1759">
        <f t="shared" si="0"/>
        <v>102776</v>
      </c>
      <c r="H13" s="1759">
        <f t="shared" si="0"/>
        <v>0</v>
      </c>
      <c r="I13" s="1759">
        <f t="shared" si="0"/>
        <v>0</v>
      </c>
      <c r="J13" s="1759">
        <f t="shared" si="0"/>
        <v>45379</v>
      </c>
      <c r="K13" s="1759">
        <f t="shared" si="0"/>
        <v>131036</v>
      </c>
      <c r="L13" s="1759">
        <f t="shared" si="0"/>
        <v>249101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101299</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26'!L8+476</f>
        <v>6831074</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26'!L12+'Cap Outlay Deprec 26'!L13</f>
        <v>174290</v>
      </c>
      <c r="N19" s="484"/>
    </row>
    <row r="20" spans="1:14" s="485" customFormat="1" ht="12.75" customHeight="1" x14ac:dyDescent="0.2">
      <c r="A20" s="482" t="s">
        <v>1473</v>
      </c>
      <c r="B20" s="483">
        <v>260</v>
      </c>
      <c r="C20" s="477"/>
      <c r="D20" s="477"/>
      <c r="E20" s="477"/>
      <c r="F20" s="477"/>
      <c r="G20" s="477"/>
      <c r="H20" s="477"/>
      <c r="I20" s="477"/>
      <c r="J20" s="477"/>
      <c r="K20" s="477"/>
      <c r="L20" s="477"/>
      <c r="M20" s="467">
        <f>'Cap Outlay Deprec 26'!L15</f>
        <v>993113</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5803800</v>
      </c>
    </row>
    <row r="23" spans="1:14" ht="13.5" customHeight="1" thickBot="1" x14ac:dyDescent="0.25">
      <c r="A23" s="1758" t="s">
        <v>664</v>
      </c>
      <c r="B23" s="1763"/>
      <c r="C23" s="468"/>
      <c r="D23" s="468"/>
      <c r="E23" s="468"/>
      <c r="F23" s="468"/>
      <c r="G23" s="468"/>
      <c r="H23" s="468"/>
      <c r="I23" s="468"/>
      <c r="J23" s="468"/>
      <c r="K23" s="468"/>
      <c r="L23" s="468"/>
      <c r="M23" s="1710">
        <f>SUM(M15:M22)</f>
        <v>8099776</v>
      </c>
      <c r="N23" s="1710">
        <f>SUM(N21:N22)</f>
        <v>5803800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2725</v>
      </c>
      <c r="D31" s="467">
        <v>211</v>
      </c>
      <c r="E31" s="467"/>
      <c r="F31" s="466">
        <v>416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2725</v>
      </c>
      <c r="D34" s="1762">
        <f t="shared" ref="D34:K34" si="1">SUM(D25:D33)</f>
        <v>211</v>
      </c>
      <c r="E34" s="1762">
        <f t="shared" si="1"/>
        <v>0</v>
      </c>
      <c r="F34" s="1762">
        <f t="shared" si="1"/>
        <v>416</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5803800</v>
      </c>
    </row>
    <row r="37" spans="1:14" ht="13.5" thickBot="1" x14ac:dyDescent="0.25">
      <c r="A37" s="1758" t="s">
        <v>674</v>
      </c>
      <c r="B37" s="1763"/>
      <c r="C37" s="477"/>
      <c r="D37" s="477"/>
      <c r="E37" s="477"/>
      <c r="F37" s="477"/>
      <c r="G37" s="477"/>
      <c r="H37" s="477"/>
      <c r="I37" s="477"/>
      <c r="J37" s="477"/>
      <c r="K37" s="477"/>
      <c r="L37" s="480"/>
      <c r="M37" s="468"/>
      <c r="N37" s="1710">
        <f>SUM(N36:N36)</f>
        <v>5803800</v>
      </c>
    </row>
    <row r="38" spans="1:14" s="329" customFormat="1" ht="13.5" customHeight="1" thickTop="1" x14ac:dyDescent="0.2">
      <c r="A38" s="496" t="s">
        <v>440</v>
      </c>
      <c r="B38" s="483">
        <v>714</v>
      </c>
      <c r="C38" s="466"/>
      <c r="D38" s="466"/>
      <c r="E38" s="466">
        <f>'Acct Summary 7-8'!E81</f>
        <v>66673</v>
      </c>
      <c r="F38" s="466"/>
      <c r="G38" s="466">
        <f>'Acct Summary 7-8'!G81</f>
        <v>102776</v>
      </c>
      <c r="H38" s="466"/>
      <c r="I38" s="466"/>
      <c r="J38" s="467">
        <f>'Acct Summary 7-8'!J81</f>
        <v>45379</v>
      </c>
      <c r="K38" s="466">
        <f>'Acct Summary 7-8'!K81</f>
        <v>131036</v>
      </c>
      <c r="L38" s="481"/>
      <c r="M38" s="497"/>
      <c r="N38" s="497"/>
    </row>
    <row r="39" spans="1:14" s="329" customFormat="1" ht="13.5" customHeight="1" x14ac:dyDescent="0.2">
      <c r="A39" s="496" t="s">
        <v>360</v>
      </c>
      <c r="B39" s="483">
        <v>730</v>
      </c>
      <c r="C39" s="466">
        <f>'Acct Summary 7-8'!C81</f>
        <v>5558959</v>
      </c>
      <c r="D39" s="466">
        <f>'Acct Summary 7-8'!D81</f>
        <v>1834461</v>
      </c>
      <c r="E39" s="466"/>
      <c r="F39" s="466">
        <f>'Acct Summary 7-8'!F81</f>
        <v>303619</v>
      </c>
      <c r="G39" s="466"/>
      <c r="H39" s="466"/>
      <c r="I39" s="466">
        <v>0</v>
      </c>
      <c r="J39" s="467"/>
      <c r="K39" s="466"/>
      <c r="L39" s="466">
        <v>249101</v>
      </c>
      <c r="M39" s="497"/>
      <c r="N39" s="497"/>
    </row>
    <row r="40" spans="1:14" s="329" customFormat="1" ht="13.5" customHeight="1" x14ac:dyDescent="0.2">
      <c r="A40" s="498" t="s">
        <v>150</v>
      </c>
      <c r="B40" s="499"/>
      <c r="C40" s="500"/>
      <c r="D40" s="500"/>
      <c r="E40" s="500"/>
      <c r="F40" s="500"/>
      <c r="G40" s="500"/>
      <c r="H40" s="500"/>
      <c r="I40" s="500"/>
      <c r="J40" s="500"/>
      <c r="K40" s="500"/>
      <c r="L40" s="500"/>
      <c r="M40" s="467">
        <f>M23</f>
        <v>8099776</v>
      </c>
      <c r="N40" s="497"/>
    </row>
    <row r="41" spans="1:14" ht="13.5" customHeight="1" thickBot="1" x14ac:dyDescent="0.25">
      <c r="A41" s="1758" t="s">
        <v>676</v>
      </c>
      <c r="B41" s="1728"/>
      <c r="C41" s="1710">
        <f>(SUM(C34,C37,C38,C39))</f>
        <v>5561684</v>
      </c>
      <c r="D41" s="1710">
        <f t="shared" ref="D41:L41" si="2">SUM(D34,D37,D38:D39)</f>
        <v>1834672</v>
      </c>
      <c r="E41" s="1710">
        <f t="shared" si="2"/>
        <v>66673</v>
      </c>
      <c r="F41" s="1710">
        <f t="shared" si="2"/>
        <v>304035</v>
      </c>
      <c r="G41" s="1710">
        <f t="shared" si="2"/>
        <v>102776</v>
      </c>
      <c r="H41" s="1710">
        <f t="shared" si="2"/>
        <v>0</v>
      </c>
      <c r="I41" s="1710">
        <f t="shared" si="2"/>
        <v>0</v>
      </c>
      <c r="J41" s="1710">
        <f t="shared" si="2"/>
        <v>45379</v>
      </c>
      <c r="K41" s="1710">
        <f t="shared" si="2"/>
        <v>131036</v>
      </c>
      <c r="L41" s="1710">
        <f t="shared" si="2"/>
        <v>249101</v>
      </c>
      <c r="M41" s="1710">
        <f>SUM(M40)</f>
        <v>8099776</v>
      </c>
      <c r="N41" s="1710">
        <f>SUM(N37)</f>
        <v>5803800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E33" sqref="E33:I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2799248</v>
      </c>
      <c r="D4" s="1764">
        <f>'Revenues 9-14'!D109</f>
        <v>581682</v>
      </c>
      <c r="E4" s="1764">
        <f>'Revenues 9-14'!E109</f>
        <v>555755</v>
      </c>
      <c r="F4" s="1764">
        <f>'Revenues 9-14'!F109</f>
        <v>238454</v>
      </c>
      <c r="G4" s="1764">
        <f>'Revenues 9-14'!G109</f>
        <v>363248</v>
      </c>
      <c r="H4" s="1764">
        <f>'Revenues 9-14'!H109</f>
        <v>0</v>
      </c>
      <c r="I4" s="1764">
        <f>'Revenues 9-14'!I109</f>
        <v>57504</v>
      </c>
      <c r="J4" s="1764">
        <f>'Revenues 9-14'!J109</f>
        <v>200839</v>
      </c>
      <c r="K4" s="1764">
        <f>'Revenues 9-14'!K109</f>
        <v>58133</v>
      </c>
      <c r="L4" s="347"/>
    </row>
    <row r="5" spans="1:13" ht="15.75" customHeight="1" x14ac:dyDescent="0.2">
      <c r="A5" s="1598" t="s">
        <v>1580</v>
      </c>
      <c r="B5" s="1599">
        <v>2000</v>
      </c>
      <c r="C5" s="1765">
        <f>'Revenues 9-14'!C114</f>
        <v>91182</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6101868</v>
      </c>
      <c r="D6" s="1765">
        <f>'Revenues 9-14'!D173</f>
        <v>0</v>
      </c>
      <c r="E6" s="1765">
        <f>'Revenues 9-14'!E173</f>
        <v>0</v>
      </c>
      <c r="F6" s="1765">
        <f>'Revenues 9-14'!F173</f>
        <v>514707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730413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9722711</v>
      </c>
      <c r="D8" s="1710">
        <f t="shared" ref="D8:K8" si="0">SUM(D4:D7)</f>
        <v>581682</v>
      </c>
      <c r="E8" s="1710">
        <f t="shared" si="0"/>
        <v>555755</v>
      </c>
      <c r="F8" s="1710">
        <f t="shared" si="0"/>
        <v>753161</v>
      </c>
      <c r="G8" s="1710">
        <f t="shared" si="0"/>
        <v>363248</v>
      </c>
      <c r="H8" s="1710">
        <f t="shared" si="0"/>
        <v>0</v>
      </c>
      <c r="I8" s="1710">
        <f t="shared" si="0"/>
        <v>57504</v>
      </c>
      <c r="J8" s="1710">
        <f t="shared" si="0"/>
        <v>200839</v>
      </c>
      <c r="K8" s="1710">
        <f t="shared" si="0"/>
        <v>58133</v>
      </c>
      <c r="L8" s="347"/>
    </row>
    <row r="9" spans="1:13" ht="15.75" thickTop="1" x14ac:dyDescent="0.2">
      <c r="A9" s="514" t="s">
        <v>1752</v>
      </c>
      <c r="B9" s="515">
        <v>3998</v>
      </c>
      <c r="C9" s="481">
        <v>643771</v>
      </c>
      <c r="D9" s="516"/>
      <c r="E9" s="481"/>
      <c r="F9" s="481"/>
      <c r="G9" s="517"/>
      <c r="H9" s="481"/>
      <c r="I9" s="509" t="s">
        <v>1231</v>
      </c>
      <c r="J9" s="478"/>
      <c r="K9" s="481"/>
      <c r="L9" s="347"/>
    </row>
    <row r="10" spans="1:13" s="519" customFormat="1" ht="13.5" thickBot="1" x14ac:dyDescent="0.25">
      <c r="A10" s="1758" t="s">
        <v>1235</v>
      </c>
      <c r="B10" s="1731"/>
      <c r="C10" s="1710">
        <f>SUM(C8:C9)</f>
        <v>10366482</v>
      </c>
      <c r="D10" s="1710">
        <f t="shared" ref="D10:K10" si="1">SUM(D8:D9)</f>
        <v>581682</v>
      </c>
      <c r="E10" s="1710">
        <f t="shared" si="1"/>
        <v>555755</v>
      </c>
      <c r="F10" s="1710">
        <f t="shared" si="1"/>
        <v>753161</v>
      </c>
      <c r="G10" s="1710">
        <f t="shared" si="1"/>
        <v>363248</v>
      </c>
      <c r="H10" s="1710">
        <f t="shared" si="1"/>
        <v>0</v>
      </c>
      <c r="I10" s="1710">
        <f t="shared" si="1"/>
        <v>57504</v>
      </c>
      <c r="J10" s="1710">
        <f t="shared" si="1"/>
        <v>200839</v>
      </c>
      <c r="K10" s="1710">
        <f t="shared" si="1"/>
        <v>58133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5385678</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3363517</v>
      </c>
      <c r="D13" s="1765">
        <f>'Expenditures 15-22'!K129</f>
        <v>1552398</v>
      </c>
      <c r="E13" s="469" t="s">
        <v>1231</v>
      </c>
      <c r="F13" s="1765">
        <f>'Expenditures 15-22'!K184</f>
        <v>686624</v>
      </c>
      <c r="G13" s="1765">
        <f>'Expenditures 15-22'!K279</f>
        <v>348874</v>
      </c>
      <c r="H13" s="1765">
        <f>'Expenditures 15-22'!K303</f>
        <v>0</v>
      </c>
      <c r="I13" s="468" t="s">
        <v>1231</v>
      </c>
      <c r="J13" s="1765">
        <f>'Expenditures 15-22'!K330</f>
        <v>198414</v>
      </c>
      <c r="K13" s="1769">
        <f>'Expenditures 15-22'!K352</f>
        <v>106866</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360110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2062727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9109305</v>
      </c>
      <c r="D17" s="1710">
        <f t="shared" si="2"/>
        <v>1552398</v>
      </c>
      <c r="E17" s="1710">
        <f t="shared" si="2"/>
        <v>2062727</v>
      </c>
      <c r="F17" s="1710">
        <f t="shared" si="2"/>
        <v>686624</v>
      </c>
      <c r="G17" s="1710">
        <f t="shared" si="2"/>
        <v>348874</v>
      </c>
      <c r="H17" s="1710">
        <f t="shared" si="2"/>
        <v>0</v>
      </c>
      <c r="I17" s="468"/>
      <c r="J17" s="1710">
        <f>SUM(J12:J16)</f>
        <v>198414</v>
      </c>
      <c r="K17" s="1710">
        <f>SUM(K12:K16)</f>
        <v>106866</v>
      </c>
      <c r="L17" s="347"/>
    </row>
    <row r="18" spans="1:12" ht="15" customHeight="1" thickTop="1" x14ac:dyDescent="0.2">
      <c r="A18" s="1766" t="s">
        <v>1753</v>
      </c>
      <c r="B18" s="1767">
        <v>4180</v>
      </c>
      <c r="C18" s="1764">
        <f t="shared" ref="C18:H18" si="3">C9</f>
        <v>643771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9753076</v>
      </c>
      <c r="D19" s="1710">
        <f t="shared" si="4"/>
        <v>1552398</v>
      </c>
      <c r="E19" s="1710">
        <f t="shared" si="4"/>
        <v>2062727</v>
      </c>
      <c r="F19" s="1710">
        <f t="shared" si="4"/>
        <v>686624</v>
      </c>
      <c r="G19" s="1710">
        <f t="shared" si="4"/>
        <v>348874</v>
      </c>
      <c r="H19" s="1710">
        <f t="shared" si="4"/>
        <v>0</v>
      </c>
      <c r="I19" s="468"/>
      <c r="J19" s="1710">
        <f>SUM(J17:J18)</f>
        <v>198414</v>
      </c>
      <c r="K19" s="1710">
        <f>SUM(K17:K18)</f>
        <v>106866</v>
      </c>
      <c r="L19" s="347"/>
    </row>
    <row r="20" spans="1:12" ht="16.5" thickTop="1" thickBot="1" x14ac:dyDescent="0.25">
      <c r="A20" s="2144" t="s">
        <v>1754</v>
      </c>
      <c r="B20" s="2145"/>
      <c r="C20" s="1768">
        <f>C8-C17</f>
        <v>613406</v>
      </c>
      <c r="D20" s="1768">
        <f t="shared" ref="D20:K20" si="5">D8-D17</f>
        <v>-970716</v>
      </c>
      <c r="E20" s="1768">
        <f t="shared" si="5"/>
        <v>-1506972</v>
      </c>
      <c r="F20" s="1768">
        <f t="shared" si="5"/>
        <v>66537</v>
      </c>
      <c r="G20" s="1768">
        <f t="shared" si="5"/>
        <v>14374</v>
      </c>
      <c r="H20" s="1768">
        <f t="shared" si="5"/>
        <v>0</v>
      </c>
      <c r="I20" s="1768">
        <f t="shared" si="5"/>
        <v>57504</v>
      </c>
      <c r="J20" s="1768">
        <f t="shared" si="5"/>
        <v>2425</v>
      </c>
      <c r="K20" s="1768">
        <f t="shared" si="5"/>
        <v>-48733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v>2006101</v>
      </c>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v>1500400</v>
      </c>
      <c r="F33" s="467"/>
      <c r="G33" s="477"/>
      <c r="H33" s="467"/>
      <c r="I33" s="467">
        <v>1936500</v>
      </c>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2006101</v>
      </c>
      <c r="E44" s="1725">
        <f t="shared" si="6"/>
        <v>1500400</v>
      </c>
      <c r="F44" s="1725">
        <f t="shared" si="6"/>
        <v>0</v>
      </c>
      <c r="G44" s="1725">
        <f t="shared" si="6"/>
        <v>0</v>
      </c>
      <c r="H44" s="1725">
        <f t="shared" si="6"/>
        <v>0</v>
      </c>
      <c r="I44" s="1725">
        <f t="shared" si="6"/>
        <v>1936500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2006101</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2006101</v>
      </c>
      <c r="J76" s="1725">
        <f t="shared" si="7"/>
        <v>0</v>
      </c>
      <c r="K76" s="1725">
        <f t="shared" si="7"/>
        <v>0</v>
      </c>
      <c r="L76" s="524"/>
    </row>
    <row r="77" spans="1:12" ht="14.25" thickTop="1" thickBot="1" x14ac:dyDescent="0.25">
      <c r="A77" s="2136" t="s">
        <v>1239</v>
      </c>
      <c r="B77" s="2137"/>
      <c r="C77" s="1725">
        <f t="shared" ref="C77:K77" si="8">C44-C76</f>
        <v>0</v>
      </c>
      <c r="D77" s="1725">
        <f t="shared" si="8"/>
        <v>2006101</v>
      </c>
      <c r="E77" s="1725">
        <f t="shared" si="8"/>
        <v>1500400</v>
      </c>
      <c r="F77" s="1725">
        <f t="shared" si="8"/>
        <v>0</v>
      </c>
      <c r="G77" s="1725">
        <f t="shared" si="8"/>
        <v>0</v>
      </c>
      <c r="H77" s="1725">
        <f t="shared" si="8"/>
        <v>0</v>
      </c>
      <c r="I77" s="1725">
        <f t="shared" si="8"/>
        <v>-69601</v>
      </c>
      <c r="J77" s="1725">
        <f t="shared" si="8"/>
        <v>0</v>
      </c>
      <c r="K77" s="1725">
        <f t="shared" si="8"/>
        <v>0</v>
      </c>
      <c r="L77" s="347"/>
    </row>
    <row r="78" spans="1:12" ht="21.75" customHeight="1" thickTop="1" thickBot="1" x14ac:dyDescent="0.25">
      <c r="A78" s="2140" t="s">
        <v>618</v>
      </c>
      <c r="B78" s="2141"/>
      <c r="C78" s="1724">
        <f t="shared" ref="C78:K78" si="9">C20+C77</f>
        <v>613406</v>
      </c>
      <c r="D78" s="1724">
        <f t="shared" si="9"/>
        <v>1035385</v>
      </c>
      <c r="E78" s="1724">
        <f t="shared" si="9"/>
        <v>-6572</v>
      </c>
      <c r="F78" s="1724">
        <f t="shared" si="9"/>
        <v>66537</v>
      </c>
      <c r="G78" s="1724">
        <f t="shared" si="9"/>
        <v>14374</v>
      </c>
      <c r="H78" s="1724">
        <f t="shared" si="9"/>
        <v>0</v>
      </c>
      <c r="I78" s="1724">
        <f t="shared" si="9"/>
        <v>-12097</v>
      </c>
      <c r="J78" s="1724">
        <f t="shared" si="9"/>
        <v>2425</v>
      </c>
      <c r="K78" s="1724">
        <f t="shared" si="9"/>
        <v>-48733</v>
      </c>
      <c r="L78" s="533"/>
    </row>
    <row r="79" spans="1:12" ht="13.5" thickTop="1" x14ac:dyDescent="0.2">
      <c r="A79" s="1516" t="s">
        <v>2072</v>
      </c>
      <c r="B79" s="534"/>
      <c r="C79" s="478">
        <v>4945553</v>
      </c>
      <c r="D79" s="535">
        <v>799076</v>
      </c>
      <c r="E79" s="535">
        <v>73245</v>
      </c>
      <c r="F79" s="535">
        <v>237082</v>
      </c>
      <c r="G79" s="535">
        <v>88402</v>
      </c>
      <c r="H79" s="535"/>
      <c r="I79" s="535">
        <v>12097</v>
      </c>
      <c r="J79" s="535">
        <v>42954</v>
      </c>
      <c r="K79" s="535">
        <v>179769</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5558959</v>
      </c>
      <c r="D81" s="1710">
        <f>SUM(D78:D80)</f>
        <v>1834461</v>
      </c>
      <c r="E81" s="1710">
        <f t="shared" ref="E81:K81" si="10">SUM(E78:E80)</f>
        <v>66673</v>
      </c>
      <c r="F81" s="1710">
        <f t="shared" si="10"/>
        <v>303619</v>
      </c>
      <c r="G81" s="1710">
        <f t="shared" si="10"/>
        <v>102776</v>
      </c>
      <c r="H81" s="1710">
        <f t="shared" si="10"/>
        <v>0</v>
      </c>
      <c r="I81" s="1710">
        <f t="shared" si="10"/>
        <v>0</v>
      </c>
      <c r="J81" s="1710">
        <f t="shared" si="10"/>
        <v>45379</v>
      </c>
      <c r="K81" s="1710">
        <f t="shared" si="10"/>
        <v>131036</v>
      </c>
      <c r="L81" s="347"/>
    </row>
    <row r="82" spans="1:12" ht="0.75" customHeight="1" thickTop="1" thickBot="1" x14ac:dyDescent="0.25">
      <c r="A82" s="536" t="s">
        <v>361</v>
      </c>
      <c r="B82" s="537"/>
      <c r="C82" s="538">
        <f>(C81-C79)</f>
        <v>613406</v>
      </c>
      <c r="D82" s="538">
        <f t="shared" ref="D82:K82" si="11">(D81-D79)</f>
        <v>1035385</v>
      </c>
      <c r="E82" s="538">
        <f t="shared" si="11"/>
        <v>-6572</v>
      </c>
      <c r="F82" s="538">
        <f t="shared" si="11"/>
        <v>66537</v>
      </c>
      <c r="G82" s="538">
        <f t="shared" si="11"/>
        <v>14374</v>
      </c>
      <c r="H82" s="538">
        <f t="shared" si="11"/>
        <v>0</v>
      </c>
      <c r="I82" s="538">
        <f t="shared" si="11"/>
        <v>-12097</v>
      </c>
      <c r="J82" s="538">
        <f t="shared" si="11"/>
        <v>2425</v>
      </c>
      <c r="K82" s="538">
        <f t="shared" si="11"/>
        <v>-48733</v>
      </c>
    </row>
    <row r="83" spans="1:12" ht="14.25" hidden="1" thickTop="1" thickBot="1" x14ac:dyDescent="0.25">
      <c r="A83" s="539" t="s">
        <v>362</v>
      </c>
      <c r="B83" s="464"/>
      <c r="C83" s="540">
        <f>C82/C81</f>
        <v>0.11034548015194931</v>
      </c>
      <c r="D83" s="540">
        <f t="shared" ref="D83:K83" si="12">D82/D81</f>
        <v>0.56440829213594623</v>
      </c>
      <c r="E83" s="540">
        <f t="shared" si="12"/>
        <v>-9.8570635789599986E-2</v>
      </c>
      <c r="F83" s="540">
        <f t="shared" si="12"/>
        <v>0.21914636435796178</v>
      </c>
      <c r="G83" s="540">
        <f t="shared" si="12"/>
        <v>0.139857554292831</v>
      </c>
      <c r="H83" s="540" t="e">
        <f t="shared" si="12"/>
        <v>#DIV/0!</v>
      </c>
      <c r="I83" s="540" t="e">
        <f t="shared" si="12"/>
        <v>#DIV/0!</v>
      </c>
      <c r="J83" s="540">
        <f t="shared" si="12"/>
        <v>5.343881531104696E-2</v>
      </c>
      <c r="K83" s="540">
        <f t="shared" si="12"/>
        <v>-0.37190543056869868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2098782</v>
      </c>
      <c r="D5" s="481">
        <v>570323</v>
      </c>
      <c r="E5" s="466">
        <v>552416</v>
      </c>
      <c r="F5" s="548">
        <v>228131</v>
      </c>
      <c r="G5" s="466">
        <v>249232</v>
      </c>
      <c r="H5" s="466"/>
      <c r="I5" s="466">
        <v>57033</v>
      </c>
      <c r="J5" s="467">
        <v>199385</v>
      </c>
      <c r="K5" s="466">
        <v>57033</v>
      </c>
    </row>
    <row r="6" spans="1:12" ht="15" x14ac:dyDescent="0.2">
      <c r="A6" s="463" t="s">
        <v>1761</v>
      </c>
      <c r="B6" s="470">
        <v>1130</v>
      </c>
      <c r="C6" s="466">
        <v>57033</v>
      </c>
      <c r="D6" s="466"/>
      <c r="E6" s="475"/>
      <c r="F6" s="475"/>
      <c r="G6" s="468"/>
      <c r="H6" s="468"/>
      <c r="I6" s="468"/>
      <c r="J6" s="468"/>
      <c r="K6" s="468"/>
    </row>
    <row r="7" spans="1:12" x14ac:dyDescent="0.2">
      <c r="A7" s="463" t="s">
        <v>112</v>
      </c>
      <c r="B7" s="549">
        <v>1140</v>
      </c>
      <c r="C7" s="466">
        <v>45283</v>
      </c>
      <c r="D7" s="466"/>
      <c r="E7" s="468"/>
      <c r="F7" s="467"/>
      <c r="G7" s="467"/>
      <c r="H7" s="467"/>
      <c r="I7" s="468"/>
      <c r="J7" s="468"/>
      <c r="K7" s="468"/>
    </row>
    <row r="8" spans="1:12" x14ac:dyDescent="0.2">
      <c r="A8" s="463" t="s">
        <v>433</v>
      </c>
      <c r="B8" s="470">
        <v>1150</v>
      </c>
      <c r="C8" s="475"/>
      <c r="D8" s="475"/>
      <c r="E8" s="477"/>
      <c r="F8" s="477"/>
      <c r="G8" s="481">
        <v>99695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2201098</v>
      </c>
      <c r="D12" s="1729">
        <f t="shared" si="0"/>
        <v>570323</v>
      </c>
      <c r="E12" s="1729">
        <f t="shared" si="0"/>
        <v>552416</v>
      </c>
      <c r="F12" s="1729">
        <f t="shared" si="0"/>
        <v>228131</v>
      </c>
      <c r="G12" s="1729">
        <f t="shared" si="0"/>
        <v>348927</v>
      </c>
      <c r="H12" s="1729">
        <f t="shared" si="0"/>
        <v>0</v>
      </c>
      <c r="I12" s="1729">
        <f t="shared" si="0"/>
        <v>57033</v>
      </c>
      <c r="J12" s="1729">
        <f t="shared" si="0"/>
        <v>199385</v>
      </c>
      <c r="K12" s="1710">
        <f t="shared" si="0"/>
        <v>57033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7914</v>
      </c>
      <c r="D14" s="466">
        <v>2051</v>
      </c>
      <c r="E14" s="466">
        <v>1986</v>
      </c>
      <c r="F14" s="466">
        <v>820</v>
      </c>
      <c r="G14" s="466">
        <v>1255</v>
      </c>
      <c r="H14" s="466"/>
      <c r="I14" s="466">
        <v>205</v>
      </c>
      <c r="J14" s="467">
        <v>717</v>
      </c>
      <c r="K14" s="466">
        <v>205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189121</v>
      </c>
      <c r="D16" s="466"/>
      <c r="E16" s="466"/>
      <c r="F16" s="466"/>
      <c r="G16" s="466">
        <v>11602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197035</v>
      </c>
      <c r="D18" s="1732">
        <f t="shared" ref="D18:K18" si="1">SUM(D14:D17)</f>
        <v>2051</v>
      </c>
      <c r="E18" s="1732">
        <f t="shared" si="1"/>
        <v>1986</v>
      </c>
      <c r="F18" s="1732">
        <f t="shared" si="1"/>
        <v>820</v>
      </c>
      <c r="G18" s="1732">
        <f t="shared" si="1"/>
        <v>12857</v>
      </c>
      <c r="H18" s="1732">
        <f t="shared" si="1"/>
        <v>0</v>
      </c>
      <c r="I18" s="1732">
        <f t="shared" si="1"/>
        <v>205</v>
      </c>
      <c r="J18" s="1732">
        <f t="shared" si="1"/>
        <v>717</v>
      </c>
      <c r="K18" s="1733">
        <f t="shared" si="1"/>
        <v>205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6356</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6356</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57991</v>
      </c>
      <c r="D65" s="466">
        <v>9108</v>
      </c>
      <c r="E65" s="466">
        <v>1353</v>
      </c>
      <c r="F65" s="467">
        <v>1927</v>
      </c>
      <c r="G65" s="466">
        <v>1464</v>
      </c>
      <c r="H65" s="466"/>
      <c r="I65" s="466">
        <v>266</v>
      </c>
      <c r="J65" s="467">
        <v>737</v>
      </c>
      <c r="K65" s="466">
        <v>895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57991</v>
      </c>
      <c r="D67" s="1710">
        <f t="shared" ref="D67:K67" si="2">SUM(D65:D66)</f>
        <v>9108</v>
      </c>
      <c r="E67" s="1710">
        <f t="shared" si="2"/>
        <v>1353</v>
      </c>
      <c r="F67" s="1710">
        <f t="shared" si="2"/>
        <v>1927</v>
      </c>
      <c r="G67" s="1710">
        <f t="shared" si="2"/>
        <v>1464</v>
      </c>
      <c r="H67" s="1710">
        <f t="shared" si="2"/>
        <v>0</v>
      </c>
      <c r="I67" s="1710">
        <f t="shared" si="2"/>
        <v>266</v>
      </c>
      <c r="J67" s="1710">
        <f t="shared" si="2"/>
        <v>737</v>
      </c>
      <c r="K67" s="1710">
        <f t="shared" si="2"/>
        <v>895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104201</v>
      </c>
      <c r="D69" s="468"/>
      <c r="E69" s="468"/>
      <c r="F69" s="468"/>
      <c r="G69" s="468"/>
      <c r="H69" s="468"/>
      <c r="I69" s="468"/>
      <c r="J69" s="468"/>
      <c r="K69" s="468"/>
    </row>
    <row r="70" spans="1:11" ht="12.75" customHeight="1" x14ac:dyDescent="0.2">
      <c r="A70" s="463" t="s">
        <v>1054</v>
      </c>
      <c r="B70" s="470">
        <v>1612</v>
      </c>
      <c r="C70" s="551">
        <v>5732</v>
      </c>
      <c r="D70" s="468"/>
      <c r="E70" s="468"/>
      <c r="F70" s="468"/>
      <c r="G70" s="468"/>
      <c r="H70" s="468"/>
      <c r="I70" s="468"/>
      <c r="J70" s="468"/>
      <c r="K70" s="468"/>
    </row>
    <row r="71" spans="1:11" ht="12.75" customHeight="1" x14ac:dyDescent="0.2">
      <c r="A71" s="463" t="s">
        <v>291</v>
      </c>
      <c r="B71" s="470">
        <v>1613</v>
      </c>
      <c r="C71" s="551">
        <v>9371</v>
      </c>
      <c r="D71" s="468"/>
      <c r="E71" s="468"/>
      <c r="F71" s="468"/>
      <c r="G71" s="468"/>
      <c r="H71" s="468"/>
      <c r="I71" s="468"/>
      <c r="J71" s="468"/>
      <c r="K71" s="468"/>
    </row>
    <row r="72" spans="1:11" ht="12.75" customHeight="1" x14ac:dyDescent="0.2">
      <c r="A72" s="463" t="s">
        <v>24</v>
      </c>
      <c r="B72" s="470">
        <v>1614</v>
      </c>
      <c r="C72" s="551">
        <v>17849</v>
      </c>
      <c r="D72" s="468"/>
      <c r="E72" s="468"/>
      <c r="F72" s="468"/>
      <c r="G72" s="468"/>
      <c r="H72" s="468"/>
      <c r="I72" s="468"/>
      <c r="J72" s="468"/>
      <c r="K72" s="468"/>
    </row>
    <row r="73" spans="1:11" ht="12.75" customHeight="1" x14ac:dyDescent="0.2">
      <c r="A73" s="463" t="s">
        <v>1055</v>
      </c>
      <c r="B73" s="470">
        <v>1620</v>
      </c>
      <c r="C73" s="551">
        <v>3733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140886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49896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3050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52946</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55641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55641</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200</v>
      </c>
      <c r="E95" s="521"/>
      <c r="F95" s="521"/>
      <c r="G95" s="521"/>
      <c r="H95" s="521"/>
      <c r="I95" s="521"/>
      <c r="J95" s="521"/>
      <c r="K95" s="521"/>
    </row>
    <row r="96" spans="1:11" ht="12.75" customHeight="1" x14ac:dyDescent="0.2">
      <c r="A96" s="463" t="s">
        <v>409</v>
      </c>
      <c r="B96" s="470">
        <v>1920</v>
      </c>
      <c r="C96" s="551">
        <v>90000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3601</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50</v>
      </c>
      <c r="D107" s="466"/>
      <c r="E107" s="466"/>
      <c r="F107" s="466">
        <v>1220</v>
      </c>
      <c r="G107" s="466"/>
      <c r="H107" s="466"/>
      <c r="I107" s="466"/>
      <c r="J107" s="467"/>
      <c r="K107" s="466"/>
    </row>
    <row r="108" spans="1:12" ht="12.75" customHeight="1" thickBot="1" x14ac:dyDescent="0.25">
      <c r="A108" s="1730" t="s">
        <v>508</v>
      </c>
      <c r="B108" s="1734"/>
      <c r="C108" s="1729">
        <f>SUM(C95:C107)</f>
        <v>93651</v>
      </c>
      <c r="D108" s="1729">
        <f t="shared" ref="D108:K108" si="3">SUM(D95:D107)</f>
        <v>200</v>
      </c>
      <c r="E108" s="1729">
        <f t="shared" si="3"/>
        <v>0</v>
      </c>
      <c r="F108" s="1729">
        <f t="shared" si="3"/>
        <v>1220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2799248</v>
      </c>
      <c r="D109" s="1737">
        <f t="shared" si="4"/>
        <v>581682</v>
      </c>
      <c r="E109" s="1737">
        <f t="shared" si="4"/>
        <v>555755</v>
      </c>
      <c r="F109" s="1737">
        <f t="shared" si="4"/>
        <v>238454</v>
      </c>
      <c r="G109" s="1737">
        <f t="shared" si="4"/>
        <v>363248</v>
      </c>
      <c r="H109" s="1737">
        <f t="shared" si="4"/>
        <v>0</v>
      </c>
      <c r="I109" s="1737">
        <f t="shared" si="4"/>
        <v>57504</v>
      </c>
      <c r="J109" s="1737">
        <f t="shared" si="4"/>
        <v>200839</v>
      </c>
      <c r="K109" s="1724">
        <f t="shared" si="4"/>
        <v>58133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91182</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91182</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5681692</v>
      </c>
      <c r="D117" s="481"/>
      <c r="E117" s="466"/>
      <c r="F117" s="481">
        <v>32011</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5681692</v>
      </c>
      <c r="D121" s="1729">
        <f t="shared" si="5"/>
        <v>0</v>
      </c>
      <c r="E121" s="1729">
        <f t="shared" si="5"/>
        <v>0</v>
      </c>
      <c r="F121" s="1729">
        <f t="shared" si="5"/>
        <v>32011</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80672</v>
      </c>
      <c r="D124" s="561"/>
      <c r="E124" s="468"/>
      <c r="F124" s="548"/>
      <c r="G124" s="468"/>
      <c r="H124" s="468"/>
      <c r="I124" s="468"/>
      <c r="J124" s="468"/>
      <c r="K124" s="468"/>
    </row>
    <row r="125" spans="1:11" ht="12.75" customHeight="1" x14ac:dyDescent="0.2">
      <c r="A125" s="463" t="s">
        <v>1521</v>
      </c>
      <c r="B125" s="562">
        <v>3105</v>
      </c>
      <c r="C125" s="466">
        <v>88806</v>
      </c>
      <c r="D125" s="561"/>
      <c r="E125" s="468"/>
      <c r="F125" s="466"/>
      <c r="G125" s="468"/>
      <c r="H125" s="468"/>
      <c r="I125" s="468"/>
      <c r="J125" s="468"/>
      <c r="K125" s="468"/>
    </row>
    <row r="126" spans="1:11" ht="12.75" customHeight="1" x14ac:dyDescent="0.2">
      <c r="A126" s="463" t="s">
        <v>922</v>
      </c>
      <c r="B126" s="562">
        <v>3110</v>
      </c>
      <c r="C126" s="551">
        <v>126002</v>
      </c>
      <c r="D126" s="466"/>
      <c r="E126" s="468"/>
      <c r="F126" s="466"/>
      <c r="G126" s="468"/>
      <c r="H126" s="468"/>
      <c r="I126" s="468"/>
      <c r="J126" s="468"/>
      <c r="K126" s="468"/>
    </row>
    <row r="127" spans="1:11" ht="12.75" customHeight="1" x14ac:dyDescent="0.2">
      <c r="A127" s="463" t="s">
        <v>107</v>
      </c>
      <c r="B127" s="562">
        <v>3120</v>
      </c>
      <c r="C127" s="466">
        <v>30563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326043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60872</v>
      </c>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8140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69012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2990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20312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379501</v>
      </c>
      <c r="G151" s="467"/>
      <c r="H151" s="468"/>
      <c r="I151" s="468"/>
      <c r="J151" s="468"/>
      <c r="K151" s="468"/>
    </row>
    <row r="152" spans="1:11" ht="12.75" customHeight="1" x14ac:dyDescent="0.2">
      <c r="A152" s="463" t="s">
        <v>1117</v>
      </c>
      <c r="B152" s="562">
        <v>3510</v>
      </c>
      <c r="C152" s="551"/>
      <c r="D152" s="466"/>
      <c r="E152" s="561"/>
      <c r="F152" s="466">
        <v>103195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482696</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1819</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420176</v>
      </c>
      <c r="D172" s="1744">
        <f t="shared" si="6"/>
        <v>0</v>
      </c>
      <c r="E172" s="1744">
        <f t="shared" si="6"/>
        <v>0</v>
      </c>
      <c r="F172" s="1744">
        <f t="shared" si="6"/>
        <v>482696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6101868</v>
      </c>
      <c r="D173" s="1737">
        <f>SUM(D121,D172)</f>
        <v>0</v>
      </c>
      <c r="E173" s="1737">
        <f>SUM(E121,E172)</f>
        <v>0</v>
      </c>
      <c r="F173" s="1737">
        <f t="shared" ref="F173:K173" si="7">SUM(F121,F172)</f>
        <v>514707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174682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40351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215033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288136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288136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123904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123904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64162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22055</v>
      </c>
      <c r="D270" s="576"/>
      <c r="E270" s="468"/>
      <c r="F270" s="576"/>
      <c r="G270" s="576"/>
      <c r="H270" s="468"/>
      <c r="I270" s="468"/>
      <c r="J270" s="468"/>
      <c r="K270" s="468"/>
    </row>
    <row r="271" spans="1:11" ht="12.75" customHeight="1" thickTop="1" thickBot="1" x14ac:dyDescent="0.25">
      <c r="A271" s="463" t="s">
        <v>395</v>
      </c>
      <c r="B271" s="470">
        <v>4992</v>
      </c>
      <c r="C271" s="575">
        <v>17123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730413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730413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9722711</v>
      </c>
      <c r="D275" s="1737">
        <f t="shared" si="12"/>
        <v>581682</v>
      </c>
      <c r="E275" s="1737">
        <f t="shared" si="12"/>
        <v>555755</v>
      </c>
      <c r="F275" s="1737">
        <f t="shared" si="12"/>
        <v>753161</v>
      </c>
      <c r="G275" s="1737">
        <f t="shared" si="12"/>
        <v>363248</v>
      </c>
      <c r="H275" s="1737">
        <f t="shared" si="12"/>
        <v>0</v>
      </c>
      <c r="I275" s="1737">
        <f t="shared" si="12"/>
        <v>57504</v>
      </c>
      <c r="J275" s="1737">
        <f t="shared" si="12"/>
        <v>200839</v>
      </c>
      <c r="K275" s="1724">
        <f t="shared" si="12"/>
        <v>58133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5" activePane="bottomLeft" state="frozen"/>
      <selection activeCell="A47" sqref="A47"/>
      <selection pane="bottomLeft" activeCell="F63" sqref="E63:F6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2731176</v>
      </c>
      <c r="D5" s="466">
        <v>324748</v>
      </c>
      <c r="E5" s="466">
        <v>81634</v>
      </c>
      <c r="F5" s="466">
        <v>96905</v>
      </c>
      <c r="G5" s="466">
        <v>8778</v>
      </c>
      <c r="H5" s="466">
        <v>13330</v>
      </c>
      <c r="I5" s="467"/>
      <c r="J5" s="467"/>
      <c r="K5" s="1693">
        <f>SUM(C5:J5)</f>
        <v>3256571</v>
      </c>
      <c r="L5" s="466">
        <v>3319179</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1003444</v>
      </c>
      <c r="D8" s="466">
        <v>154653</v>
      </c>
      <c r="E8" s="466">
        <v>228</v>
      </c>
      <c r="F8" s="466">
        <v>7178</v>
      </c>
      <c r="G8" s="466"/>
      <c r="H8" s="466"/>
      <c r="I8" s="467"/>
      <c r="J8" s="467"/>
      <c r="K8" s="1693">
        <f t="shared" si="0"/>
        <v>1165503</v>
      </c>
      <c r="L8" s="466">
        <v>1212218</v>
      </c>
    </row>
    <row r="9" spans="1:14" x14ac:dyDescent="0.2">
      <c r="A9" s="1526" t="s">
        <v>745</v>
      </c>
      <c r="B9" s="615" t="s">
        <v>1025</v>
      </c>
      <c r="C9" s="467">
        <v>86628</v>
      </c>
      <c r="D9" s="467">
        <v>15219</v>
      </c>
      <c r="E9" s="467"/>
      <c r="F9" s="467">
        <v>37</v>
      </c>
      <c r="G9" s="467"/>
      <c r="H9" s="467"/>
      <c r="I9" s="467"/>
      <c r="J9" s="467"/>
      <c r="K9" s="1693">
        <f t="shared" si="0"/>
        <v>101884</v>
      </c>
      <c r="L9" s="466">
        <v>105103</v>
      </c>
    </row>
    <row r="10" spans="1:14" x14ac:dyDescent="0.2">
      <c r="A10" s="1526" t="s">
        <v>746</v>
      </c>
      <c r="B10" s="615">
        <v>1250</v>
      </c>
      <c r="C10" s="466">
        <v>165705</v>
      </c>
      <c r="D10" s="466">
        <v>18629</v>
      </c>
      <c r="E10" s="466">
        <v>29676</v>
      </c>
      <c r="F10" s="466">
        <v>95051</v>
      </c>
      <c r="G10" s="466"/>
      <c r="H10" s="466"/>
      <c r="I10" s="467"/>
      <c r="J10" s="467"/>
      <c r="K10" s="1693">
        <f t="shared" si="0"/>
        <v>309061</v>
      </c>
      <c r="L10" s="466">
        <v>311088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288271</v>
      </c>
      <c r="D13" s="466">
        <v>31269</v>
      </c>
      <c r="E13" s="466">
        <v>907</v>
      </c>
      <c r="F13" s="466">
        <v>37050</v>
      </c>
      <c r="G13" s="466"/>
      <c r="H13" s="466"/>
      <c r="I13" s="467">
        <v>3000</v>
      </c>
      <c r="J13" s="467"/>
      <c r="K13" s="1693">
        <f t="shared" si="0"/>
        <v>360497</v>
      </c>
      <c r="L13" s="466">
        <v>372056</v>
      </c>
    </row>
    <row r="14" spans="1:14" x14ac:dyDescent="0.2">
      <c r="A14" s="1526" t="s">
        <v>1020</v>
      </c>
      <c r="B14" s="615">
        <v>1500</v>
      </c>
      <c r="C14" s="466">
        <v>111962</v>
      </c>
      <c r="D14" s="466"/>
      <c r="E14" s="466">
        <v>23344</v>
      </c>
      <c r="F14" s="466">
        <v>14388</v>
      </c>
      <c r="G14" s="466"/>
      <c r="H14" s="466">
        <v>3293</v>
      </c>
      <c r="I14" s="467"/>
      <c r="J14" s="467"/>
      <c r="K14" s="1693">
        <f t="shared" si="0"/>
        <v>152987</v>
      </c>
      <c r="L14" s="466">
        <v>170976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31653</v>
      </c>
      <c r="D17" s="467">
        <v>6804</v>
      </c>
      <c r="E17" s="467"/>
      <c r="F17" s="467">
        <v>718</v>
      </c>
      <c r="G17" s="467"/>
      <c r="H17" s="467"/>
      <c r="I17" s="467"/>
      <c r="J17" s="467"/>
      <c r="K17" s="1693">
        <f t="shared" si="0"/>
        <v>39175</v>
      </c>
      <c r="L17" s="466">
        <v>40482</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4418839</v>
      </c>
      <c r="D33" s="1692">
        <f t="shared" ref="D33:L33" si="1">SUM(D5:D32)</f>
        <v>551322</v>
      </c>
      <c r="E33" s="1692">
        <f t="shared" si="1"/>
        <v>135789</v>
      </c>
      <c r="F33" s="1692">
        <f t="shared" si="1"/>
        <v>251327</v>
      </c>
      <c r="G33" s="1692">
        <f t="shared" si="1"/>
        <v>8778</v>
      </c>
      <c r="H33" s="1692">
        <f t="shared" si="1"/>
        <v>16623</v>
      </c>
      <c r="I33" s="1692">
        <f t="shared" si="1"/>
        <v>3000</v>
      </c>
      <c r="J33" s="1692">
        <f t="shared" si="1"/>
        <v>0</v>
      </c>
      <c r="K33" s="1692">
        <f t="shared" si="1"/>
        <v>5385678</v>
      </c>
      <c r="L33" s="1692">
        <f t="shared" si="1"/>
        <v>5531102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91265</v>
      </c>
      <c r="D37" s="466">
        <v>8758</v>
      </c>
      <c r="E37" s="466">
        <v>184</v>
      </c>
      <c r="F37" s="466">
        <v>369</v>
      </c>
      <c r="G37" s="466"/>
      <c r="H37" s="466"/>
      <c r="I37" s="467"/>
      <c r="J37" s="467"/>
      <c r="K37" s="1693">
        <f t="shared" si="2"/>
        <v>100576</v>
      </c>
      <c r="L37" s="466">
        <v>99203</v>
      </c>
    </row>
    <row r="38" spans="1:14" x14ac:dyDescent="0.2">
      <c r="A38" s="1526" t="s">
        <v>207</v>
      </c>
      <c r="B38" s="615">
        <v>2130</v>
      </c>
      <c r="C38" s="466">
        <v>76551</v>
      </c>
      <c r="D38" s="466">
        <v>8723</v>
      </c>
      <c r="E38" s="466"/>
      <c r="F38" s="466">
        <v>3688</v>
      </c>
      <c r="G38" s="466"/>
      <c r="H38" s="466">
        <v>47378</v>
      </c>
      <c r="I38" s="467"/>
      <c r="J38" s="467"/>
      <c r="K38" s="1693">
        <f t="shared" si="2"/>
        <v>136340</v>
      </c>
      <c r="L38" s="466">
        <v>136827</v>
      </c>
    </row>
    <row r="39" spans="1:14" x14ac:dyDescent="0.2">
      <c r="A39" s="1526" t="s">
        <v>208</v>
      </c>
      <c r="B39" s="615">
        <v>2140</v>
      </c>
      <c r="C39" s="466">
        <v>123935</v>
      </c>
      <c r="D39" s="466">
        <v>8758</v>
      </c>
      <c r="E39" s="466">
        <v>1075</v>
      </c>
      <c r="F39" s="466">
        <v>6600</v>
      </c>
      <c r="G39" s="466"/>
      <c r="H39" s="466"/>
      <c r="I39" s="467"/>
      <c r="J39" s="467"/>
      <c r="K39" s="1693">
        <f t="shared" si="2"/>
        <v>140368</v>
      </c>
      <c r="L39" s="466">
        <v>142660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c r="D41" s="466"/>
      <c r="E41" s="466"/>
      <c r="F41" s="466">
        <v>1515</v>
      </c>
      <c r="G41" s="466"/>
      <c r="H41" s="466"/>
      <c r="I41" s="467"/>
      <c r="J41" s="467"/>
      <c r="K41" s="1693">
        <f t="shared" si="2"/>
        <v>1515</v>
      </c>
      <c r="L41" s="466">
        <v>1500</v>
      </c>
    </row>
    <row r="42" spans="1:14" ht="12.75" customHeight="1" thickBot="1" x14ac:dyDescent="0.25">
      <c r="A42" s="1690" t="s">
        <v>581</v>
      </c>
      <c r="B42" s="1691" t="s">
        <v>740</v>
      </c>
      <c r="C42" s="1692">
        <f>SUM(C36:C41)</f>
        <v>291751</v>
      </c>
      <c r="D42" s="1692">
        <f t="shared" ref="D42:L42" si="3">SUM(D36:D41)</f>
        <v>26239</v>
      </c>
      <c r="E42" s="1692">
        <f t="shared" si="3"/>
        <v>1259</v>
      </c>
      <c r="F42" s="1692">
        <f t="shared" si="3"/>
        <v>12172</v>
      </c>
      <c r="G42" s="1692">
        <f t="shared" si="3"/>
        <v>0</v>
      </c>
      <c r="H42" s="1692">
        <f t="shared" si="3"/>
        <v>47378</v>
      </c>
      <c r="I42" s="1692">
        <f t="shared" si="3"/>
        <v>0</v>
      </c>
      <c r="J42" s="1692">
        <f t="shared" si="3"/>
        <v>0</v>
      </c>
      <c r="K42" s="1692">
        <f t="shared" si="3"/>
        <v>378799</v>
      </c>
      <c r="L42" s="1692">
        <f t="shared" si="3"/>
        <v>380190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9369</v>
      </c>
      <c r="F44" s="481"/>
      <c r="G44" s="481"/>
      <c r="H44" s="481"/>
      <c r="I44" s="467"/>
      <c r="J44" s="467"/>
      <c r="K44" s="1694">
        <f>SUM(C44:J44)</f>
        <v>9369</v>
      </c>
      <c r="L44" s="481">
        <v>10000</v>
      </c>
    </row>
    <row r="45" spans="1:14" x14ac:dyDescent="0.2">
      <c r="A45" s="1526" t="s">
        <v>869</v>
      </c>
      <c r="B45" s="615">
        <v>2220</v>
      </c>
      <c r="C45" s="466">
        <v>295841</v>
      </c>
      <c r="D45" s="466">
        <v>22997</v>
      </c>
      <c r="E45" s="466">
        <v>42033</v>
      </c>
      <c r="F45" s="466">
        <v>227589</v>
      </c>
      <c r="G45" s="466">
        <v>12859</v>
      </c>
      <c r="H45" s="466"/>
      <c r="I45" s="467">
        <v>4795</v>
      </c>
      <c r="J45" s="467"/>
      <c r="K45" s="1694">
        <f>SUM(C45:J45)</f>
        <v>606114</v>
      </c>
      <c r="L45" s="466">
        <v>666083</v>
      </c>
    </row>
    <row r="46" spans="1:14" x14ac:dyDescent="0.2">
      <c r="A46" s="1526" t="s">
        <v>870</v>
      </c>
      <c r="B46" s="615">
        <v>2230</v>
      </c>
      <c r="C46" s="466"/>
      <c r="D46" s="466"/>
      <c r="E46" s="466"/>
      <c r="F46" s="466"/>
      <c r="G46" s="466"/>
      <c r="H46" s="466"/>
      <c r="I46" s="467"/>
      <c r="J46" s="467"/>
      <c r="K46" s="1694">
        <f>SUM(C46:J46)</f>
        <v>0</v>
      </c>
      <c r="L46" s="466">
        <v>2000</v>
      </c>
    </row>
    <row r="47" spans="1:14" ht="12.75" customHeight="1" thickBot="1" x14ac:dyDescent="0.25">
      <c r="A47" s="1690" t="s">
        <v>582</v>
      </c>
      <c r="B47" s="1691" t="s">
        <v>32</v>
      </c>
      <c r="C47" s="1692">
        <f>SUM(C44:C46)</f>
        <v>295841</v>
      </c>
      <c r="D47" s="1692">
        <f t="shared" ref="D47:K47" si="4">SUM(D44:D46)</f>
        <v>22997</v>
      </c>
      <c r="E47" s="1692">
        <f t="shared" si="4"/>
        <v>51402</v>
      </c>
      <c r="F47" s="1692">
        <f t="shared" si="4"/>
        <v>227589</v>
      </c>
      <c r="G47" s="1692">
        <f t="shared" si="4"/>
        <v>12859</v>
      </c>
      <c r="H47" s="1692">
        <f t="shared" si="4"/>
        <v>0</v>
      </c>
      <c r="I47" s="1692">
        <f t="shared" si="4"/>
        <v>4795</v>
      </c>
      <c r="J47" s="1692">
        <f t="shared" si="4"/>
        <v>0</v>
      </c>
      <c r="K47" s="1692">
        <f t="shared" si="4"/>
        <v>615483</v>
      </c>
      <c r="L47" s="1692">
        <f>SUM(L44:L46)</f>
        <v>678083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v>685693</v>
      </c>
      <c r="E49" s="481">
        <v>48795</v>
      </c>
      <c r="F49" s="481">
        <v>424</v>
      </c>
      <c r="G49" s="481"/>
      <c r="H49" s="481">
        <v>4651</v>
      </c>
      <c r="I49" s="467"/>
      <c r="J49" s="467"/>
      <c r="K49" s="1694">
        <f>SUM(C49:J49)</f>
        <v>739563</v>
      </c>
      <c r="L49" s="481">
        <v>745568</v>
      </c>
    </row>
    <row r="50" spans="1:14" x14ac:dyDescent="0.2">
      <c r="A50" s="1526" t="s">
        <v>872</v>
      </c>
      <c r="B50" s="615">
        <v>2320</v>
      </c>
      <c r="C50" s="466">
        <v>119423</v>
      </c>
      <c r="D50" s="466">
        <v>29019</v>
      </c>
      <c r="E50" s="466">
        <v>416</v>
      </c>
      <c r="F50" s="466"/>
      <c r="G50" s="466"/>
      <c r="H50" s="466">
        <v>309</v>
      </c>
      <c r="I50" s="467"/>
      <c r="J50" s="467"/>
      <c r="K50" s="1694">
        <f>SUM(C50:J50)</f>
        <v>149167</v>
      </c>
      <c r="L50" s="466">
        <v>150710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119423</v>
      </c>
      <c r="D53" s="1692">
        <f t="shared" ref="D53:L53" si="5">SUM(D49:D52)</f>
        <v>714712</v>
      </c>
      <c r="E53" s="1692">
        <f t="shared" si="5"/>
        <v>49211</v>
      </c>
      <c r="F53" s="1692">
        <f t="shared" si="5"/>
        <v>424</v>
      </c>
      <c r="G53" s="1692">
        <f t="shared" si="5"/>
        <v>0</v>
      </c>
      <c r="H53" s="1692">
        <f t="shared" si="5"/>
        <v>4960</v>
      </c>
      <c r="I53" s="1692">
        <f t="shared" si="5"/>
        <v>0</v>
      </c>
      <c r="J53" s="1692">
        <f t="shared" si="5"/>
        <v>0</v>
      </c>
      <c r="K53" s="1692">
        <f t="shared" si="5"/>
        <v>888730</v>
      </c>
      <c r="L53" s="1692">
        <f t="shared" si="5"/>
        <v>896278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516852</v>
      </c>
      <c r="D55" s="481">
        <v>67637</v>
      </c>
      <c r="E55" s="481">
        <v>13264</v>
      </c>
      <c r="F55" s="481">
        <v>15070</v>
      </c>
      <c r="G55" s="481"/>
      <c r="H55" s="481">
        <v>3888</v>
      </c>
      <c r="I55" s="467"/>
      <c r="J55" s="467"/>
      <c r="K55" s="1694">
        <f>SUM(C55:J55)</f>
        <v>616711</v>
      </c>
      <c r="L55" s="481">
        <v>628114</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516852</v>
      </c>
      <c r="D57" s="1696">
        <f t="shared" ref="D57:K57" si="6">SUM(D55:D56)</f>
        <v>67637</v>
      </c>
      <c r="E57" s="1696">
        <f t="shared" si="6"/>
        <v>13264</v>
      </c>
      <c r="F57" s="1696">
        <f t="shared" si="6"/>
        <v>15070</v>
      </c>
      <c r="G57" s="1696">
        <f t="shared" si="6"/>
        <v>0</v>
      </c>
      <c r="H57" s="1696">
        <f t="shared" si="6"/>
        <v>3888</v>
      </c>
      <c r="I57" s="1696">
        <f t="shared" si="6"/>
        <v>0</v>
      </c>
      <c r="J57" s="1696">
        <f t="shared" si="6"/>
        <v>0</v>
      </c>
      <c r="K57" s="1696">
        <f t="shared" si="6"/>
        <v>616711</v>
      </c>
      <c r="L57" s="1692">
        <f>SUM(L55:L56)</f>
        <v>628114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70753</v>
      </c>
      <c r="D60" s="466">
        <v>15185</v>
      </c>
      <c r="E60" s="466">
        <v>4121</v>
      </c>
      <c r="F60" s="466">
        <v>23311</v>
      </c>
      <c r="G60" s="466"/>
      <c r="H60" s="466"/>
      <c r="I60" s="467"/>
      <c r="J60" s="467"/>
      <c r="K60" s="1694">
        <f t="shared" si="7"/>
        <v>113370</v>
      </c>
      <c r="L60" s="466">
        <v>119445</v>
      </c>
      <c r="M60" s="610"/>
      <c r="N60" s="610"/>
    </row>
    <row r="61" spans="1:14" s="343" customFormat="1" x14ac:dyDescent="0.2">
      <c r="A61" s="1526" t="s">
        <v>206</v>
      </c>
      <c r="B61" s="615">
        <v>2540</v>
      </c>
      <c r="C61" s="466">
        <v>48159</v>
      </c>
      <c r="D61" s="466">
        <v>6745</v>
      </c>
      <c r="E61" s="466">
        <v>19096</v>
      </c>
      <c r="F61" s="466">
        <v>214852</v>
      </c>
      <c r="G61" s="466"/>
      <c r="H61" s="466"/>
      <c r="I61" s="467"/>
      <c r="J61" s="467"/>
      <c r="K61" s="1694">
        <f t="shared" si="7"/>
        <v>288852</v>
      </c>
      <c r="L61" s="466">
        <v>296980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193768</v>
      </c>
      <c r="D63" s="466">
        <v>58893</v>
      </c>
      <c r="E63" s="466">
        <v>2647</v>
      </c>
      <c r="F63" s="466">
        <v>206264</v>
      </c>
      <c r="G63" s="466"/>
      <c r="H63" s="466"/>
      <c r="I63" s="467"/>
      <c r="J63" s="467"/>
      <c r="K63" s="1694">
        <f t="shared" si="7"/>
        <v>461572</v>
      </c>
      <c r="L63" s="466">
        <v>535853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312680</v>
      </c>
      <c r="D65" s="1692">
        <f t="shared" ref="D65:L65" si="8">SUM(D59:D64)</f>
        <v>80823</v>
      </c>
      <c r="E65" s="1692">
        <f t="shared" si="8"/>
        <v>25864</v>
      </c>
      <c r="F65" s="1692">
        <f t="shared" si="8"/>
        <v>444427</v>
      </c>
      <c r="G65" s="1692">
        <f t="shared" si="8"/>
        <v>0</v>
      </c>
      <c r="H65" s="1692">
        <f t="shared" si="8"/>
        <v>0</v>
      </c>
      <c r="I65" s="1692">
        <f t="shared" si="8"/>
        <v>0</v>
      </c>
      <c r="J65" s="1692">
        <f t="shared" si="8"/>
        <v>0</v>
      </c>
      <c r="K65" s="1692">
        <f t="shared" si="8"/>
        <v>863794</v>
      </c>
      <c r="L65" s="1692">
        <f t="shared" si="8"/>
        <v>952278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1536547</v>
      </c>
      <c r="D74" s="1699">
        <f t="shared" ref="D74:K74" si="10">SUM(D42,D47,D53,D57,D65,D72,D73)</f>
        <v>912408</v>
      </c>
      <c r="E74" s="1699">
        <f t="shared" si="10"/>
        <v>141000</v>
      </c>
      <c r="F74" s="1699">
        <f t="shared" si="10"/>
        <v>699682</v>
      </c>
      <c r="G74" s="1699">
        <f t="shared" si="10"/>
        <v>12859</v>
      </c>
      <c r="H74" s="1699">
        <f t="shared" si="10"/>
        <v>56226</v>
      </c>
      <c r="I74" s="1699">
        <f t="shared" si="10"/>
        <v>4795</v>
      </c>
      <c r="J74" s="1699">
        <f t="shared" si="10"/>
        <v>0</v>
      </c>
      <c r="K74" s="1699">
        <f t="shared" si="10"/>
        <v>3363517</v>
      </c>
      <c r="L74" s="1699">
        <f>SUM(L42,L47,L53,L57,L65,L72,L73)</f>
        <v>3534943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345306</v>
      </c>
      <c r="I86" s="477"/>
      <c r="J86" s="477"/>
      <c r="K86" s="1699">
        <f t="shared" ref="K86:K98" si="12">H86</f>
        <v>345306</v>
      </c>
      <c r="L86" s="530">
        <v>361925</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345306</v>
      </c>
      <c r="I92" s="477"/>
      <c r="J92" s="477"/>
      <c r="K92" s="1699">
        <f t="shared" si="12"/>
        <v>345306</v>
      </c>
      <c r="L92" s="1692">
        <f>SUM(L85:L91)</f>
        <v>361925</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v>14804</v>
      </c>
      <c r="I101" s="477"/>
      <c r="J101" s="477"/>
      <c r="K101" s="1701">
        <f>SUM(C101:J101)</f>
        <v>14804</v>
      </c>
      <c r="L101" s="530">
        <v>14805</v>
      </c>
    </row>
    <row r="102" spans="1:14" ht="12.75" customHeight="1" thickTop="1" thickBot="1" x14ac:dyDescent="0.25">
      <c r="A102" s="1690" t="s">
        <v>1567</v>
      </c>
      <c r="B102" s="1700">
        <v>4000</v>
      </c>
      <c r="C102" s="617"/>
      <c r="D102" s="617"/>
      <c r="E102" s="1699">
        <f>SUM(E84,E92,E100,E101)</f>
        <v>0</v>
      </c>
      <c r="F102" s="617"/>
      <c r="G102" s="617"/>
      <c r="H102" s="1699">
        <f>SUM(H84,H92,H100,H101)</f>
        <v>360110</v>
      </c>
      <c r="I102" s="477"/>
      <c r="J102" s="477"/>
      <c r="K102" s="1699">
        <f>SUM(K84,K92,K100,K101)</f>
        <v>360110</v>
      </c>
      <c r="L102" s="1699">
        <f>SUM(L84,L92,L100,L101)</f>
        <v>376730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5955386</v>
      </c>
      <c r="D114" s="1692">
        <f t="shared" ref="D114:K114" si="13">SUM(D33,D74,D75,D102,D112,D113)</f>
        <v>1463730</v>
      </c>
      <c r="E114" s="1692">
        <f t="shared" si="13"/>
        <v>276789</v>
      </c>
      <c r="F114" s="1692">
        <f t="shared" si="13"/>
        <v>951009</v>
      </c>
      <c r="G114" s="1692">
        <f t="shared" si="13"/>
        <v>21637</v>
      </c>
      <c r="H114" s="1692">
        <f>SUM(H33,H74,H75,H102,H112,H113)</f>
        <v>432959</v>
      </c>
      <c r="I114" s="1692">
        <f t="shared" si="13"/>
        <v>7795</v>
      </c>
      <c r="J114" s="1692">
        <f t="shared" si="13"/>
        <v>0</v>
      </c>
      <c r="K114" s="1692">
        <f t="shared" si="13"/>
        <v>9109305</v>
      </c>
      <c r="L114" s="1692">
        <f>SUM(L33,L74,L75,L102,L112,L113)</f>
        <v>9442775</v>
      </c>
    </row>
    <row r="115" spans="1:14" ht="13.5" thickTop="1" x14ac:dyDescent="0.2">
      <c r="A115" s="2174" t="s">
        <v>1053</v>
      </c>
      <c r="B115" s="2175"/>
      <c r="C115" s="619"/>
      <c r="D115" s="619"/>
      <c r="E115" s="619"/>
      <c r="F115" s="619"/>
      <c r="G115" s="619"/>
      <c r="H115" s="619"/>
      <c r="I115" s="619"/>
      <c r="J115" s="619"/>
      <c r="K115" s="1706">
        <f>'Revenues 9-14'!C275-'Expenditures 15-22'!K114</f>
        <v>613406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v>1025969</v>
      </c>
      <c r="H123" s="466"/>
      <c r="I123" s="467">
        <v>19978</v>
      </c>
      <c r="J123" s="467"/>
      <c r="K123" s="1692">
        <f>SUM(C123:J123)</f>
        <v>1045947</v>
      </c>
      <c r="L123" s="466">
        <v>1057838</v>
      </c>
    </row>
    <row r="124" spans="1:14" ht="14.25" thickTop="1" thickBot="1" x14ac:dyDescent="0.25">
      <c r="A124" s="1526" t="s">
        <v>206</v>
      </c>
      <c r="B124" s="615">
        <v>2540</v>
      </c>
      <c r="C124" s="466">
        <v>276904</v>
      </c>
      <c r="D124" s="466">
        <v>47173</v>
      </c>
      <c r="E124" s="466">
        <v>82119</v>
      </c>
      <c r="F124" s="466">
        <v>66389</v>
      </c>
      <c r="G124" s="466">
        <v>7075</v>
      </c>
      <c r="H124" s="466"/>
      <c r="I124" s="467"/>
      <c r="J124" s="467"/>
      <c r="K124" s="1692">
        <f>SUM(C124:J124)</f>
        <v>479660</v>
      </c>
      <c r="L124" s="466">
        <v>518644</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v>24512</v>
      </c>
      <c r="H126" s="655"/>
      <c r="I126" s="474">
        <v>2279</v>
      </c>
      <c r="J126" s="617"/>
      <c r="K126" s="1692">
        <f>SUM(C126:J126)</f>
        <v>26791</v>
      </c>
      <c r="L126" s="466">
        <v>27279</v>
      </c>
    </row>
    <row r="127" spans="1:14" ht="12.75" customHeight="1" thickTop="1" thickBot="1" x14ac:dyDescent="0.25">
      <c r="A127" s="1690" t="s">
        <v>743</v>
      </c>
      <c r="B127" s="1691" t="s">
        <v>35</v>
      </c>
      <c r="C127" s="1692">
        <f>SUM(C122:C126)</f>
        <v>276904</v>
      </c>
      <c r="D127" s="1692">
        <f t="shared" ref="D127:L127" si="14">SUM(D122:D126)</f>
        <v>47173</v>
      </c>
      <c r="E127" s="1692">
        <f t="shared" si="14"/>
        <v>82119</v>
      </c>
      <c r="F127" s="1692">
        <f t="shared" si="14"/>
        <v>66389</v>
      </c>
      <c r="G127" s="1692">
        <f t="shared" si="14"/>
        <v>1057556</v>
      </c>
      <c r="H127" s="1692">
        <f t="shared" si="14"/>
        <v>0</v>
      </c>
      <c r="I127" s="1692">
        <f t="shared" si="14"/>
        <v>22257</v>
      </c>
      <c r="J127" s="1692">
        <f t="shared" si="14"/>
        <v>0</v>
      </c>
      <c r="K127" s="1692">
        <f t="shared" si="14"/>
        <v>1552398</v>
      </c>
      <c r="L127" s="1692">
        <f t="shared" si="14"/>
        <v>1603761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276904</v>
      </c>
      <c r="D129" s="1699">
        <f t="shared" ref="D129:L129" si="15">SUM(D120,D127,D128)</f>
        <v>47173</v>
      </c>
      <c r="E129" s="1699">
        <f t="shared" si="15"/>
        <v>82119</v>
      </c>
      <c r="F129" s="1699">
        <f t="shared" si="15"/>
        <v>66389</v>
      </c>
      <c r="G129" s="1699">
        <f t="shared" si="15"/>
        <v>1057556</v>
      </c>
      <c r="H129" s="1699">
        <f t="shared" si="15"/>
        <v>0</v>
      </c>
      <c r="I129" s="1699">
        <f t="shared" si="15"/>
        <v>22257</v>
      </c>
      <c r="J129" s="1699">
        <f t="shared" si="15"/>
        <v>0</v>
      </c>
      <c r="K129" s="1699">
        <f t="shared" si="15"/>
        <v>1552398</v>
      </c>
      <c r="L129" s="1699">
        <f t="shared" si="15"/>
        <v>1603761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276904</v>
      </c>
      <c r="D151" s="1692">
        <f t="shared" ref="D151:K151" si="16">SUM(D129,D130,D139,D149,D150)</f>
        <v>47173</v>
      </c>
      <c r="E151" s="1692">
        <f t="shared" si="16"/>
        <v>82119</v>
      </c>
      <c r="F151" s="1692">
        <f t="shared" si="16"/>
        <v>66389</v>
      </c>
      <c r="G151" s="1692">
        <f t="shared" si="16"/>
        <v>1057556</v>
      </c>
      <c r="H151" s="1692">
        <f t="shared" si="16"/>
        <v>0</v>
      </c>
      <c r="I151" s="1692">
        <f t="shared" si="16"/>
        <v>22257</v>
      </c>
      <c r="J151" s="1692">
        <f t="shared" si="16"/>
        <v>0</v>
      </c>
      <c r="K151" s="1692">
        <f t="shared" si="16"/>
        <v>1552398</v>
      </c>
      <c r="L151" s="1692">
        <f>SUM(L129,L130,L139,L149,L150)</f>
        <v>1603761</v>
      </c>
    </row>
    <row r="152" spans="1:14" ht="12.75" customHeight="1" thickTop="1" x14ac:dyDescent="0.2">
      <c r="A152" s="2194" t="s">
        <v>1240</v>
      </c>
      <c r="B152" s="2195"/>
      <c r="C152" s="619"/>
      <c r="D152" s="619"/>
      <c r="E152" s="619"/>
      <c r="F152" s="619"/>
      <c r="G152" s="619"/>
      <c r="H152" s="619"/>
      <c r="I152" s="619"/>
      <c r="J152" s="617"/>
      <c r="K152" s="1706">
        <f>'Revenues 9-14'!D275-'Expenditures 15-22'!K151</f>
        <v>-970716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248957</v>
      </c>
      <c r="I169" s="617"/>
      <c r="J169" s="617"/>
      <c r="K169" s="1693">
        <f>SUM(C169:H169)</f>
        <v>248957</v>
      </c>
      <c r="L169" s="657">
        <v>235673</v>
      </c>
    </row>
    <row r="170" spans="1:14" ht="33.75" customHeight="1" x14ac:dyDescent="0.2">
      <c r="A170" s="670" t="s">
        <v>1769</v>
      </c>
      <c r="B170" s="672" t="s">
        <v>31</v>
      </c>
      <c r="C170" s="617"/>
      <c r="D170" s="617"/>
      <c r="E170" s="617"/>
      <c r="F170" s="617"/>
      <c r="G170" s="617"/>
      <c r="H170" s="569">
        <v>1621993</v>
      </c>
      <c r="I170" s="617"/>
      <c r="J170" s="617"/>
      <c r="K170" s="1693">
        <f>SUM(C170:J170)</f>
        <v>1621993</v>
      </c>
      <c r="L170" s="569">
        <v>1742820</v>
      </c>
    </row>
    <row r="171" spans="1:14" ht="15.75" customHeight="1" x14ac:dyDescent="0.2">
      <c r="A171" s="622" t="s">
        <v>790</v>
      </c>
      <c r="B171" s="673" t="s">
        <v>86</v>
      </c>
      <c r="C171" s="617"/>
      <c r="D171" s="617"/>
      <c r="E171" s="466"/>
      <c r="F171" s="617"/>
      <c r="G171" s="617"/>
      <c r="H171" s="569">
        <v>191777</v>
      </c>
      <c r="I171" s="477"/>
      <c r="J171" s="617"/>
      <c r="K171" s="1693">
        <f>SUM(C171:J171)</f>
        <v>191777</v>
      </c>
      <c r="L171" s="569">
        <v>70950</v>
      </c>
    </row>
    <row r="172" spans="1:14" ht="12.75" customHeight="1" thickBot="1" x14ac:dyDescent="0.25">
      <c r="A172" s="1690" t="s">
        <v>659</v>
      </c>
      <c r="B172" s="1691" t="s">
        <v>513</v>
      </c>
      <c r="C172" s="617"/>
      <c r="D172" s="617"/>
      <c r="E172" s="1699">
        <f>SUM(E168,E169,E170,E171)</f>
        <v>0</v>
      </c>
      <c r="F172" s="617"/>
      <c r="G172" s="617"/>
      <c r="H172" s="1699">
        <f>SUM(H168,H169,H170,H171)</f>
        <v>2062727</v>
      </c>
      <c r="I172" s="639"/>
      <c r="J172" s="617"/>
      <c r="K172" s="1699">
        <f>SUM(K168,K169,K170,K171)</f>
        <v>2062727</v>
      </c>
      <c r="L172" s="1699">
        <f>SUM(L168,L169,L170,L171)</f>
        <v>2049443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2062727</v>
      </c>
      <c r="I174" s="639"/>
      <c r="J174" s="617"/>
      <c r="K174" s="1699">
        <f>SUM(K160,K172,K173)</f>
        <v>2062727</v>
      </c>
      <c r="L174" s="1699">
        <f>SUM(L160,L172,L173)</f>
        <v>2049443</v>
      </c>
    </row>
    <row r="175" spans="1:14" ht="13.5" thickTop="1" x14ac:dyDescent="0.2">
      <c r="A175" s="2174" t="s">
        <v>1053</v>
      </c>
      <c r="B175" s="2175"/>
      <c r="C175" s="617"/>
      <c r="D175" s="617"/>
      <c r="E175" s="617"/>
      <c r="F175" s="617"/>
      <c r="G175" s="617"/>
      <c r="H175" s="619"/>
      <c r="I175" s="617"/>
      <c r="J175" s="617"/>
      <c r="K175" s="1706">
        <f>'Revenues 9-14'!E275-'Expenditures 15-22'!K174</f>
        <v>-1506972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440611</v>
      </c>
      <c r="D182" s="466">
        <v>32725</v>
      </c>
      <c r="E182" s="466">
        <v>92065</v>
      </c>
      <c r="F182" s="466">
        <v>121223</v>
      </c>
      <c r="G182" s="466"/>
      <c r="H182" s="466"/>
      <c r="I182" s="467"/>
      <c r="J182" s="467"/>
      <c r="K182" s="1693">
        <f>SUM(C182:J182)</f>
        <v>686624</v>
      </c>
      <c r="L182" s="466">
        <v>724006</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440611</v>
      </c>
      <c r="D184" s="1699">
        <f t="shared" ref="D184:J184" si="17">SUM(D180,D182,D183)</f>
        <v>32725</v>
      </c>
      <c r="E184" s="1699">
        <f t="shared" si="17"/>
        <v>92065</v>
      </c>
      <c r="F184" s="1699">
        <f t="shared" si="17"/>
        <v>121223</v>
      </c>
      <c r="G184" s="1699">
        <f t="shared" si="17"/>
        <v>0</v>
      </c>
      <c r="H184" s="1699">
        <f t="shared" si="17"/>
        <v>0</v>
      </c>
      <c r="I184" s="1699">
        <f t="shared" si="17"/>
        <v>0</v>
      </c>
      <c r="J184" s="1699">
        <f t="shared" si="17"/>
        <v>0</v>
      </c>
      <c r="K184" s="1699">
        <f>SUM(K180,K182,K183)</f>
        <v>686624</v>
      </c>
      <c r="L184" s="1699">
        <f>SUM(L180, L182:L183)</f>
        <v>724006</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440611</v>
      </c>
      <c r="D210" s="1692">
        <f>SUM(D184,D185)</f>
        <v>32725</v>
      </c>
      <c r="E210" s="1692">
        <f>SUM(E184,E185,E196)</f>
        <v>92065</v>
      </c>
      <c r="F210" s="1692">
        <f>SUM(F184,F185)</f>
        <v>121223</v>
      </c>
      <c r="G210" s="1692">
        <f>SUM(G184,G185)</f>
        <v>0</v>
      </c>
      <c r="H210" s="1692">
        <f>SUM(H184,H185,H196,H208,H209)</f>
        <v>0</v>
      </c>
      <c r="I210" s="1692">
        <f>SUM(I184,I185)</f>
        <v>0</v>
      </c>
      <c r="J210" s="1692">
        <f>SUM(J184,J185)</f>
        <v>0</v>
      </c>
      <c r="K210" s="1693">
        <f>SUM(K184,K185,K196,K208,K209)</f>
        <v>686624</v>
      </c>
      <c r="L210" s="1692">
        <f>SUM(L184,L185,L196,L208,L209)</f>
        <v>724006</v>
      </c>
    </row>
    <row r="211" spans="1:14" ht="13.5" thickTop="1" x14ac:dyDescent="0.2">
      <c r="A211" s="2174" t="s">
        <v>1053</v>
      </c>
      <c r="B211" s="2175"/>
      <c r="C211" s="619"/>
      <c r="D211" s="619"/>
      <c r="E211" s="619"/>
      <c r="F211" s="619"/>
      <c r="G211" s="619"/>
      <c r="H211" s="619"/>
      <c r="I211" s="617"/>
      <c r="J211" s="617"/>
      <c r="K211" s="1706">
        <f>'Revenues 9-14'!F275-'Expenditures 15-22'!K210</f>
        <v>66537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23990</v>
      </c>
      <c r="E245" s="617"/>
      <c r="F245" s="617"/>
      <c r="G245" s="617"/>
      <c r="H245" s="617"/>
      <c r="I245" s="617"/>
      <c r="J245" s="617"/>
      <c r="K245" s="1694">
        <f>D245</f>
        <v>23990</v>
      </c>
      <c r="L245" s="481">
        <f>283000-262000</f>
        <v>21000</v>
      </c>
    </row>
    <row r="246" spans="1:12" x14ac:dyDescent="0.2">
      <c r="A246" s="1526" t="s">
        <v>872</v>
      </c>
      <c r="B246" s="615">
        <v>2320</v>
      </c>
      <c r="C246" s="617"/>
      <c r="D246" s="466">
        <v>261918</v>
      </c>
      <c r="E246" s="617"/>
      <c r="F246" s="617"/>
      <c r="G246" s="617"/>
      <c r="H246" s="617"/>
      <c r="I246" s="617"/>
      <c r="J246" s="617"/>
      <c r="K246" s="1694">
        <f t="shared" ref="K246:K256" si="21">D246</f>
        <v>261918</v>
      </c>
      <c r="L246" s="466">
        <v>262000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1907</v>
      </c>
      <c r="B249" s="684" t="s">
        <v>300</v>
      </c>
      <c r="C249" s="617"/>
      <c r="D249" s="474"/>
      <c r="E249" s="617"/>
      <c r="F249" s="617"/>
      <c r="G249" s="617"/>
      <c r="H249" s="617"/>
      <c r="I249" s="617"/>
      <c r="J249" s="617"/>
      <c r="K249" s="1694">
        <f t="shared" si="21"/>
        <v>0</v>
      </c>
      <c r="L249" s="466"/>
    </row>
    <row r="250" spans="1:12" x14ac:dyDescent="0.2">
      <c r="A250" s="1527" t="s">
        <v>1908</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285908</v>
      </c>
      <c r="E257" s="617"/>
      <c r="F257" s="617"/>
      <c r="G257" s="617"/>
      <c r="H257" s="617"/>
      <c r="I257" s="617"/>
      <c r="J257" s="617"/>
      <c r="K257" s="1692">
        <f>SUM(K245:K256)</f>
        <v>285908</v>
      </c>
      <c r="L257" s="1692">
        <f>SUM(L245:L256)</f>
        <v>283000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v>62966</v>
      </c>
      <c r="E267" s="617"/>
      <c r="F267" s="617"/>
      <c r="G267" s="617"/>
      <c r="H267" s="617"/>
      <c r="I267" s="617"/>
      <c r="J267" s="617"/>
      <c r="K267" s="1694">
        <f t="shared" si="22"/>
        <v>62966</v>
      </c>
      <c r="L267" s="466">
        <v>56000</v>
      </c>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62966</v>
      </c>
      <c r="E270" s="617"/>
      <c r="F270" s="617"/>
      <c r="G270" s="617"/>
      <c r="H270" s="617"/>
      <c r="I270" s="617"/>
      <c r="J270" s="617"/>
      <c r="K270" s="1692">
        <f>SUM(K263:K269)</f>
        <v>62966</v>
      </c>
      <c r="L270" s="1692">
        <f>SUM(L263:L269)</f>
        <v>56000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348874</v>
      </c>
      <c r="E279" s="617"/>
      <c r="F279" s="617"/>
      <c r="G279" s="617"/>
      <c r="H279" s="617"/>
      <c r="I279" s="617"/>
      <c r="J279" s="617"/>
      <c r="K279" s="1699">
        <f>SUM(K238,K243,K257,K261,K270,K277,K278)</f>
        <v>348874</v>
      </c>
      <c r="L279" s="1699">
        <f>SUM(L238,L243,L257,L261,L270,L277,L278)</f>
        <v>339000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348874</v>
      </c>
      <c r="E295" s="617"/>
      <c r="F295" s="617"/>
      <c r="G295" s="617"/>
      <c r="H295" s="1692">
        <f>H293</f>
        <v>0</v>
      </c>
      <c r="I295" s="617"/>
      <c r="J295" s="617"/>
      <c r="K295" s="1692">
        <f>SUM(K229,K279,K280,K285,K293,K294)</f>
        <v>348874</v>
      </c>
      <c r="L295" s="1692">
        <f>SUM(L229,L279,L280,L285,L293,L294)</f>
        <v>339000</v>
      </c>
    </row>
    <row r="296" spans="1:14" ht="13.5" thickTop="1" x14ac:dyDescent="0.2">
      <c r="A296" s="2174" t="s">
        <v>1053</v>
      </c>
      <c r="B296" s="2175"/>
      <c r="C296" s="617"/>
      <c r="D296" s="619"/>
      <c r="E296" s="617"/>
      <c r="F296" s="617"/>
      <c r="G296" s="617"/>
      <c r="H296" s="688"/>
      <c r="I296" s="617"/>
      <c r="J296" s="617"/>
      <c r="K296" s="1706">
        <f>'Revenues 9-14'!G275-'Expenditures 15-22'!K295</f>
        <v>14374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300</v>
      </c>
      <c r="C320" s="467"/>
      <c r="D320" s="467"/>
      <c r="E320" s="467">
        <v>75051</v>
      </c>
      <c r="F320" s="467"/>
      <c r="G320" s="467"/>
      <c r="H320" s="467"/>
      <c r="I320" s="467"/>
      <c r="J320" s="467"/>
      <c r="K320" s="1693">
        <f t="shared" ref="K320:K327" si="24">SUM(C320:J320)</f>
        <v>75051</v>
      </c>
      <c r="L320" s="467">
        <v>70000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f>188065-75051</f>
        <v>113014</v>
      </c>
      <c r="F322" s="467"/>
      <c r="G322" s="467"/>
      <c r="H322" s="467"/>
      <c r="I322" s="467"/>
      <c r="J322" s="467"/>
      <c r="K322" s="1693">
        <f t="shared" si="24"/>
        <v>113014</v>
      </c>
      <c r="L322" s="467">
        <f>92000+24250+5000</f>
        <v>121250</v>
      </c>
      <c r="M322" s="666"/>
      <c r="N322" s="666"/>
    </row>
    <row r="323" spans="1:14" s="675" customFormat="1" x14ac:dyDescent="0.2">
      <c r="A323" s="1541" t="s">
        <v>726</v>
      </c>
      <c r="B323" s="698" t="s">
        <v>303</v>
      </c>
      <c r="C323" s="467"/>
      <c r="D323" s="467"/>
      <c r="E323" s="467">
        <v>10349</v>
      </c>
      <c r="F323" s="467"/>
      <c r="G323" s="467"/>
      <c r="H323" s="467"/>
      <c r="I323" s="467"/>
      <c r="J323" s="467"/>
      <c r="K323" s="1693">
        <f t="shared" si="24"/>
        <v>10349</v>
      </c>
      <c r="L323" s="467">
        <v>10000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198414</v>
      </c>
      <c r="F330" s="1692">
        <f t="shared" si="25"/>
        <v>0</v>
      </c>
      <c r="G330" s="1692">
        <f t="shared" si="25"/>
        <v>0</v>
      </c>
      <c r="H330" s="1692">
        <f t="shared" si="25"/>
        <v>0</v>
      </c>
      <c r="I330" s="1692">
        <f t="shared" si="25"/>
        <v>0</v>
      </c>
      <c r="J330" s="1692">
        <f t="shared" si="25"/>
        <v>0</v>
      </c>
      <c r="K330" s="1692">
        <f>SUM(K319:K329)</f>
        <v>198414</v>
      </c>
      <c r="L330" s="1692">
        <f>SUM(L319:L329)</f>
        <v>201250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198414</v>
      </c>
      <c r="F342" s="1692">
        <f>SUM(F330)</f>
        <v>0</v>
      </c>
      <c r="G342" s="1692">
        <f>SUM(G330)</f>
        <v>0</v>
      </c>
      <c r="H342" s="1692">
        <f>SUM(H330,H334,H340)</f>
        <v>0</v>
      </c>
      <c r="I342" s="1692">
        <f>SUM(I330)</f>
        <v>0</v>
      </c>
      <c r="J342" s="1692">
        <f>SUM(J330)</f>
        <v>0</v>
      </c>
      <c r="K342" s="1692">
        <f>SUM(K330,K334,K340)</f>
        <v>198414</v>
      </c>
      <c r="L342" s="1699">
        <f>SUM(L330,L340,L341)</f>
        <v>201250</v>
      </c>
    </row>
    <row r="343" spans="1:14" ht="12.75" customHeight="1" thickTop="1" x14ac:dyDescent="0.2">
      <c r="A343" s="2187" t="s">
        <v>1053</v>
      </c>
      <c r="B343" s="2188"/>
      <c r="C343" s="617"/>
      <c r="D343" s="617"/>
      <c r="E343" s="617"/>
      <c r="F343" s="617"/>
      <c r="G343" s="617"/>
      <c r="H343" s="617"/>
      <c r="I343" s="617"/>
      <c r="J343" s="617"/>
      <c r="K343" s="1706">
        <f>'Revenues 9-14'!J275-'Expenditures 15-22'!K342</f>
        <v>2425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66205</v>
      </c>
      <c r="F348" s="466"/>
      <c r="G348" s="466">
        <v>16741</v>
      </c>
      <c r="H348" s="466"/>
      <c r="I348" s="467">
        <v>23920</v>
      </c>
      <c r="J348" s="467"/>
      <c r="K348" s="1693">
        <f>SUM(C348:J348)</f>
        <v>106866</v>
      </c>
      <c r="L348" s="466">
        <v>114750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66205</v>
      </c>
      <c r="F350" s="1692">
        <f t="shared" si="26"/>
        <v>0</v>
      </c>
      <c r="G350" s="1692">
        <f t="shared" si="26"/>
        <v>16741</v>
      </c>
      <c r="H350" s="1692">
        <f t="shared" si="26"/>
        <v>0</v>
      </c>
      <c r="I350" s="1692">
        <f t="shared" si="26"/>
        <v>23920</v>
      </c>
      <c r="J350" s="1692">
        <f t="shared" si="26"/>
        <v>0</v>
      </c>
      <c r="K350" s="1692">
        <f t="shared" si="26"/>
        <v>106866</v>
      </c>
      <c r="L350" s="1692">
        <f t="shared" si="26"/>
        <v>114750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66205</v>
      </c>
      <c r="F352" s="1692">
        <f t="shared" si="27"/>
        <v>0</v>
      </c>
      <c r="G352" s="1692">
        <f t="shared" si="27"/>
        <v>16741</v>
      </c>
      <c r="H352" s="1692">
        <f t="shared" si="27"/>
        <v>0</v>
      </c>
      <c r="I352" s="1692">
        <f t="shared" si="27"/>
        <v>23920</v>
      </c>
      <c r="J352" s="1692">
        <f t="shared" si="27"/>
        <v>0</v>
      </c>
      <c r="K352" s="1692">
        <f t="shared" si="27"/>
        <v>106866</v>
      </c>
      <c r="L352" s="1692">
        <f t="shared" si="27"/>
        <v>114750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66205</v>
      </c>
      <c r="F367" s="1692">
        <f t="shared" si="28"/>
        <v>0</v>
      </c>
      <c r="G367" s="1692">
        <f t="shared" si="28"/>
        <v>16741</v>
      </c>
      <c r="H367" s="1692">
        <f t="shared" si="28"/>
        <v>0</v>
      </c>
      <c r="I367" s="1692">
        <f t="shared" si="28"/>
        <v>23920</v>
      </c>
      <c r="J367" s="1692">
        <f t="shared" si="28"/>
        <v>0</v>
      </c>
      <c r="K367" s="1692">
        <f t="shared" si="28"/>
        <v>106866</v>
      </c>
      <c r="L367" s="1692">
        <f t="shared" si="28"/>
        <v>114750</v>
      </c>
    </row>
    <row r="368" spans="1:14" ht="13.5" thickTop="1" x14ac:dyDescent="0.2">
      <c r="A368" s="2174" t="s">
        <v>1053</v>
      </c>
      <c r="B368" s="2175"/>
      <c r="C368" s="655"/>
      <c r="D368" s="655"/>
      <c r="E368" s="627"/>
      <c r="F368" s="627"/>
      <c r="G368" s="627"/>
      <c r="H368" s="627"/>
      <c r="I368" s="627"/>
      <c r="J368" s="624"/>
      <c r="K368" s="1693">
        <f>'Revenues 9-14'!K275-'Expenditures 15-22'!K367</f>
        <v>-48733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schemas.microsoft.com/office/2006/documentManagement/types"/>
    <ds:schemaRef ds:uri="http://schemas.microsoft.com/office/2006/metadata/properties"/>
    <ds:schemaRef ds:uri="http://purl.org/dc/dcmitype/"/>
    <ds:schemaRef ds:uri="d21dc803-237d-4c68-8692-8d731fd29118"/>
    <ds:schemaRef ds:uri="http://purl.org/dc/elements/1.1/"/>
    <ds:schemaRef ds:uri="4d435f69-8686-490b-bd6d-b153bf22ab50"/>
    <ds:schemaRef ds:uri="http://www.w3.org/XML/1998/namespace"/>
    <ds:schemaRef ds:uri="http://schemas.microsoft.com/office/infopath/2007/PartnerControls"/>
    <ds:schemaRef ds:uri="http://schemas.openxmlformats.org/package/2006/metadata/core-properties"/>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(2)</vt:lpstr>
      <vt:lpstr> SEFA</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2018-10-23T22:05:04Z</cp:lastPrinted>
  <dcterms:created xsi:type="dcterms:W3CDTF">2003-10-29T19:06:34Z</dcterms:created>
  <dcterms:modified xsi:type="dcterms:W3CDTF">2018-10-29T20:38:01Z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