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X:\AFR2018DTA\AFR18_AFRs for Website\School Districts 18\"/>
    </mc:Choice>
  </mc:AlternateContent>
  <bookViews>
    <workbookView xWindow="-15" yWindow="13650" windowWidth="28830" windowHeight="6450" tabRatio="959" activeTab="2"/>
  </bookViews>
  <sheets>
    <sheet name="COVER" sheetId="24" r:id="rId1"/>
    <sheet name="TOC" sheetId="168" r:id="rId2"/>
    <sheet name="FP Info 3" sheetId="37" r:id="rId3"/>
    <sheet name="Aud Quest 2" sheetId="28"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8" sheetId="106" state="hidden" r:id="rId24"/>
    <sheet name="Single Audit Cover" sheetId="169" r:id="rId25"/>
    <sheet name="Single Audit Checklist" sheetId="170" r:id="rId26"/>
    <sheet name="SEFA Reconcile" sheetId="171" r:id="rId27"/>
    <sheet name="SEFA NOTES" sheetId="173" r:id="rId28"/>
    <sheet name=" SEFA (3)" sheetId="184" r:id="rId29"/>
    <sheet name=" SEFA (2)" sheetId="185" r:id="rId30"/>
    <sheet name=" SEFA" sheetId="179" r:id="rId31"/>
    <sheet name="SF&amp;QC Sec-1" sheetId="174" r:id="rId32"/>
    <sheet name="SF&amp;QC Sec-2" sheetId="175" r:id="rId33"/>
    <sheet name="SF&amp;QC Sec-3" sheetId="176" r:id="rId34"/>
    <sheet name="SSPAF" sheetId="177" r:id="rId35"/>
  </sheets>
  <definedNames>
    <definedName name="_xlnm.Print_Area" localSheetId="30">' SEFA'!$B$1:$M$46</definedName>
    <definedName name="_xlnm.Print_Area" localSheetId="29">' SEFA (2)'!$B$1:$M$46</definedName>
    <definedName name="_xlnm.Print_Area" localSheetId="28">' SEFA (3)'!$B$1:$M$46</definedName>
    <definedName name="_xlnm.Print_Area" localSheetId="27">'SEFA NOTES'!$A$1:$F$52</definedName>
    <definedName name="_xlnm.Print_Area" localSheetId="26">'SEFA Reconcile'!$A$1:$E$49</definedName>
    <definedName name="_xlnm.Print_Area" localSheetId="31">'SF&amp;QC Sec-1'!$A$1:$J$63</definedName>
    <definedName name="_xlnm.Print_Area" localSheetId="33">'SF&amp;QC Sec-3'!$A$1:$K$52</definedName>
    <definedName name="_xlnm.Print_Area" localSheetId="25">'Single Audit Checklist'!$A$1:$D$124</definedName>
    <definedName name="_xlnm.Print_Area" localSheetId="24">'Single Audit Cover'!$A$1:$L$52</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30">#REF!</definedName>
    <definedName name="SCHADDRS" localSheetId="29">#REF!</definedName>
    <definedName name="SCHADDRS" localSheetId="28">#REF!</definedName>
    <definedName name="SCHADDRS" localSheetId="17">#REF!</definedName>
    <definedName name="SCHADDRS" localSheetId="21">#REF!</definedName>
    <definedName name="SCHADDRS" localSheetId="4">#REF!</definedName>
    <definedName name="SCHADDRS" localSheetId="27">#REF!</definedName>
    <definedName name="SCHADDRS" localSheetId="26">#REF!</definedName>
    <definedName name="SCHADDRS" localSheetId="31">#REF!</definedName>
    <definedName name="SCHADDRS" localSheetId="32">#REF!</definedName>
    <definedName name="SCHADDRS" localSheetId="33">#REF!</definedName>
    <definedName name="SCHADDRS" localSheetId="25">#REF!</definedName>
    <definedName name="SCHADDRS" localSheetId="24">#REF!</definedName>
    <definedName name="SCHADDRS" localSheetId="34">#REF!</definedName>
    <definedName name="SCHADDRS">#REF!</definedName>
    <definedName name="SCHCTY" localSheetId="30">#REF!</definedName>
    <definedName name="SCHCTY" localSheetId="29">#REF!</definedName>
    <definedName name="SCHCTY" localSheetId="28">#REF!</definedName>
    <definedName name="SCHCTY" localSheetId="17">#REF!</definedName>
    <definedName name="SCHCTY" localSheetId="21">#REF!</definedName>
    <definedName name="SCHCTY" localSheetId="4">#REF!</definedName>
    <definedName name="SCHCTY" localSheetId="27">#REF!</definedName>
    <definedName name="SCHCTY" localSheetId="26">#REF!</definedName>
    <definedName name="SCHCTY" localSheetId="31">#REF!</definedName>
    <definedName name="SCHCTY" localSheetId="32">#REF!</definedName>
    <definedName name="SCHCTY" localSheetId="33">#REF!</definedName>
    <definedName name="SCHCTY" localSheetId="25">#REF!</definedName>
    <definedName name="SCHCTY" localSheetId="24">#REF!</definedName>
    <definedName name="SCHCTY" localSheetId="34">#REF!</definedName>
    <definedName name="SCHCTY">#REF!</definedName>
    <definedName name="SCHNMBR" localSheetId="30">#REF!</definedName>
    <definedName name="SCHNMBR" localSheetId="29">#REF!</definedName>
    <definedName name="SCHNMBR" localSheetId="28">#REF!</definedName>
    <definedName name="SCHNMBR" localSheetId="17">#REF!</definedName>
    <definedName name="SCHNMBR" localSheetId="21">#REF!</definedName>
    <definedName name="SCHNMBR" localSheetId="4">#REF!</definedName>
    <definedName name="SCHNMBR" localSheetId="27">#REF!</definedName>
    <definedName name="SCHNMBR" localSheetId="26">#REF!</definedName>
    <definedName name="SCHNMBR" localSheetId="31">#REF!</definedName>
    <definedName name="SCHNMBR" localSheetId="32">#REF!</definedName>
    <definedName name="SCHNMBR" localSheetId="33">#REF!</definedName>
    <definedName name="SCHNMBR" localSheetId="25">#REF!</definedName>
    <definedName name="SCHNMBR" localSheetId="24">#REF!</definedName>
    <definedName name="SCHNMBR" localSheetId="34">#REF!</definedName>
    <definedName name="SCHNMBR">#REF!</definedName>
    <definedName name="SCHNME" localSheetId="30">#REF!</definedName>
    <definedName name="SCHNME" localSheetId="29">#REF!</definedName>
    <definedName name="SCHNME" localSheetId="28">#REF!</definedName>
    <definedName name="SCHNME" localSheetId="17">#REF!</definedName>
    <definedName name="SCHNME" localSheetId="21">#REF!</definedName>
    <definedName name="SCHNME" localSheetId="4">#REF!</definedName>
    <definedName name="SCHNME" localSheetId="27">#REF!</definedName>
    <definedName name="SCHNME" localSheetId="26">#REF!</definedName>
    <definedName name="SCHNME" localSheetId="31">#REF!</definedName>
    <definedName name="SCHNME" localSheetId="32">#REF!</definedName>
    <definedName name="SCHNME" localSheetId="33">#REF!</definedName>
    <definedName name="SCHNME" localSheetId="25">#REF!</definedName>
    <definedName name="SCHNME" localSheetId="24">#REF!</definedName>
    <definedName name="SCHNME" localSheetId="34">#REF!</definedName>
    <definedName name="SCHNME">#REF!</definedName>
    <definedName name="SUPT" localSheetId="30">#REF!</definedName>
    <definedName name="SUPT" localSheetId="29">#REF!</definedName>
    <definedName name="SUPT" localSheetId="28">#REF!</definedName>
    <definedName name="SUPT" localSheetId="17">#REF!</definedName>
    <definedName name="SUPT" localSheetId="21">#REF!</definedName>
    <definedName name="SUPT" localSheetId="4">#REF!</definedName>
    <definedName name="SUPT" localSheetId="27">#REF!</definedName>
    <definedName name="SUPT" localSheetId="26">#REF!</definedName>
    <definedName name="SUPT" localSheetId="31">#REF!</definedName>
    <definedName name="SUPT" localSheetId="32">#REF!</definedName>
    <definedName name="SUPT" localSheetId="33">#REF!</definedName>
    <definedName name="SUPT" localSheetId="25">#REF!</definedName>
    <definedName name="SUPT" localSheetId="24">#REF!</definedName>
    <definedName name="SUPT" localSheetId="34">#REF!</definedName>
    <definedName name="SUPT">#REF!</definedName>
  </definedNames>
  <calcPr calcId="162913"/>
</workbook>
</file>

<file path=xl/calcChain.xml><?xml version="1.0" encoding="utf-8"?>
<calcChain xmlns="http://schemas.openxmlformats.org/spreadsheetml/2006/main">
  <c r="L27" i="185" l="1"/>
  <c r="L26" i="185"/>
  <c r="L25" i="185"/>
  <c r="L24" i="185"/>
  <c r="L23" i="185"/>
  <c r="L22" i="185"/>
  <c r="L21" i="185"/>
  <c r="L20" i="185"/>
  <c r="L19" i="185"/>
  <c r="L18" i="185"/>
  <c r="L17" i="185"/>
  <c r="L16" i="185"/>
  <c r="L15" i="185"/>
  <c r="L14" i="185"/>
  <c r="L13" i="185"/>
  <c r="L12" i="185"/>
  <c r="L11" i="185"/>
  <c r="B4" i="185"/>
  <c r="L27" i="184"/>
  <c r="L26" i="184"/>
  <c r="L25" i="184"/>
  <c r="L24" i="184"/>
  <c r="L23" i="184"/>
  <c r="L22" i="184"/>
  <c r="L21" i="184"/>
  <c r="L20" i="184"/>
  <c r="L19" i="184"/>
  <c r="L18" i="184"/>
  <c r="L17" i="184"/>
  <c r="L16" i="184"/>
  <c r="L15" i="184"/>
  <c r="L14" i="184"/>
  <c r="L13" i="184"/>
  <c r="L12" i="184"/>
  <c r="L11" i="184"/>
  <c r="B4" i="184"/>
  <c r="D182" i="3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J34" i="182" l="1"/>
  <c r="I34" i="182"/>
  <c r="H34" i="182"/>
  <c r="K34" i="182" s="1"/>
  <c r="D81" i="36" s="1"/>
  <c r="K356" i="29" l="1"/>
  <c r="K355" i="29"/>
  <c r="B7794" i="106" s="1"/>
  <c r="K354" i="29"/>
  <c r="H357" i="29"/>
  <c r="L334" i="29"/>
  <c r="K333" i="29"/>
  <c r="B7788" i="106" s="1"/>
  <c r="K332" i="29"/>
  <c r="B7786" i="106" s="1"/>
  <c r="H334" i="29"/>
  <c r="B7789" i="106" s="1"/>
  <c r="K282" i="29"/>
  <c r="B7784" i="106" s="1"/>
  <c r="H160" i="29"/>
  <c r="K159" i="29"/>
  <c r="K158" i="29"/>
  <c r="B7780" i="106" s="1"/>
  <c r="K157" i="29"/>
  <c r="B7795" i="106"/>
  <c r="K133" i="29"/>
  <c r="B7776" i="106" s="1"/>
  <c r="B7793" i="106"/>
  <c r="B7791" i="106"/>
  <c r="B7787" i="106"/>
  <c r="B7785" i="106"/>
  <c r="B7783" i="106"/>
  <c r="B7782" i="106"/>
  <c r="B7781" i="106"/>
  <c r="B7779" i="106"/>
  <c r="B7778" i="106"/>
  <c r="B7777" i="106"/>
  <c r="B7775" i="106"/>
  <c r="B7774" i="106"/>
  <c r="K334" i="29" l="1"/>
  <c r="F74" i="34" s="1"/>
  <c r="K357" i="29"/>
  <c r="B7792" i="106"/>
  <c r="K15" i="4" l="1"/>
  <c r="B7790" i="106"/>
  <c r="J15" i="4"/>
  <c r="B7796" i="106" s="1"/>
  <c r="L357" i="29"/>
  <c r="L285" i="29" l="1"/>
  <c r="D285" i="29"/>
  <c r="L160" i="29"/>
  <c r="K160" i="29"/>
  <c r="F60" i="34" s="1"/>
  <c r="L137" i="29"/>
  <c r="H137" i="29"/>
  <c r="E137" i="29"/>
  <c r="E139" i="29" s="1"/>
  <c r="E15" i="4" l="1"/>
  <c r="F139" i="181"/>
  <c r="G139" i="181" s="1"/>
  <c r="E139" i="181"/>
  <c r="F138" i="181"/>
  <c r="G138" i="181" s="1"/>
  <c r="E138" i="181"/>
  <c r="F137" i="181"/>
  <c r="G137" i="181" s="1"/>
  <c r="E137" i="181"/>
  <c r="F136" i="181"/>
  <c r="G136" i="181" s="1"/>
  <c r="E136" i="181"/>
  <c r="F135" i="181"/>
  <c r="G135" i="181" s="1"/>
  <c r="E135" i="181"/>
  <c r="F134" i="181"/>
  <c r="G134" i="181" s="1"/>
  <c r="E134" i="181"/>
  <c r="F133" i="181"/>
  <c r="G133" i="181" s="1"/>
  <c r="E133" i="181"/>
  <c r="E132" i="181"/>
  <c r="F132" i="181" s="1"/>
  <c r="G132" i="181" s="1"/>
  <c r="F131" i="181"/>
  <c r="G131" i="181" s="1"/>
  <c r="E131" i="181"/>
  <c r="F130" i="181"/>
  <c r="G130" i="181" s="1"/>
  <c r="E130" i="181"/>
  <c r="F129" i="181"/>
  <c r="G129" i="181" s="1"/>
  <c r="E129" i="181"/>
  <c r="F128" i="181"/>
  <c r="G128" i="181" s="1"/>
  <c r="E128" i="181"/>
  <c r="E127" i="181"/>
  <c r="F127" i="181" s="1"/>
  <c r="G127" i="181" s="1"/>
  <c r="F126" i="181"/>
  <c r="G126" i="181" s="1"/>
  <c r="E126" i="181"/>
  <c r="F125" i="181"/>
  <c r="G125" i="181" s="1"/>
  <c r="E125" i="181"/>
  <c r="F124" i="181"/>
  <c r="G124" i="181" s="1"/>
  <c r="E124" i="181"/>
  <c r="E123" i="181"/>
  <c r="F123" i="181" s="1"/>
  <c r="G123" i="181" s="1"/>
  <c r="F122" i="181"/>
  <c r="G122" i="181" s="1"/>
  <c r="E122" i="181"/>
  <c r="F121" i="181"/>
  <c r="G121" i="181" s="1"/>
  <c r="E121" i="181"/>
  <c r="F120" i="181"/>
  <c r="G120" i="181" s="1"/>
  <c r="E120" i="181"/>
  <c r="F119" i="181"/>
  <c r="G119" i="181" s="1"/>
  <c r="E119" i="181"/>
  <c r="F118" i="181"/>
  <c r="G118" i="181" s="1"/>
  <c r="E118" i="181"/>
  <c r="F117" i="181"/>
  <c r="G117" i="181" s="1"/>
  <c r="E117" i="181"/>
  <c r="F116" i="181"/>
  <c r="G116" i="181" s="1"/>
  <c r="E116" i="181"/>
  <c r="F115" i="181"/>
  <c r="G115" i="181" s="1"/>
  <c r="E115" i="181"/>
  <c r="E114" i="181"/>
  <c r="F114" i="181" s="1"/>
  <c r="G114" i="181" s="1"/>
  <c r="F113" i="181"/>
  <c r="G113" i="181" s="1"/>
  <c r="E113" i="181"/>
  <c r="F112" i="181"/>
  <c r="G112" i="181" s="1"/>
  <c r="E112" i="181"/>
  <c r="F111" i="181"/>
  <c r="G111" i="181" s="1"/>
  <c r="E111" i="181"/>
  <c r="E110" i="181"/>
  <c r="F110" i="181" s="1"/>
  <c r="G110" i="181" s="1"/>
  <c r="F109" i="181"/>
  <c r="G109" i="181" s="1"/>
  <c r="E109" i="181"/>
  <c r="F108" i="181"/>
  <c r="G108" i="181" s="1"/>
  <c r="E108" i="181"/>
  <c r="F107" i="181"/>
  <c r="G107" i="181" s="1"/>
  <c r="E107" i="181"/>
  <c r="F106" i="181"/>
  <c r="G106" i="181" s="1"/>
  <c r="E106" i="181"/>
  <c r="F105" i="181"/>
  <c r="G105" i="181" s="1"/>
  <c r="E105" i="181"/>
  <c r="F104" i="181"/>
  <c r="G104" i="181" s="1"/>
  <c r="E104" i="181"/>
  <c r="F99" i="181"/>
  <c r="G99" i="181" s="1"/>
  <c r="E99" i="181"/>
  <c r="F103" i="181"/>
  <c r="G103" i="181" s="1"/>
  <c r="E103" i="181"/>
  <c r="E102" i="181"/>
  <c r="F102" i="181" s="1"/>
  <c r="G102" i="181" s="1"/>
  <c r="F101" i="181"/>
  <c r="G101" i="181" s="1"/>
  <c r="E101" i="181"/>
  <c r="E100" i="181"/>
  <c r="F100" i="181" s="1"/>
  <c r="G100" i="181" s="1"/>
  <c r="F98" i="181"/>
  <c r="G98" i="181" s="1"/>
  <c r="E98" i="181"/>
  <c r="E97" i="181"/>
  <c r="F97" i="181" s="1"/>
  <c r="G97" i="181" s="1"/>
  <c r="F96" i="181"/>
  <c r="G96" i="181" s="1"/>
  <c r="E96" i="181"/>
  <c r="E95" i="181"/>
  <c r="F95" i="181" s="1"/>
  <c r="G95" i="181" s="1"/>
  <c r="F93" i="181"/>
  <c r="G93" i="181" s="1"/>
  <c r="E93" i="181"/>
  <c r="F92" i="181"/>
  <c r="G92" i="181" s="1"/>
  <c r="E92" i="181"/>
  <c r="E91" i="181"/>
  <c r="F91" i="181" s="1"/>
  <c r="G91" i="181" s="1"/>
  <c r="F90" i="181"/>
  <c r="G90" i="181" s="1"/>
  <c r="E90" i="181"/>
  <c r="F89" i="181"/>
  <c r="G89" i="181" s="1"/>
  <c r="E89" i="181"/>
  <c r="E88" i="181"/>
  <c r="F88" i="181" s="1"/>
  <c r="G88" i="181" s="1"/>
  <c r="F87" i="181"/>
  <c r="G87" i="181" s="1"/>
  <c r="E87" i="181"/>
  <c r="E86" i="181"/>
  <c r="F86" i="181" s="1"/>
  <c r="G86" i="181" s="1"/>
  <c r="F84" i="181"/>
  <c r="G84" i="181" s="1"/>
  <c r="E84" i="181"/>
  <c r="F83" i="181"/>
  <c r="G83" i="181" s="1"/>
  <c r="E83" i="181"/>
  <c r="F82" i="181"/>
  <c r="G82" i="181" s="1"/>
  <c r="E82" i="181"/>
  <c r="F81" i="181"/>
  <c r="G81" i="181" s="1"/>
  <c r="E81" i="181"/>
  <c r="F80" i="181"/>
  <c r="G80" i="181" s="1"/>
  <c r="E80" i="181"/>
  <c r="F79" i="181"/>
  <c r="G79" i="181" s="1"/>
  <c r="E79" i="181"/>
  <c r="F78" i="181"/>
  <c r="G78" i="181" s="1"/>
  <c r="E78" i="181"/>
  <c r="F77" i="181"/>
  <c r="G77" i="181" s="1"/>
  <c r="E77" i="181"/>
  <c r="F76" i="181"/>
  <c r="G76" i="181" s="1"/>
  <c r="E76" i="181"/>
  <c r="E75" i="181"/>
  <c r="F75" i="181" s="1"/>
  <c r="G75" i="181" s="1"/>
  <c r="F74" i="181"/>
  <c r="G74" i="181" s="1"/>
  <c r="E74" i="181"/>
  <c r="F73" i="181"/>
  <c r="G73" i="181" s="1"/>
  <c r="E73" i="181"/>
  <c r="F140" i="181"/>
  <c r="G140" i="181" s="1"/>
  <c r="E140" i="181"/>
  <c r="F94" i="181"/>
  <c r="G94" i="181" s="1"/>
  <c r="E94" i="181"/>
  <c r="F85" i="181"/>
  <c r="G85" i="181" s="1"/>
  <c r="E85" i="181"/>
  <c r="E72" i="181"/>
  <c r="F72" i="181" s="1"/>
  <c r="G72" i="181" s="1"/>
  <c r="F71" i="181"/>
  <c r="G71" i="181" s="1"/>
  <c r="E71" i="181"/>
  <c r="F70" i="181"/>
  <c r="G70" i="181" s="1"/>
  <c r="E70" i="181"/>
  <c r="F69" i="181"/>
  <c r="G69" i="181" s="1"/>
  <c r="E69" i="181"/>
  <c r="F68" i="181"/>
  <c r="G68" i="181" s="1"/>
  <c r="E68" i="181"/>
  <c r="F67" i="181"/>
  <c r="G67" i="181" s="1"/>
  <c r="E67" i="181"/>
  <c r="F66" i="181"/>
  <c r="G66" i="181" s="1"/>
  <c r="E66" i="181"/>
  <c r="E65" i="181"/>
  <c r="F65" i="181" s="1"/>
  <c r="G65" i="181" s="1"/>
  <c r="E64" i="181"/>
  <c r="F64" i="181" s="1"/>
  <c r="G64" i="181" s="1"/>
  <c r="F63" i="181"/>
  <c r="G63" i="181" s="1"/>
  <c r="E63" i="181"/>
  <c r="F62" i="181"/>
  <c r="G62" i="181" s="1"/>
  <c r="E62" i="181"/>
  <c r="F61" i="181"/>
  <c r="G61" i="181" s="1"/>
  <c r="E61" i="181"/>
  <c r="E60" i="181"/>
  <c r="F60" i="181" s="1"/>
  <c r="G60" i="181" s="1"/>
  <c r="F59" i="181"/>
  <c r="G59" i="181" s="1"/>
  <c r="E59" i="181"/>
  <c r="E58" i="181"/>
  <c r="F58" i="181" s="1"/>
  <c r="G58" i="181" s="1"/>
  <c r="F57" i="181"/>
  <c r="G57" i="181" s="1"/>
  <c r="E57" i="181"/>
  <c r="E56" i="181"/>
  <c r="F56" i="181" s="1"/>
  <c r="G56" i="181" s="1"/>
  <c r="F55" i="181"/>
  <c r="G55" i="181" s="1"/>
  <c r="E55" i="181"/>
  <c r="E54" i="181"/>
  <c r="F54" i="181" s="1"/>
  <c r="G54" i="181" s="1"/>
  <c r="F53" i="181"/>
  <c r="G53" i="181" s="1"/>
  <c r="E53" i="181"/>
  <c r="F52" i="181"/>
  <c r="G52" i="181" s="1"/>
  <c r="E52" i="181"/>
  <c r="F51" i="181"/>
  <c r="G51" i="181" s="1"/>
  <c r="E51" i="181"/>
  <c r="F50" i="181"/>
  <c r="G50" i="181" s="1"/>
  <c r="E50" i="181"/>
  <c r="F49" i="181"/>
  <c r="G49" i="181" s="1"/>
  <c r="E49" i="181"/>
  <c r="E48" i="181"/>
  <c r="F48" i="181" s="1"/>
  <c r="G48" i="181" s="1"/>
  <c r="F47" i="181"/>
  <c r="G47" i="181" s="1"/>
  <c r="E47" i="181"/>
  <c r="F46" i="181"/>
  <c r="G46" i="181" s="1"/>
  <c r="E46" i="181"/>
  <c r="F45" i="181"/>
  <c r="G45" i="181" s="1"/>
  <c r="E45" i="181"/>
  <c r="F44" i="181"/>
  <c r="G44" i="181" s="1"/>
  <c r="E44" i="181"/>
  <c r="E43" i="181"/>
  <c r="F43" i="181" s="1"/>
  <c r="G43" i="181" s="1"/>
  <c r="E42" i="181"/>
  <c r="F42" i="181" s="1"/>
  <c r="G42" i="181" s="1"/>
  <c r="F41" i="181"/>
  <c r="G41" i="181" s="1"/>
  <c r="E41" i="181"/>
  <c r="F40" i="181"/>
  <c r="G40" i="181" s="1"/>
  <c r="E40" i="181"/>
  <c r="F39" i="181"/>
  <c r="G39" i="181" s="1"/>
  <c r="E39" i="181"/>
  <c r="F38" i="181"/>
  <c r="G38" i="181" s="1"/>
  <c r="E38" i="181"/>
  <c r="F37" i="181"/>
  <c r="G37" i="181" s="1"/>
  <c r="E37" i="181"/>
  <c r="F36" i="181"/>
  <c r="G36" i="181" s="1"/>
  <c r="E36" i="181"/>
  <c r="F35" i="181"/>
  <c r="G35" i="181" s="1"/>
  <c r="E35" i="181"/>
  <c r="F34" i="181"/>
  <c r="G34" i="181" s="1"/>
  <c r="E34" i="181"/>
  <c r="E33" i="181"/>
  <c r="F33" i="181" s="1"/>
  <c r="G33" i="181" s="1"/>
  <c r="F32" i="181"/>
  <c r="G32" i="181" s="1"/>
  <c r="E32" i="181"/>
  <c r="F31" i="181"/>
  <c r="G31" i="181" s="1"/>
  <c r="E31" i="181"/>
  <c r="F30" i="181"/>
  <c r="G30" i="181" s="1"/>
  <c r="E30" i="181"/>
  <c r="E29" i="181"/>
  <c r="F29" i="181" s="1"/>
  <c r="G29" i="181" s="1"/>
  <c r="F28" i="181"/>
  <c r="G28" i="181" s="1"/>
  <c r="E28" i="181"/>
  <c r="E27" i="181"/>
  <c r="F27" i="181" s="1"/>
  <c r="G27" i="181" s="1"/>
  <c r="F26" i="181"/>
  <c r="G26" i="181" s="1"/>
  <c r="E26" i="181"/>
  <c r="E25" i="181"/>
  <c r="F25" i="181" s="1"/>
  <c r="G25" i="181" s="1"/>
  <c r="F24" i="181"/>
  <c r="G24" i="181" s="1"/>
  <c r="E24" i="181"/>
  <c r="F23" i="181"/>
  <c r="G23" i="181" s="1"/>
  <c r="E23" i="181"/>
  <c r="F22" i="181"/>
  <c r="G22" i="181" s="1"/>
  <c r="E22" i="181"/>
  <c r="F21" i="181"/>
  <c r="G21" i="181" s="1"/>
  <c r="E21" i="181"/>
  <c r="F20" i="181"/>
  <c r="G20" i="181" s="1"/>
  <c r="E20" i="181"/>
  <c r="E19" i="181"/>
  <c r="F19" i="181" s="1"/>
  <c r="G19" i="181" s="1"/>
  <c r="F18" i="181"/>
  <c r="G18" i="181" s="1"/>
  <c r="E18" i="181"/>
  <c r="D141" i="181" l="1"/>
  <c r="D80" i="36" l="1"/>
  <c r="B7797" i="106"/>
  <c r="E141" i="181"/>
  <c r="E17" i="181"/>
  <c r="E16" i="181"/>
  <c r="F16" i="181" s="1"/>
  <c r="G16" i="181" s="1"/>
  <c r="F17" i="181" l="1"/>
  <c r="G17" i="181" s="1"/>
  <c r="G141" i="181" s="1"/>
  <c r="G40" i="108" l="1"/>
  <c r="B7799" i="106"/>
  <c r="F141" i="181"/>
  <c r="B7798" i="106" s="1"/>
  <c r="E40" i="108"/>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A2" i="170" s="1"/>
  <c r="A7" i="169"/>
  <c r="B4" i="177"/>
  <c r="B4" i="176"/>
  <c r="B4" i="175"/>
  <c r="G43" i="174"/>
  <c r="D47" i="174" s="1"/>
  <c r="B4" i="174"/>
  <c r="E34" i="173"/>
  <c r="A4" i="173"/>
  <c r="A2"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5" i="170"/>
  <c r="C18" i="170" s="1"/>
  <c r="C21" i="170" s="1"/>
  <c r="C24" i="170" s="1"/>
  <c r="C28" i="170" s="1"/>
  <c r="C13" i="170"/>
  <c r="B1" i="185" l="1"/>
  <c r="B1" i="184"/>
  <c r="B2" i="177"/>
  <c r="B2" i="179"/>
  <c r="B2" i="185"/>
  <c r="B2" i="184"/>
  <c r="B2" i="174"/>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3" i="34" l="1"/>
  <c r="B7769" i="106"/>
  <c r="B7768" i="106"/>
  <c r="B7766" i="106"/>
  <c r="B7765" i="106"/>
  <c r="B7764" i="106"/>
  <c r="J85" i="28"/>
  <c r="B7758" i="106" s="1"/>
  <c r="D7758" i="106" s="1"/>
  <c r="J88" i="28"/>
  <c r="K6" i="29"/>
  <c r="B7763" i="106" s="1"/>
  <c r="B7762" i="106"/>
  <c r="K12" i="12"/>
  <c r="K23" i="12"/>
  <c r="K24" i="12" s="1"/>
  <c r="B7733" i="106" s="1"/>
  <c r="J12" i="12"/>
  <c r="J21" i="12"/>
  <c r="B7727" i="106" s="1"/>
  <c r="D7727" i="106" s="1"/>
  <c r="B7729" i="106"/>
  <c r="B7734" i="106"/>
  <c r="B7726" i="106"/>
  <c r="D76" i="36"/>
  <c r="F162" i="34"/>
  <c r="B30" i="36"/>
  <c r="B33" i="36" s="1"/>
  <c r="B43" i="36" s="1"/>
  <c r="B56" i="36" s="1"/>
  <c r="B66" i="36" s="1"/>
  <c r="B70" i="36" s="1"/>
  <c r="B74" i="36" s="1"/>
  <c r="D73" i="36"/>
  <c r="C191" i="5"/>
  <c r="C201" i="5"/>
  <c r="B5246" i="106" s="1"/>
  <c r="D5246" i="106" s="1"/>
  <c r="C211" i="5"/>
  <c r="C216" i="5"/>
  <c r="C224" i="5"/>
  <c r="B5286" i="106" s="1"/>
  <c r="D5286" i="106" s="1"/>
  <c r="C228" i="5"/>
  <c r="C259" i="5"/>
  <c r="B7761" i="106"/>
  <c r="D7761" i="106" s="1"/>
  <c r="L127" i="29"/>
  <c r="L129" i="29" s="1"/>
  <c r="L139" i="29"/>
  <c r="L149" i="29"/>
  <c r="I7" i="145"/>
  <c r="I6" i="145"/>
  <c r="D78" i="36"/>
  <c r="K75" i="29"/>
  <c r="F52" i="34" s="1"/>
  <c r="K130" i="29"/>
  <c r="K185" i="29"/>
  <c r="K122" i="29"/>
  <c r="F15" i="145" s="1"/>
  <c r="F19" i="145" s="1"/>
  <c r="K67" i="29"/>
  <c r="K64" i="29"/>
  <c r="D31" i="108" s="1"/>
  <c r="K59" i="29"/>
  <c r="E15" i="145"/>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H92" i="29"/>
  <c r="K92" i="29" s="1"/>
  <c r="B2089" i="106" s="1"/>
  <c r="D2089" i="106" s="1"/>
  <c r="H100" i="29"/>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B1126" i="106"/>
  <c r="D1126" i="106" s="1"/>
  <c r="K60" i="29"/>
  <c r="D27" i="108" s="1"/>
  <c r="K61" i="29"/>
  <c r="B1128" i="106" s="1"/>
  <c r="D1128" i="106" s="1"/>
  <c r="K62" i="29"/>
  <c r="B1129" i="106" s="1"/>
  <c r="D1129" i="106" s="1"/>
  <c r="K63" i="29"/>
  <c r="B1130" i="106" s="1"/>
  <c r="D1130" i="106" s="1"/>
  <c r="D1132" i="106"/>
  <c r="K68" i="29"/>
  <c r="K69" i="29"/>
  <c r="B1136" i="106" s="1"/>
  <c r="D1136" i="106" s="1"/>
  <c r="K70" i="29"/>
  <c r="B1137" i="106" s="1"/>
  <c r="D1137" i="106" s="1"/>
  <c r="D1138" i="106"/>
  <c r="K71" i="29"/>
  <c r="B1139" i="106" s="1"/>
  <c r="D1139" i="106" s="1"/>
  <c r="D1140" i="106"/>
  <c r="K73" i="29"/>
  <c r="B1142" i="106" s="1"/>
  <c r="D1142" i="106" s="1"/>
  <c r="K78" i="29"/>
  <c r="K79" i="29"/>
  <c r="K80" i="29"/>
  <c r="K81" i="29"/>
  <c r="K82" i="29"/>
  <c r="K83" i="29"/>
  <c r="K93" i="29"/>
  <c r="K94" i="29"/>
  <c r="K95" i="29"/>
  <c r="K96" i="29"/>
  <c r="K97" i="29"/>
  <c r="K98" i="29"/>
  <c r="K99" i="29"/>
  <c r="K101" i="29"/>
  <c r="K105" i="29"/>
  <c r="K106" i="29"/>
  <c r="B1147" i="106" s="1"/>
  <c r="D1147" i="106" s="1"/>
  <c r="D1148" i="106"/>
  <c r="K109" i="29"/>
  <c r="B1149" i="106" s="1"/>
  <c r="D1149" i="106" s="1"/>
  <c r="D1150" i="106"/>
  <c r="K107" i="29"/>
  <c r="K108" i="29"/>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c r="D1223" i="106" s="1"/>
  <c r="B1224" i="106"/>
  <c r="D1224" i="106" s="1"/>
  <c r="C129" i="29"/>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B1274" i="106"/>
  <c r="D1274" i="106" s="1"/>
  <c r="K123" i="29"/>
  <c r="K124" i="29"/>
  <c r="B1276" i="106" s="1"/>
  <c r="D1276" i="106" s="1"/>
  <c r="K126" i="29"/>
  <c r="B1277" i="106" s="1"/>
  <c r="D1277" i="106" s="1"/>
  <c r="D1278" i="106"/>
  <c r="K125" i="29"/>
  <c r="K128" i="29"/>
  <c r="B1280" i="106" s="1"/>
  <c r="D1280" i="106" s="1"/>
  <c r="K120" i="29"/>
  <c r="K134" i="29"/>
  <c r="K135" i="29"/>
  <c r="B2987" i="106" s="1"/>
  <c r="D2987" i="106" s="1"/>
  <c r="K136" i="29"/>
  <c r="B2988" i="106" s="1"/>
  <c r="D2988" i="106" s="1"/>
  <c r="K138" i="29"/>
  <c r="K142" i="29"/>
  <c r="K143" i="29"/>
  <c r="B1284" i="106" s="1"/>
  <c r="D1284" i="106" s="1"/>
  <c r="K146" i="29"/>
  <c r="B1285" i="106" s="1"/>
  <c r="D1285" i="106" s="1"/>
  <c r="D1286" i="106"/>
  <c r="K144" i="29"/>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08" i="106" s="1"/>
  <c r="D1308" i="106" s="1"/>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K166" i="29"/>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4" i="29"/>
  <c r="F13" i="4" s="1"/>
  <c r="B2596" i="106" s="1"/>
  <c r="D2596" i="106" s="1"/>
  <c r="K188" i="29"/>
  <c r="B3007" i="106" s="1"/>
  <c r="D3007" i="106" s="1"/>
  <c r="K189" i="29"/>
  <c r="K190" i="29"/>
  <c r="K191" i="29"/>
  <c r="B3010" i="106" s="1"/>
  <c r="D3010" i="106" s="1"/>
  <c r="K192" i="29"/>
  <c r="K193" i="29"/>
  <c r="K195" i="29"/>
  <c r="B2839" i="106" s="1"/>
  <c r="K199" i="29"/>
  <c r="B1383" i="106" s="1"/>
  <c r="D1383" i="106" s="1"/>
  <c r="K200" i="29"/>
  <c r="B1384" i="106" s="1"/>
  <c r="D1384" i="106" s="1"/>
  <c r="K203" i="29"/>
  <c r="B1385" i="106" s="1"/>
  <c r="D1385" i="106" s="1"/>
  <c r="D1386" i="106"/>
  <c r="K201" i="29"/>
  <c r="B2841" i="106" s="1"/>
  <c r="D2841" i="106" s="1"/>
  <c r="K202" i="29"/>
  <c r="K205" i="29"/>
  <c r="K206" i="29"/>
  <c r="K207" i="29"/>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K217" i="29"/>
  <c r="B3391" i="106" s="1"/>
  <c r="D3391" i="106" s="1"/>
  <c r="K218" i="29"/>
  <c r="F68" i="34" s="1"/>
  <c r="K219" i="29"/>
  <c r="B3065" i="106" s="1"/>
  <c r="D3065" i="106" s="1"/>
  <c r="K220" i="29"/>
  <c r="K226" i="29"/>
  <c r="K228" i="29"/>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c r="D1486" i="106" s="1"/>
  <c r="K246" i="29"/>
  <c r="B1487" i="106" s="1"/>
  <c r="D1487" i="106" s="1"/>
  <c r="K247" i="29"/>
  <c r="K248" i="29"/>
  <c r="K249" i="29"/>
  <c r="K250" i="29"/>
  <c r="K251" i="29"/>
  <c r="K252" i="29"/>
  <c r="K253" i="29"/>
  <c r="B7092" i="106" s="1"/>
  <c r="D7092" i="106" s="1"/>
  <c r="K254" i="29"/>
  <c r="K255" i="29"/>
  <c r="K256" i="29"/>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K291" i="29"/>
  <c r="B2846" i="106" s="1"/>
  <c r="D2846" i="106" s="1"/>
  <c r="D1516" i="106"/>
  <c r="K283" i="29"/>
  <c r="K285" i="29" s="1"/>
  <c r="F73" i="34" s="1"/>
  <c r="K284" i="29"/>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c r="D1558" i="106" s="1"/>
  <c r="K306" i="29"/>
  <c r="K307" i="29"/>
  <c r="K308" i="29"/>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c r="B1836" i="106"/>
  <c r="D1836" i="106"/>
  <c r="C21" i="8"/>
  <c r="B1837" i="106"/>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c r="B1849" i="106"/>
  <c r="D1849" i="106"/>
  <c r="B1850" i="106"/>
  <c r="D1850" i="106"/>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c r="B1863" i="106"/>
  <c r="D1863" i="106"/>
  <c r="B1864" i="106"/>
  <c r="D1864" i="106" s="1"/>
  <c r="E21" i="8"/>
  <c r="B1865" i="106"/>
  <c r="D1865" i="106" s="1"/>
  <c r="B1866" i="106"/>
  <c r="D1866" i="106" s="1"/>
  <c r="F6" i="8"/>
  <c r="F7" i="8"/>
  <c r="B1868" i="106"/>
  <c r="D1868" i="106" s="1"/>
  <c r="F12" i="8"/>
  <c r="B1869" i="106" s="1"/>
  <c r="D1869" i="106" s="1"/>
  <c r="F11" i="8"/>
  <c r="B1870" i="106"/>
  <c r="D1870" i="106" s="1"/>
  <c r="F8" i="8"/>
  <c r="B1871" i="106"/>
  <c r="D1871" i="106" s="1"/>
  <c r="F9" i="8"/>
  <c r="B1872" i="106" s="1"/>
  <c r="D1872" i="106" s="1"/>
  <c r="F10" i="8"/>
  <c r="B1873" i="106" s="1"/>
  <c r="D1873" i="106" s="1"/>
  <c r="F14" i="8"/>
  <c r="B1874" i="106" s="1"/>
  <c r="D1874" i="106" s="1"/>
  <c r="F13" i="8"/>
  <c r="B3688" i="106" s="1"/>
  <c r="D3688" i="106" s="1"/>
  <c r="F17" i="8"/>
  <c r="B1876" i="106"/>
  <c r="D1876" i="106" s="1"/>
  <c r="F18" i="8"/>
  <c r="B1877" i="106"/>
  <c r="D1877" i="106" s="1"/>
  <c r="F20" i="8"/>
  <c r="B1878" i="106"/>
  <c r="D1878" i="106" s="1"/>
  <c r="F19" i="8"/>
  <c r="F21" i="8" s="1"/>
  <c r="B1879" i="106" s="1"/>
  <c r="D187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c r="D1982" i="106" s="1"/>
  <c r="B1984" i="106"/>
  <c r="D1984" i="106" s="1"/>
  <c r="B1985" i="106"/>
  <c r="D1985" i="106" s="1"/>
  <c r="B1986" i="106"/>
  <c r="D1986" i="106" s="1"/>
  <c r="B1987" i="106"/>
  <c r="D1987" i="106" s="1"/>
  <c r="B1988" i="106"/>
  <c r="D1988" i="106" s="1"/>
  <c r="D1989" i="106"/>
  <c r="I12" i="12"/>
  <c r="B1990" i="106"/>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B2081" i="106"/>
  <c r="D2081" i="106" s="1"/>
  <c r="D2082" i="106"/>
  <c r="D2083" i="106"/>
  <c r="D2084" i="106"/>
  <c r="D2085" i="106"/>
  <c r="D2086" i="106"/>
  <c r="D2087" i="106"/>
  <c r="D2090" i="106"/>
  <c r="B2091" i="106"/>
  <c r="D2091" i="106" s="1"/>
  <c r="B2092" i="106"/>
  <c r="D2092" i="106" s="1"/>
  <c r="B2094" i="106"/>
  <c r="D2094"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6" i="106"/>
  <c r="D2726" i="106" s="1"/>
  <c r="B2727" i="106"/>
  <c r="D2727" i="106" s="1"/>
  <c r="B2728" i="106"/>
  <c r="D2728" i="106" s="1"/>
  <c r="B2729" i="106"/>
  <c r="D2729" i="106" s="1"/>
  <c r="B2730" i="106"/>
  <c r="D2730" i="106" s="1"/>
  <c r="B2731" i="106"/>
  <c r="D2731" i="106" s="1"/>
  <c r="B2732" i="106"/>
  <c r="D2732" i="106" s="1"/>
  <c r="F4" i="8"/>
  <c r="B2733" i="106" s="1"/>
  <c r="D2733" i="106" s="1"/>
  <c r="F25" i="8"/>
  <c r="B2734" i="106"/>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5" i="106"/>
  <c r="D2795" i="106" s="1"/>
  <c r="B2796" i="106"/>
  <c r="D2796"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0" i="106"/>
  <c r="D2810" i="106" s="1"/>
  <c r="B2812" i="106"/>
  <c r="D2812" i="106" s="1"/>
  <c r="B2813" i="106"/>
  <c r="D2813" i="106" s="1"/>
  <c r="D2814" i="106"/>
  <c r="D2815" i="106"/>
  <c r="D2816" i="106"/>
  <c r="B2817" i="106"/>
  <c r="D2817" i="106" s="1"/>
  <c r="D2818" i="106"/>
  <c r="B2819" i="106"/>
  <c r="D2819"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B2836" i="106"/>
  <c r="D2836" i="106" s="1"/>
  <c r="D2838" i="106"/>
  <c r="D2839" i="106"/>
  <c r="B2840" i="106"/>
  <c r="D2840" i="106" s="1"/>
  <c r="B2843" i="106"/>
  <c r="D2843" i="106" s="1"/>
  <c r="B2844" i="106"/>
  <c r="D2844" i="106" s="1"/>
  <c r="D2845" i="106"/>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3" i="106"/>
  <c r="D2973" i="106" s="1"/>
  <c r="B2974" i="106"/>
  <c r="D2974" i="106" s="1"/>
  <c r="B2975" i="106"/>
  <c r="D2975" i="106" s="1"/>
  <c r="B2976" i="106"/>
  <c r="D2976" i="106" s="1"/>
  <c r="B2977" i="106"/>
  <c r="D2977" i="106" s="1"/>
  <c r="B2978" i="106"/>
  <c r="D2978"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08" i="106"/>
  <c r="D3008" i="106" s="1"/>
  <c r="B3009" i="106"/>
  <c r="D3009" i="106" s="1"/>
  <c r="B3011" i="106"/>
  <c r="D3011" i="106" s="1"/>
  <c r="B3012" i="106"/>
  <c r="D3012"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4" i="106"/>
  <c r="D3254" i="106" s="1"/>
  <c r="F77" i="4"/>
  <c r="B3255" i="106" s="1"/>
  <c r="D3255" i="106" s="1"/>
  <c r="B3257" i="106"/>
  <c r="D3257" i="106" s="1"/>
  <c r="G44" i="4"/>
  <c r="B3258" i="106"/>
  <c r="D3258" i="106" s="1"/>
  <c r="B3259" i="106"/>
  <c r="D3259" i="106" s="1"/>
  <c r="G76" i="4"/>
  <c r="B3260" i="106" s="1"/>
  <c r="D3260" i="106" s="1"/>
  <c r="D3263" i="106"/>
  <c r="D3264" i="106"/>
  <c r="D3265" i="106"/>
  <c r="D3266" i="106"/>
  <c r="D3267" i="106"/>
  <c r="D3268" i="106"/>
  <c r="D3269" i="106"/>
  <c r="D3270" i="106"/>
  <c r="D3271" i="106"/>
  <c r="D3272" i="106"/>
  <c r="B3273" i="106"/>
  <c r="D3273" i="106" s="1"/>
  <c r="E37" i="4"/>
  <c r="E38" i="4"/>
  <c r="E39" i="4"/>
  <c r="E40" i="4"/>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H76" i="4"/>
  <c r="B3298" i="106" s="1"/>
  <c r="D3298"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B3392" i="106"/>
  <c r="D3392"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K41" i="3"/>
  <c r="B3568" i="106" s="1"/>
  <c r="D3568" i="106" s="1"/>
  <c r="B3577" i="106"/>
  <c r="D3577" i="106" s="1"/>
  <c r="B3578" i="106"/>
  <c r="D3578" i="106" s="1"/>
  <c r="B3579" i="106"/>
  <c r="D3579" i="106" s="1"/>
  <c r="B3580" i="106"/>
  <c r="D3580" i="106" s="1"/>
  <c r="B3581" i="106"/>
  <c r="D3581" i="106" s="1"/>
  <c r="B3582" i="106"/>
  <c r="D3582" i="106" s="1"/>
  <c r="B3583" i="106"/>
  <c r="D3583" i="106" s="1"/>
  <c r="K44" i="4"/>
  <c r="B3584" i="106" s="1"/>
  <c r="D3584" i="106" s="1"/>
  <c r="B3585" i="106"/>
  <c r="D3585" i="106" s="1"/>
  <c r="K52" i="4"/>
  <c r="B3702" i="106" s="1"/>
  <c r="D3702" i="106" s="1"/>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C352" i="29" s="1"/>
  <c r="B3619" i="106"/>
  <c r="D3619" i="106" s="1"/>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B3647" i="106"/>
  <c r="D3647" i="106" s="1"/>
  <c r="B3648" i="106"/>
  <c r="D3648" i="106" s="1"/>
  <c r="G352" i="29"/>
  <c r="D3651" i="106"/>
  <c r="B3652" i="106"/>
  <c r="D3652" i="106" s="1"/>
  <c r="B3653" i="106"/>
  <c r="D3653" i="106" s="1"/>
  <c r="H350" i="29"/>
  <c r="B3654" i="106" s="1"/>
  <c r="D3654" i="106" s="1"/>
  <c r="B3655" i="106"/>
  <c r="D3655" i="106" s="1"/>
  <c r="B3657" i="106"/>
  <c r="D3657" i="106" s="1"/>
  <c r="H362" i="29"/>
  <c r="B3658" i="106" s="1"/>
  <c r="D3658" i="106" s="1"/>
  <c r="D3659" i="106"/>
  <c r="H365" i="29"/>
  <c r="D3661" i="106"/>
  <c r="D3662" i="106"/>
  <c r="D3663" i="106"/>
  <c r="D3664" i="106"/>
  <c r="D3665" i="106"/>
  <c r="D3666" i="106"/>
  <c r="D3667" i="106"/>
  <c r="K348" i="29"/>
  <c r="B3668" i="106" s="1"/>
  <c r="D3668" i="106" s="1"/>
  <c r="K349" i="29"/>
  <c r="B3669" i="106" s="1"/>
  <c r="D3669" i="106" s="1"/>
  <c r="K351" i="29"/>
  <c r="B3671" i="106" s="1"/>
  <c r="D3671" i="106" s="1"/>
  <c r="B3673" i="106"/>
  <c r="D3673" i="106" s="1"/>
  <c r="K360" i="29"/>
  <c r="B3675" i="106" s="1"/>
  <c r="D3675" i="106" s="1"/>
  <c r="K361" i="29"/>
  <c r="D3677" i="106"/>
  <c r="K363" i="29"/>
  <c r="K364" i="29"/>
  <c r="D3679" i="106"/>
  <c r="D3680" i="106"/>
  <c r="B3682" i="106"/>
  <c r="D3682" i="106" s="1"/>
  <c r="B3683" i="106"/>
  <c r="D3683" i="106" s="1"/>
  <c r="B3684" i="106"/>
  <c r="D3684" i="106" s="1"/>
  <c r="B3685" i="106"/>
  <c r="D3685" i="106" s="1"/>
  <c r="B3686" i="106"/>
  <c r="D3686" i="106" s="1"/>
  <c r="B3687" i="106"/>
  <c r="D3687" i="106" s="1"/>
  <c r="B3689" i="106"/>
  <c r="D3689"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3" i="106"/>
  <c r="D3723" i="106" s="1"/>
  <c r="B3727" i="106"/>
  <c r="D3727" i="106" s="1"/>
  <c r="F13" i="7"/>
  <c r="B3728" i="106" s="1"/>
  <c r="D3728" i="106" s="1"/>
  <c r="B3729" i="106"/>
  <c r="D3729" i="106"/>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0" i="106"/>
  <c r="D4080" i="106" s="1"/>
  <c r="B4081" i="106"/>
  <c r="D4081" i="106" s="1"/>
  <c r="B4082" i="106"/>
  <c r="D4082" i="106" s="1"/>
  <c r="B4083" i="106"/>
  <c r="D4083" i="106" s="1"/>
  <c r="B4084" i="106"/>
  <c r="D4084" i="106" s="1"/>
  <c r="B4085" i="106"/>
  <c r="D4085" i="106" s="1"/>
  <c r="B4086" i="106"/>
  <c r="D4086" i="106" s="1"/>
  <c r="B4087" i="106"/>
  <c r="D4087" i="106" s="1"/>
  <c r="D4088" i="106"/>
  <c r="D4089" i="106"/>
  <c r="D4090" i="106"/>
  <c r="D4091" i="106"/>
  <c r="D4092" i="106"/>
  <c r="D4093" i="106"/>
  <c r="D4094" i="106"/>
  <c r="D4095" i="106"/>
  <c r="B4096" i="106"/>
  <c r="D4096" i="106" s="1"/>
  <c r="B4097" i="106"/>
  <c r="D4097" i="106" s="1"/>
  <c r="D4098" i="106"/>
  <c r="B4100" i="106"/>
  <c r="D4100" i="106" s="1"/>
  <c r="D4101" i="106"/>
  <c r="B4106" i="106"/>
  <c r="D4106" i="106" s="1"/>
  <c r="B4107" i="106"/>
  <c r="D4107" i="106" s="1"/>
  <c r="F17" i="7"/>
  <c r="B4108" i="106" s="1"/>
  <c r="D4108" i="106"/>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B4211" i="106"/>
  <c r="D4211"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B4235" i="106"/>
  <c r="D4235" i="106" s="1"/>
  <c r="B4236" i="106"/>
  <c r="D4236" i="106" s="1"/>
  <c r="B4237" i="106"/>
  <c r="D4237" i="106" s="1"/>
  <c r="B4238" i="106"/>
  <c r="D4238" i="106" s="1"/>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B4399" i="106"/>
  <c r="D4399" i="106" s="1"/>
  <c r="B4400" i="106"/>
  <c r="D4400" i="106" s="1"/>
  <c r="B4401" i="106"/>
  <c r="D4401" i="106" s="1"/>
  <c r="B4402" i="106"/>
  <c r="D4402" i="106" s="1"/>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c r="B5101" i="106"/>
  <c r="D5101" i="106" s="1"/>
  <c r="B5103" i="106"/>
  <c r="D5103" i="106" s="1"/>
  <c r="B5104" i="106"/>
  <c r="D5104" i="106" s="1"/>
  <c r="B5105" i="106"/>
  <c r="D5105" i="106" s="1"/>
  <c r="B5106" i="106"/>
  <c r="D5106" i="106" s="1"/>
  <c r="B5107" i="106"/>
  <c r="D5107" i="106"/>
  <c r="B5108" i="106"/>
  <c r="D5108" i="106" s="1"/>
  <c r="B5109" i="106"/>
  <c r="D5109" i="106" s="1"/>
  <c r="B5110" i="106"/>
  <c r="D5110" i="106" s="1"/>
  <c r="B5111" i="106"/>
  <c r="D5111" i="106"/>
  <c r="B5113" i="106"/>
  <c r="D5113" i="106" s="1"/>
  <c r="B5114" i="106"/>
  <c r="D5114" i="106" s="1"/>
  <c r="B5115" i="106"/>
  <c r="D5115" i="106"/>
  <c r="B5116" i="106"/>
  <c r="D5116" i="106"/>
  <c r="B5117" i="106"/>
  <c r="D5117" i="106"/>
  <c r="B5118" i="106"/>
  <c r="D5118" i="106"/>
  <c r="B5119" i="106"/>
  <c r="D5119" i="106" s="1"/>
  <c r="B5122" i="106"/>
  <c r="D5122" i="106" s="1"/>
  <c r="B5123" i="106"/>
  <c r="D5123" i="106"/>
  <c r="B5124" i="106"/>
  <c r="D5124" i="106" s="1"/>
  <c r="B5126" i="106"/>
  <c r="D5126" i="106" s="1"/>
  <c r="B5127" i="106"/>
  <c r="D5127" i="106" s="1"/>
  <c r="D5128" i="106"/>
  <c r="D5129" i="106"/>
  <c r="D5130" i="106"/>
  <c r="D5131" i="106"/>
  <c r="B5133" i="106"/>
  <c r="D5133" i="106" s="1"/>
  <c r="B5134" i="106"/>
  <c r="D5134" i="106"/>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B5196" i="106"/>
  <c r="D5196" i="106" s="1"/>
  <c r="D5197" i="106"/>
  <c r="D5198" i="106"/>
  <c r="B5199" i="106"/>
  <c r="D5199" i="106" s="1"/>
  <c r="B5200"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c r="B5241" i="106"/>
  <c r="D5241" i="106" s="1"/>
  <c r="B5242" i="106"/>
  <c r="D5242" i="106"/>
  <c r="B5243" i="106"/>
  <c r="D5243" i="106" s="1"/>
  <c r="D5244" i="106"/>
  <c r="D5245" i="106"/>
  <c r="B5247" i="106"/>
  <c r="D5247" i="106" s="1"/>
  <c r="B5248" i="106"/>
  <c r="D5248" i="106"/>
  <c r="D5249" i="106"/>
  <c r="D5250" i="106"/>
  <c r="D5251" i="106"/>
  <c r="D5252" i="106"/>
  <c r="D5253" i="106"/>
  <c r="B5254" i="106"/>
  <c r="D5254" i="106" s="1"/>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B5313" i="106"/>
  <c r="D5313" i="106" s="1"/>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B5438" i="106"/>
  <c r="D5438" i="106" s="1"/>
  <c r="B5439" i="106"/>
  <c r="D5439" i="106"/>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B5630" i="106"/>
  <c r="D5630" i="106" s="1"/>
  <c r="B5631" i="106"/>
  <c r="D5631" i="106" s="1"/>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B5671" i="106"/>
  <c r="D5671" i="106" s="1"/>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B5706" i="106"/>
  <c r="D5706" i="106" s="1"/>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B5767" i="106"/>
  <c r="D5767" i="106" s="1"/>
  <c r="B5768" i="106"/>
  <c r="D5768" i="106" s="1"/>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B5797" i="106"/>
  <c r="D5797" i="106" s="1"/>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B5856" i="106"/>
  <c r="D5856" i="106" s="1"/>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J41" i="3"/>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c r="D6261" i="106" s="1"/>
  <c r="J77" i="4"/>
  <c r="B6262" i="106"/>
  <c r="D6262" i="106" s="1"/>
  <c r="B6264" i="106"/>
  <c r="D6264" i="106" s="1"/>
  <c r="B6265" i="106"/>
  <c r="D6265" i="106" s="1"/>
  <c r="B6285" i="106"/>
  <c r="D6285" i="106" s="1"/>
  <c r="B6286" i="106"/>
  <c r="D6286" i="106" s="1"/>
  <c r="B6287" i="106"/>
  <c r="D6287" i="106" s="1"/>
  <c r="B6288" i="106"/>
  <c r="D6288" i="106" s="1"/>
  <c r="B6289" i="106"/>
  <c r="D6289" i="106" s="1"/>
  <c r="B6290" i="106"/>
  <c r="D6290" i="106" s="1"/>
  <c r="B6291" i="106"/>
  <c r="D6291" i="106" s="1"/>
  <c r="B6292" i="106"/>
  <c r="D6292" i="106" s="1"/>
  <c r="B6293" i="106"/>
  <c r="D6293" i="106" s="1"/>
  <c r="B6294" i="106"/>
  <c r="D6294" i="106" s="1"/>
  <c r="B6295" i="106"/>
  <c r="D6295" i="106" s="1"/>
  <c r="B6296" i="106"/>
  <c r="D6296" i="106" s="1"/>
  <c r="B6297" i="106"/>
  <c r="D6297" i="106"/>
  <c r="B6298" i="106"/>
  <c r="D6298" i="106" s="1"/>
  <c r="B6299" i="106"/>
  <c r="D6299" i="106" s="1"/>
  <c r="B6300" i="106"/>
  <c r="D6300" i="106" s="1"/>
  <c r="B6302" i="106"/>
  <c r="D6302" i="106" s="1"/>
  <c r="B6303" i="106"/>
  <c r="D6303" i="106" s="1"/>
  <c r="B6304" i="106"/>
  <c r="D6304" i="106"/>
  <c r="B6305" i="106"/>
  <c r="D6305" i="106" s="1"/>
  <c r="B6307" i="106"/>
  <c r="D6307" i="106"/>
  <c r="B6308" i="106"/>
  <c r="D6308" i="106"/>
  <c r="B6309" i="106"/>
  <c r="D6309" i="106"/>
  <c r="B6310" i="106"/>
  <c r="D6310" i="106" s="1"/>
  <c r="B6311" i="106"/>
  <c r="D6311" i="106"/>
  <c r="B6312" i="106"/>
  <c r="D6312" i="106"/>
  <c r="B6313" i="106"/>
  <c r="D6313" i="106"/>
  <c r="B6314" i="106"/>
  <c r="D6314" i="106" s="1"/>
  <c r="B6315" i="106"/>
  <c r="D6315" i="106"/>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c r="B6354" i="106"/>
  <c r="D6354" i="106"/>
  <c r="B6355" i="106"/>
  <c r="D6355" i="106"/>
  <c r="B6356" i="106"/>
  <c r="D6356" i="106"/>
  <c r="B6358" i="106"/>
  <c r="D6358" i="106"/>
  <c r="B6359" i="106"/>
  <c r="D6359" i="106"/>
  <c r="B6360" i="106"/>
  <c r="D6360" i="106"/>
  <c r="B6361" i="106"/>
  <c r="D6361" i="106"/>
  <c r="B6362" i="106"/>
  <c r="D6362" i="106"/>
  <c r="B6363" i="106"/>
  <c r="D6363" i="106"/>
  <c r="B6364" i="106"/>
  <c r="D6364" i="106"/>
  <c r="B6365" i="106"/>
  <c r="D6365" i="106"/>
  <c r="B6366" i="106"/>
  <c r="D6366" i="106"/>
  <c r="B6367" i="106"/>
  <c r="D6367" i="106"/>
  <c r="B6368" i="106"/>
  <c r="D6368" i="106"/>
  <c r="B6369" i="106"/>
  <c r="D6369" i="106"/>
  <c r="B6370" i="106"/>
  <c r="D6370" i="106"/>
  <c r="B6371" i="106"/>
  <c r="D6371" i="106"/>
  <c r="B6372" i="106"/>
  <c r="D6372" i="106"/>
  <c r="B6373" i="106"/>
  <c r="D6373" i="106"/>
  <c r="B6374" i="106"/>
  <c r="D6374" i="106"/>
  <c r="B6375" i="106"/>
  <c r="D6375" i="106"/>
  <c r="B6376" i="106"/>
  <c r="D6376" i="106"/>
  <c r="B6377" i="106"/>
  <c r="D6377" i="106"/>
  <c r="B6378" i="106"/>
  <c r="D6378" i="106"/>
  <c r="B6379" i="106"/>
  <c r="D6379" i="106"/>
  <c r="B6380" i="106"/>
  <c r="D6380" i="106"/>
  <c r="B6381" i="106"/>
  <c r="D6381" i="106"/>
  <c r="B6382" i="106"/>
  <c r="D6382" i="106"/>
  <c r="B6383" i="106"/>
  <c r="D6383" i="106"/>
  <c r="B6384" i="106"/>
  <c r="D6384" i="106"/>
  <c r="B6385" i="106"/>
  <c r="D6385" i="106"/>
  <c r="B6386" i="106"/>
  <c r="D6386" i="106"/>
  <c r="B6387" i="106"/>
  <c r="D6387" i="106"/>
  <c r="B6388" i="106"/>
  <c r="D6388" i="106"/>
  <c r="B6389" i="106"/>
  <c r="D6389" i="106"/>
  <c r="B6390" i="106"/>
  <c r="D6390" i="106"/>
  <c r="B6391" i="106"/>
  <c r="D6391" i="106"/>
  <c r="B6392" i="106"/>
  <c r="D6392" i="106"/>
  <c r="B6393" i="106"/>
  <c r="D6393" i="106"/>
  <c r="B6394" i="106"/>
  <c r="D6394" i="106"/>
  <c r="B6395" i="106"/>
  <c r="D6395" i="106"/>
  <c r="B6398" i="106"/>
  <c r="D6398" i="106"/>
  <c r="B6399" i="106"/>
  <c r="D6399" i="106"/>
  <c r="B6401" i="106"/>
  <c r="D6401" i="106"/>
  <c r="B6402" i="106"/>
  <c r="D6402" i="106"/>
  <c r="B6403" i="106"/>
  <c r="D6403" i="106"/>
  <c r="B6404" i="106"/>
  <c r="D6404" i="106"/>
  <c r="B6405" i="106"/>
  <c r="D6405" i="106"/>
  <c r="B6406" i="106"/>
  <c r="D6406" i="106"/>
  <c r="B6407" i="106"/>
  <c r="D6407" i="106"/>
  <c r="B6408" i="106"/>
  <c r="D6408" i="106"/>
  <c r="B6410" i="106"/>
  <c r="D6410" i="106"/>
  <c r="B6411" i="106"/>
  <c r="D6411" i="106"/>
  <c r="B6412" i="106"/>
  <c r="D6412" i="106"/>
  <c r="B6413" i="106"/>
  <c r="D6413" i="106"/>
  <c r="B6414" i="106"/>
  <c r="D6414" i="106"/>
  <c r="B6415" i="106"/>
  <c r="D6415" i="106"/>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c r="B6615" i="106"/>
  <c r="D6615" i="106"/>
  <c r="B6616" i="106"/>
  <c r="D6616" i="106"/>
  <c r="B6617" i="106"/>
  <c r="D6617" i="106"/>
  <c r="B6618" i="106"/>
  <c r="D6618" i="106"/>
  <c r="B6619" i="106"/>
  <c r="D6619" i="106"/>
  <c r="B6620" i="106"/>
  <c r="D6620" i="106"/>
  <c r="B6621" i="106"/>
  <c r="D6621" i="106"/>
  <c r="B6622" i="106"/>
  <c r="D6622" i="106"/>
  <c r="B6623" i="106"/>
  <c r="D6623" i="106"/>
  <c r="B6624" i="106"/>
  <c r="D6624" i="106"/>
  <c r="B6625" i="106"/>
  <c r="D6625" i="106"/>
  <c r="B6626" i="106"/>
  <c r="D6626" i="106"/>
  <c r="B6627" i="106"/>
  <c r="D6627" i="106"/>
  <c r="B6628" i="106"/>
  <c r="D6628" i="106"/>
  <c r="B6629" i="106"/>
  <c r="D6629" i="106"/>
  <c r="B6630" i="106"/>
  <c r="D6630" i="106"/>
  <c r="B6631" i="106"/>
  <c r="D6631" i="106"/>
  <c r="B6632" i="106"/>
  <c r="D6632" i="106"/>
  <c r="B6633" i="106"/>
  <c r="D6633" i="106"/>
  <c r="B6634" i="106"/>
  <c r="D6634" i="106"/>
  <c r="B6635" i="106"/>
  <c r="D6635" i="106"/>
  <c r="B6636" i="106"/>
  <c r="D6636" i="106"/>
  <c r="B6637" i="106"/>
  <c r="D6637" i="106"/>
  <c r="B6638" i="106"/>
  <c r="D6638" i="106"/>
  <c r="B6639" i="106"/>
  <c r="D6639" i="106"/>
  <c r="B6640" i="106"/>
  <c r="D6640" i="106"/>
  <c r="B6641" i="106"/>
  <c r="D6641" i="106"/>
  <c r="B6642" i="106"/>
  <c r="D6642" i="106"/>
  <c r="B6643" i="106"/>
  <c r="D6643" i="106"/>
  <c r="B6644" i="106"/>
  <c r="D6644" i="106"/>
  <c r="B6645" i="106"/>
  <c r="D6645" i="106"/>
  <c r="B6646" i="106"/>
  <c r="D6646" i="106"/>
  <c r="B6647" i="106"/>
  <c r="D6647" i="106"/>
  <c r="B6648" i="106"/>
  <c r="D6648" i="106"/>
  <c r="B6649" i="106"/>
  <c r="D6649" i="106"/>
  <c r="B6650" i="106"/>
  <c r="D6650" i="106"/>
  <c r="B6651" i="106"/>
  <c r="D6651" i="106"/>
  <c r="B6652" i="106"/>
  <c r="D6652" i="106"/>
  <c r="B6653" i="106"/>
  <c r="D6653" i="106"/>
  <c r="B6654" i="106"/>
  <c r="D6654" i="106"/>
  <c r="B6655" i="106"/>
  <c r="D6655" i="106"/>
  <c r="B6656" i="106"/>
  <c r="D6656" i="106"/>
  <c r="B6657" i="106"/>
  <c r="D6657" i="106"/>
  <c r="B6658" i="106"/>
  <c r="D6658" i="106"/>
  <c r="B6659" i="106"/>
  <c r="D6659" i="106"/>
  <c r="B6660" i="106"/>
  <c r="D6660" i="106"/>
  <c r="B6661" i="106"/>
  <c r="D6661" i="106"/>
  <c r="B6662" i="106"/>
  <c r="D6662" i="106"/>
  <c r="B6663" i="106"/>
  <c r="D6663" i="106"/>
  <c r="B6664" i="106"/>
  <c r="D6664" i="106"/>
  <c r="B6665" i="106"/>
  <c r="D6665" i="106"/>
  <c r="B6666" i="106"/>
  <c r="D6666" i="106"/>
  <c r="B6667" i="106"/>
  <c r="D6667" i="106"/>
  <c r="B6668" i="106"/>
  <c r="D6668" i="106"/>
  <c r="B6669" i="106"/>
  <c r="D6669" i="106"/>
  <c r="B6670" i="106"/>
  <c r="D6670" i="106"/>
  <c r="B6671" i="106"/>
  <c r="D6671" i="106"/>
  <c r="B6672" i="106"/>
  <c r="D6672" i="106"/>
  <c r="B6673" i="106"/>
  <c r="D6673" i="106"/>
  <c r="B6674" i="106"/>
  <c r="D6674" i="106"/>
  <c r="B6675" i="106"/>
  <c r="D6675" i="106"/>
  <c r="B6676" i="106"/>
  <c r="D6676" i="106"/>
  <c r="B6677" i="106"/>
  <c r="D6677" i="106"/>
  <c r="B6678" i="106"/>
  <c r="D6678" i="106"/>
  <c r="B6679" i="106"/>
  <c r="D6679" i="106"/>
  <c r="B6680" i="106"/>
  <c r="D6680" i="106"/>
  <c r="B6681" i="106"/>
  <c r="D6681" i="106"/>
  <c r="B6682" i="106"/>
  <c r="D6682" i="106"/>
  <c r="B6683" i="106"/>
  <c r="D6683" i="106"/>
  <c r="B6684" i="106"/>
  <c r="D6684" i="106"/>
  <c r="B6685" i="106"/>
  <c r="D6685" i="106"/>
  <c r="B6686" i="106"/>
  <c r="D6686" i="106"/>
  <c r="B6687" i="106"/>
  <c r="D6687" i="106"/>
  <c r="B6688" i="106"/>
  <c r="D6688" i="106"/>
  <c r="B6689" i="106"/>
  <c r="D6689" i="106"/>
  <c r="B6690" i="106"/>
  <c r="D6690" i="106"/>
  <c r="B6691" i="106"/>
  <c r="D6691" i="106"/>
  <c r="B6692" i="106"/>
  <c r="D6692" i="106"/>
  <c r="B6693" i="106"/>
  <c r="D6693" i="106"/>
  <c r="B6694" i="106"/>
  <c r="D6694" i="106"/>
  <c r="B6695" i="106"/>
  <c r="D6695" i="106"/>
  <c r="B6696" i="106"/>
  <c r="D6696" i="106"/>
  <c r="B6697" i="106"/>
  <c r="D6697" i="106"/>
  <c r="B6698" i="106"/>
  <c r="D6698" i="106"/>
  <c r="B6699" i="106"/>
  <c r="D6699" i="106"/>
  <c r="B6700" i="106"/>
  <c r="D6700" i="106"/>
  <c r="B6701" i="106"/>
  <c r="D6701" i="106"/>
  <c r="B6702" i="106"/>
  <c r="D6702" i="106"/>
  <c r="B6703" i="106"/>
  <c r="D6703" i="106"/>
  <c r="B6704" i="106"/>
  <c r="D6704" i="106"/>
  <c r="B6705" i="106"/>
  <c r="D6705" i="106"/>
  <c r="B6706" i="106"/>
  <c r="D6706" i="106"/>
  <c r="B6707" i="106"/>
  <c r="D6707" i="106"/>
  <c r="B6708" i="106"/>
  <c r="D6708" i="106"/>
  <c r="B6709" i="106"/>
  <c r="D6709" i="106"/>
  <c r="B6710" i="106"/>
  <c r="D6710" i="106"/>
  <c r="B6711" i="106"/>
  <c r="D6711" i="106"/>
  <c r="B6712" i="106"/>
  <c r="D6712" i="106"/>
  <c r="B6713" i="106"/>
  <c r="D6713" i="106"/>
  <c r="B6714" i="106"/>
  <c r="D6714" i="106"/>
  <c r="B6715" i="106"/>
  <c r="D6715" i="106"/>
  <c r="B6716" i="106"/>
  <c r="D6716" i="106"/>
  <c r="B6717" i="106"/>
  <c r="D6717" i="106"/>
  <c r="B6718" i="106"/>
  <c r="D6718" i="106"/>
  <c r="B6719" i="106"/>
  <c r="D6719" i="106"/>
  <c r="B6720" i="106"/>
  <c r="D6720" i="106"/>
  <c r="B6721" i="106"/>
  <c r="D6721" i="106"/>
  <c r="B6722" i="106"/>
  <c r="D6722" i="106"/>
  <c r="B6723" i="106"/>
  <c r="D6723" i="106"/>
  <c r="B6724" i="106"/>
  <c r="D6724" i="106"/>
  <c r="B6725" i="106"/>
  <c r="D6725" i="106"/>
  <c r="B6726" i="106"/>
  <c r="D6726" i="106"/>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c r="B6741" i="106"/>
  <c r="D6741" i="106"/>
  <c r="B6742" i="106"/>
  <c r="D6742" i="106"/>
  <c r="B6743" i="106"/>
  <c r="D6743" i="106"/>
  <c r="B6744" i="106"/>
  <c r="D6744" i="106"/>
  <c r="B6745" i="106"/>
  <c r="D6745" i="106"/>
  <c r="B6746" i="106"/>
  <c r="D6746" i="106"/>
  <c r="B6747" i="106"/>
  <c r="D6747" i="106"/>
  <c r="B6748" i="106"/>
  <c r="D6748" i="106"/>
  <c r="B6749" i="106"/>
  <c r="D6749" i="106"/>
  <c r="B6750" i="106"/>
  <c r="D6750" i="106"/>
  <c r="B6751" i="106"/>
  <c r="D6751" i="106"/>
  <c r="B6752" i="106"/>
  <c r="D6752" i="106"/>
  <c r="B6753" i="106"/>
  <c r="D6753" i="106"/>
  <c r="B6754" i="106"/>
  <c r="D6754" i="106"/>
  <c r="B6755" i="106"/>
  <c r="D6755" i="106"/>
  <c r="B6756" i="106"/>
  <c r="D6756" i="106"/>
  <c r="B6757" i="106"/>
  <c r="D6757" i="106"/>
  <c r="B6758" i="106"/>
  <c r="D6758" i="106"/>
  <c r="B6759" i="106"/>
  <c r="D6759" i="106"/>
  <c r="B6760" i="106"/>
  <c r="D6760" i="106"/>
  <c r="B6761" i="106"/>
  <c r="D6761" i="106"/>
  <c r="B6762" i="106"/>
  <c r="D6762" i="106"/>
  <c r="B6763" i="106"/>
  <c r="D6763" i="106"/>
  <c r="B6764" i="106"/>
  <c r="D6764" i="106"/>
  <c r="B6765" i="106"/>
  <c r="D6765" i="106"/>
  <c r="B6766" i="106"/>
  <c r="D6766" i="106"/>
  <c r="B6767" i="106"/>
  <c r="D6767" i="106"/>
  <c r="B6768" i="106"/>
  <c r="D6768" i="106"/>
  <c r="B6769" i="106"/>
  <c r="D6769" i="106"/>
  <c r="B6770" i="106"/>
  <c r="D6770" i="106"/>
  <c r="B6771" i="106"/>
  <c r="D6771" i="106"/>
  <c r="B6772" i="106"/>
  <c r="D6772" i="106"/>
  <c r="B6773" i="106"/>
  <c r="D6773" i="106"/>
  <c r="B6774" i="106"/>
  <c r="D6774" i="106"/>
  <c r="B6775" i="106"/>
  <c r="D6775" i="106"/>
  <c r="B6776" i="106"/>
  <c r="D6776" i="106"/>
  <c r="B6777" i="106"/>
  <c r="D6777" i="106"/>
  <c r="B6778" i="106"/>
  <c r="D6778" i="106"/>
  <c r="B6779" i="106"/>
  <c r="D6779" i="106"/>
  <c r="B6780" i="106"/>
  <c r="D6780" i="106"/>
  <c r="B6781" i="106"/>
  <c r="D6781" i="106"/>
  <c r="B6782" i="106"/>
  <c r="D6782" i="106"/>
  <c r="B6783" i="106"/>
  <c r="D6783" i="106"/>
  <c r="B6784" i="106"/>
  <c r="D6784" i="106"/>
  <c r="B6785" i="106"/>
  <c r="D6785" i="106"/>
  <c r="B6786" i="106"/>
  <c r="D6786" i="106"/>
  <c r="B6787" i="106"/>
  <c r="D6787" i="106"/>
  <c r="B6788" i="106"/>
  <c r="D6788" i="106"/>
  <c r="B6789" i="106"/>
  <c r="D6789" i="106"/>
  <c r="B6790" i="106"/>
  <c r="D6790" i="106"/>
  <c r="B6791" i="106"/>
  <c r="D6791" i="106"/>
  <c r="B6792" i="106"/>
  <c r="D6792" i="106"/>
  <c r="B6793" i="106"/>
  <c r="D6793" i="106"/>
  <c r="B6794" i="106"/>
  <c r="D6794" i="106"/>
  <c r="B6795" i="106"/>
  <c r="D6795" i="106"/>
  <c r="B6796" i="106"/>
  <c r="D6796" i="106"/>
  <c r="B6797" i="106"/>
  <c r="D6797" i="106"/>
  <c r="B6798" i="106"/>
  <c r="D6798" i="106"/>
  <c r="B6799" i="106"/>
  <c r="D6799" i="106"/>
  <c r="B6800" i="106"/>
  <c r="D6800" i="106"/>
  <c r="B6801" i="106"/>
  <c r="D6801" i="106"/>
  <c r="B6802" i="106"/>
  <c r="D6802" i="106"/>
  <c r="B6803" i="106"/>
  <c r="D6803" i="106"/>
  <c r="B6804" i="106"/>
  <c r="D6804" i="106"/>
  <c r="B6805" i="106"/>
  <c r="D6805" i="106"/>
  <c r="B6806" i="106"/>
  <c r="D6806" i="106"/>
  <c r="B6807" i="106"/>
  <c r="D6807" i="106"/>
  <c r="B6808" i="106"/>
  <c r="D6808" i="106"/>
  <c r="B6809" i="106"/>
  <c r="D6809" i="106"/>
  <c r="B6810" i="106"/>
  <c r="D6810" i="106"/>
  <c r="B6811" i="106"/>
  <c r="D6811" i="106"/>
  <c r="B6812" i="106"/>
  <c r="D6812" i="106"/>
  <c r="B6813" i="106"/>
  <c r="D6813" i="106"/>
  <c r="B6814" i="106"/>
  <c r="D6814" i="106"/>
  <c r="B6815" i="106"/>
  <c r="D6815" i="106"/>
  <c r="B6816" i="106"/>
  <c r="D6816" i="106"/>
  <c r="B6817" i="106"/>
  <c r="D6817" i="106"/>
  <c r="B6818" i="106"/>
  <c r="D6818" i="106"/>
  <c r="B6819" i="106"/>
  <c r="D6819" i="106"/>
  <c r="B6820" i="106"/>
  <c r="D6820" i="106"/>
  <c r="B6821" i="106"/>
  <c r="D6821" i="106"/>
  <c r="B6822" i="106"/>
  <c r="D6822" i="106"/>
  <c r="B6823" i="106"/>
  <c r="D6823" i="106"/>
  <c r="B6824" i="106"/>
  <c r="D6824" i="106"/>
  <c r="B6825" i="106"/>
  <c r="D6825" i="106"/>
  <c r="B6826" i="106"/>
  <c r="D6826" i="106"/>
  <c r="B6827" i="106"/>
  <c r="D6827" i="106"/>
  <c r="B6828" i="106"/>
  <c r="D6828" i="106"/>
  <c r="B6829" i="106"/>
  <c r="D6829" i="106"/>
  <c r="B6830" i="106"/>
  <c r="D6830" i="106"/>
  <c r="B6831" i="106"/>
  <c r="D6831" i="106"/>
  <c r="B6832" i="106"/>
  <c r="D6832" i="106"/>
  <c r="B6841" i="106"/>
  <c r="D6841" i="106"/>
  <c r="B6842" i="106"/>
  <c r="D6842" i="106"/>
  <c r="B6843"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c r="D6948" i="106" s="1"/>
  <c r="J57" i="29"/>
  <c r="B6949" i="106"/>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6" i="106"/>
  <c r="D6996" i="106" s="1"/>
  <c r="B6997" i="106"/>
  <c r="D6997" i="106" s="1"/>
  <c r="B6998" i="106"/>
  <c r="D6998" i="106" s="1"/>
  <c r="B6999" i="106"/>
  <c r="D6999" i="106" s="1"/>
  <c r="B7000" i="106"/>
  <c r="D7000" i="106" s="1"/>
  <c r="B7001" i="106"/>
  <c r="D7001" i="106" s="1"/>
  <c r="B7002" i="106"/>
  <c r="D7002" i="106" s="1"/>
  <c r="B7003" i="106"/>
  <c r="D7003" i="106" s="1"/>
  <c r="B7004" i="106"/>
  <c r="D7004" i="106" s="1"/>
  <c r="B7005" i="106"/>
  <c r="D7005" i="106" s="1"/>
  <c r="B7006" i="106"/>
  <c r="D7006" i="106" s="1"/>
  <c r="B7007" i="106"/>
  <c r="D7007" i="106" s="1"/>
  <c r="B7008" i="106"/>
  <c r="D7008" i="106" s="1"/>
  <c r="B7009" i="106"/>
  <c r="D7009" i="106" s="1"/>
  <c r="B7010" i="106"/>
  <c r="D7010" i="106" s="1"/>
  <c r="B7011" i="106"/>
  <c r="D7011" i="106" s="1"/>
  <c r="B7012" i="106"/>
  <c r="D7012" i="106" s="1"/>
  <c r="B7014" i="106"/>
  <c r="D7014" i="106" s="1"/>
  <c r="B7015" i="106"/>
  <c r="D7015" i="106" s="1"/>
  <c r="B7016" i="106"/>
  <c r="D7016" i="106" s="1"/>
  <c r="K111" i="29"/>
  <c r="B7017" i="106" s="1"/>
  <c r="D7017" i="106" s="1"/>
  <c r="H112" i="29"/>
  <c r="B7018" i="106" s="1"/>
  <c r="D7018"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I129" i="29"/>
  <c r="B7037" i="106" s="1"/>
  <c r="D7037" i="106" s="1"/>
  <c r="J129" i="29"/>
  <c r="B7038" i="106" s="1"/>
  <c r="D7038" i="106" s="1"/>
  <c r="B7039" i="106"/>
  <c r="D7039" i="106" s="1"/>
  <c r="B7040" i="106"/>
  <c r="D7040" i="106" s="1"/>
  <c r="B7043" i="106"/>
  <c r="D7043" i="106" s="1"/>
  <c r="B7044" i="106"/>
  <c r="D7044" i="106" s="1"/>
  <c r="B7045" i="106"/>
  <c r="D7045" i="106" s="1"/>
  <c r="B7046" i="106"/>
  <c r="D7046" i="106" s="1"/>
  <c r="B7047" i="106"/>
  <c r="D7047"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8" i="106"/>
  <c r="D7068" i="106" s="1"/>
  <c r="B7069" i="106"/>
  <c r="D7069" i="106" s="1"/>
  <c r="B7070" i="106"/>
  <c r="D7070" i="106" s="1"/>
  <c r="I210" i="29"/>
  <c r="B7071" i="106" s="1"/>
  <c r="D7071" i="106" s="1"/>
  <c r="J210" i="29"/>
  <c r="B7072" i="106" s="1"/>
  <c r="D7072" i="106" s="1"/>
  <c r="B7073" i="106"/>
  <c r="D7073" i="106" s="1"/>
  <c r="B7074" i="106"/>
  <c r="D7074" i="106" s="1"/>
  <c r="B7075" i="106"/>
  <c r="D7075" i="106" s="1"/>
  <c r="B7076" i="106"/>
  <c r="D7076" i="106" s="1"/>
  <c r="B7077" i="106"/>
  <c r="D7077" i="106" s="1"/>
  <c r="B7078" i="106"/>
  <c r="D7078" i="106" s="1"/>
  <c r="B7079" i="106"/>
  <c r="D7079" i="106" s="1"/>
  <c r="B7080" i="106"/>
  <c r="D7080" i="106" s="1"/>
  <c r="B7081" i="106"/>
  <c r="D7081" i="106" s="1"/>
  <c r="B7082" i="106"/>
  <c r="D7082" i="106" s="1"/>
  <c r="B7083" i="106"/>
  <c r="D7083" i="106" s="1"/>
  <c r="B7084" i="106"/>
  <c r="D7084" i="106" s="1"/>
  <c r="B7085" i="106"/>
  <c r="D7085" i="106" s="1"/>
  <c r="B7086" i="106"/>
  <c r="D7086" i="106" s="1"/>
  <c r="B7087" i="106"/>
  <c r="D7087" i="106" s="1"/>
  <c r="B7088" i="106"/>
  <c r="D7088" i="106" s="1"/>
  <c r="B7089" i="106"/>
  <c r="D7089" i="106" s="1"/>
  <c r="B7090" i="106"/>
  <c r="D7090" i="106" s="1"/>
  <c r="B7091" i="106"/>
  <c r="D7091" i="106" s="1"/>
  <c r="B7093" i="106"/>
  <c r="D7093" i="106" s="1"/>
  <c r="B7094" i="106"/>
  <c r="D7094" i="106" s="1"/>
  <c r="B7095" i="106"/>
  <c r="D7095" i="106" s="1"/>
  <c r="B7096" i="106"/>
  <c r="D7096" i="106" s="1"/>
  <c r="B7097" i="106"/>
  <c r="D7097" i="106" s="1"/>
  <c r="B7098" i="106"/>
  <c r="D7098"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7" i="106"/>
  <c r="D7107" i="106" s="1"/>
  <c r="B7108" i="106"/>
  <c r="D7108" i="106" s="1"/>
  <c r="B7109" i="106"/>
  <c r="D7109" i="106" s="1"/>
  <c r="B7110" i="106"/>
  <c r="D7110" i="106" s="1"/>
  <c r="B7111" i="106"/>
  <c r="D7111" i="106" s="1"/>
  <c r="B7112" i="106"/>
  <c r="D7112" i="106" s="1"/>
  <c r="B7113" i="106"/>
  <c r="D7113" i="106" s="1"/>
  <c r="B7114" i="106"/>
  <c r="D7114"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D7696" i="106" s="1"/>
  <c r="K329" i="29"/>
  <c r="B7208" i="106"/>
  <c r="D7208" i="106" s="1"/>
  <c r="K337" i="29"/>
  <c r="B7209" i="106"/>
  <c r="D7209" i="106" s="1"/>
  <c r="B7210" i="106"/>
  <c r="D7210" i="106" s="1"/>
  <c r="K338" i="29"/>
  <c r="B7212" i="106"/>
  <c r="D7212" i="106" s="1"/>
  <c r="K339" i="29"/>
  <c r="B7213" i="106" s="1"/>
  <c r="D7213" i="106" s="1"/>
  <c r="H340" i="29"/>
  <c r="C342" i="29"/>
  <c r="B7216" i="106" s="1"/>
  <c r="D7216" i="106" s="1"/>
  <c r="B7226" i="106"/>
  <c r="D7226" i="106" s="1"/>
  <c r="B7227" i="106"/>
  <c r="D7227" i="106" s="1"/>
  <c r="B7228" i="106"/>
  <c r="D7228" i="106" s="1"/>
  <c r="B7229" i="106"/>
  <c r="D7229" i="106" s="1"/>
  <c r="I350" i="29"/>
  <c r="J350" i="29"/>
  <c r="B7231" i="106"/>
  <c r="D7231" i="106" s="1"/>
  <c r="B7232" i="106"/>
  <c r="D7232" i="106" s="1"/>
  <c r="B7233" i="106"/>
  <c r="D7233" i="106" s="1"/>
  <c r="J352" i="29"/>
  <c r="J367" i="29" s="1"/>
  <c r="B7245" i="106" s="1"/>
  <c r="D7245" i="106" s="1"/>
  <c r="B7235" i="106"/>
  <c r="D7235" i="106" s="1"/>
  <c r="B7236" i="106"/>
  <c r="D7236" i="106" s="1"/>
  <c r="B7237" i="106"/>
  <c r="D7237" i="106" s="1"/>
  <c r="B7238" i="106"/>
  <c r="D7238" i="106" s="1"/>
  <c r="B7239" i="106"/>
  <c r="D7239" i="106" s="1"/>
  <c r="B7240" i="106"/>
  <c r="D7240" i="106" s="1"/>
  <c r="B7241" i="106"/>
  <c r="D7241" i="106" s="1"/>
  <c r="B7242" i="106"/>
  <c r="D7242"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5" i="106"/>
  <c r="D7705"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D7726" i="106"/>
  <c r="B7728" i="106"/>
  <c r="D7728" i="106" s="1"/>
  <c r="D7729" i="106"/>
  <c r="B7731" i="106"/>
  <c r="D7731" i="106" s="1"/>
  <c r="D7733" i="106"/>
  <c r="D7734" i="106"/>
  <c r="B7735" i="106"/>
  <c r="D7735" i="106" s="1"/>
  <c r="B7736" i="106"/>
  <c r="D7736" i="106" s="1"/>
  <c r="B7737" i="106"/>
  <c r="D7737" i="106" s="1"/>
  <c r="B7738" i="106"/>
  <c r="D7738" i="106" s="1"/>
  <c r="K26" i="12"/>
  <c r="B7743" i="106" s="1"/>
  <c r="D7743" i="106" s="1"/>
  <c r="D7744" i="106"/>
  <c r="B7745" i="106"/>
  <c r="D7745" i="106" s="1"/>
  <c r="B7746" i="106"/>
  <c r="D7746"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2" i="106"/>
  <c r="D7763" i="106"/>
  <c r="D7764" i="106"/>
  <c r="D7765" i="106"/>
  <c r="D7766" i="106"/>
  <c r="D7768" i="106"/>
  <c r="D7769"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68" i="36"/>
  <c r="D71" i="36"/>
  <c r="D72" i="36"/>
  <c r="D79" i="36"/>
  <c r="B64" i="127"/>
  <c r="B65" i="127"/>
  <c r="D26" i="108"/>
  <c r="E26" i="108"/>
  <c r="F26" i="108"/>
  <c r="G26" i="108"/>
  <c r="E27" i="108"/>
  <c r="G27" i="108"/>
  <c r="E28" i="108"/>
  <c r="F28" i="108"/>
  <c r="F36" i="108"/>
  <c r="F37" i="108"/>
  <c r="G28" i="108"/>
  <c r="D36" i="108"/>
  <c r="D37" i="108"/>
  <c r="E31" i="108"/>
  <c r="G31" i="108"/>
  <c r="E33" i="108"/>
  <c r="G33" i="108"/>
  <c r="E34" i="108"/>
  <c r="G34" i="108"/>
  <c r="E35" i="108"/>
  <c r="G35" i="108"/>
  <c r="E36" i="108"/>
  <c r="G36" i="108"/>
  <c r="E37" i="108"/>
  <c r="G37"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F34" i="34"/>
  <c r="C35" i="34"/>
  <c r="D35" i="34"/>
  <c r="C36" i="34"/>
  <c r="D36" i="34"/>
  <c r="F36" i="34"/>
  <c r="C37" i="34"/>
  <c r="D37" i="34"/>
  <c r="F37" i="34"/>
  <c r="C38" i="34"/>
  <c r="D38" i="34"/>
  <c r="C39" i="34"/>
  <c r="D39" i="34"/>
  <c r="C40" i="34"/>
  <c r="D40" i="34"/>
  <c r="C41" i="34"/>
  <c r="D41" i="34"/>
  <c r="C42" i="34"/>
  <c r="D42" i="34"/>
  <c r="F42" i="34"/>
  <c r="C43" i="34"/>
  <c r="D43" i="34"/>
  <c r="C44" i="34"/>
  <c r="D44" i="34"/>
  <c r="F44" i="34"/>
  <c r="C45" i="34"/>
  <c r="D45" i="34"/>
  <c r="F45" i="34"/>
  <c r="C46" i="34"/>
  <c r="D46" i="34"/>
  <c r="F46" i="34"/>
  <c r="C47" i="34"/>
  <c r="D47" i="34"/>
  <c r="C48" i="34"/>
  <c r="D48" i="34"/>
  <c r="C49" i="34"/>
  <c r="D49" i="34"/>
  <c r="C50" i="34"/>
  <c r="D50" i="34"/>
  <c r="F50" i="34"/>
  <c r="C51" i="34"/>
  <c r="D51" i="34"/>
  <c r="C52" i="34"/>
  <c r="C53" i="34"/>
  <c r="D53" i="34"/>
  <c r="C56" i="34"/>
  <c r="F56" i="34"/>
  <c r="C57" i="34"/>
  <c r="D57" i="34"/>
  <c r="C61" i="34"/>
  <c r="C62" i="34"/>
  <c r="F62" i="34"/>
  <c r="C63" i="34"/>
  <c r="D63" i="34"/>
  <c r="C64" i="34"/>
  <c r="F64" i="34"/>
  <c r="C67" i="34"/>
  <c r="D67" i="34"/>
  <c r="F67" i="34"/>
  <c r="C68" i="34"/>
  <c r="D68" i="34"/>
  <c r="C69" i="34"/>
  <c r="D69" i="34"/>
  <c r="F69" i="34"/>
  <c r="C70" i="34"/>
  <c r="D70" i="34"/>
  <c r="F70" i="34"/>
  <c r="C71" i="34"/>
  <c r="D71" i="34"/>
  <c r="C72" i="34"/>
  <c r="F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B5096" i="106" s="1"/>
  <c r="D5096" i="106"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D121" i="34"/>
  <c r="F121" i="34"/>
  <c r="C122" i="34"/>
  <c r="D122" i="34"/>
  <c r="F122" i="34"/>
  <c r="C123" i="34"/>
  <c r="D123" i="34"/>
  <c r="F123" i="34"/>
  <c r="C124" i="34"/>
  <c r="D124" i="34"/>
  <c r="F124" i="34"/>
  <c r="C125" i="34"/>
  <c r="F125" i="34"/>
  <c r="C126" i="34"/>
  <c r="D126" i="34"/>
  <c r="F126" i="34"/>
  <c r="D127" i="34"/>
  <c r="D128" i="34"/>
  <c r="D129" i="34"/>
  <c r="D130" i="34"/>
  <c r="D131" i="34"/>
  <c r="C132" i="34"/>
  <c r="D132" i="34"/>
  <c r="F132" i="34"/>
  <c r="C133" i="34"/>
  <c r="D133" i="34"/>
  <c r="F133" i="34"/>
  <c r="C134" i="34"/>
  <c r="D134" i="34"/>
  <c r="F134" i="34"/>
  <c r="C135" i="34"/>
  <c r="D135" i="34"/>
  <c r="F135" i="34"/>
  <c r="D136" i="34"/>
  <c r="D137" i="34"/>
  <c r="F137" i="34"/>
  <c r="D138" i="34"/>
  <c r="F138" i="34"/>
  <c r="D139" i="34"/>
  <c r="F139" i="34"/>
  <c r="D140" i="34"/>
  <c r="F140" i="34"/>
  <c r="D141" i="34"/>
  <c r="F141" i="34"/>
  <c r="D142" i="34"/>
  <c r="D143" i="34"/>
  <c r="F143" i="34"/>
  <c r="F144" i="34"/>
  <c r="F145" i="34"/>
  <c r="F146" i="34"/>
  <c r="F147" i="34"/>
  <c r="F148" i="34"/>
  <c r="F149" i="34"/>
  <c r="F29" i="34" s="1"/>
  <c r="F150" i="34"/>
  <c r="F151" i="34"/>
  <c r="F152" i="34"/>
  <c r="F153" i="34"/>
  <c r="F154" i="34"/>
  <c r="F156" i="34"/>
  <c r="F157" i="34"/>
  <c r="F158" i="34"/>
  <c r="F159" i="34"/>
  <c r="F160" i="34"/>
  <c r="D144" i="34"/>
  <c r="D145" i="34"/>
  <c r="D146" i="34"/>
  <c r="D147" i="34"/>
  <c r="D148" i="34"/>
  <c r="D149" i="34"/>
  <c r="D150" i="34"/>
  <c r="D151" i="34"/>
  <c r="D152" i="34"/>
  <c r="D153" i="34"/>
  <c r="D154" i="34"/>
  <c r="D155" i="34"/>
  <c r="D156" i="34"/>
  <c r="D157" i="34"/>
  <c r="D158" i="34"/>
  <c r="D159" i="34"/>
  <c r="D160" i="34"/>
  <c r="C164" i="34"/>
  <c r="D164" i="34"/>
  <c r="F164" i="34"/>
  <c r="C165" i="34"/>
  <c r="D165" i="34"/>
  <c r="F165" i="34"/>
  <c r="C166" i="34"/>
  <c r="D166" i="34"/>
  <c r="F166" i="34"/>
  <c r="C167" i="34"/>
  <c r="D167" i="34"/>
  <c r="F167" i="34"/>
  <c r="C168" i="34"/>
  <c r="D168" i="34"/>
  <c r="F168" i="34"/>
  <c r="C169" i="34"/>
  <c r="D169" i="34"/>
  <c r="F169" i="34"/>
  <c r="C170" i="34"/>
  <c r="D170" i="34"/>
  <c r="F170" i="34"/>
  <c r="C171" i="34"/>
  <c r="D171" i="34"/>
  <c r="F171" i="34"/>
  <c r="C172" i="34"/>
  <c r="D172" i="34"/>
  <c r="F172" i="34"/>
  <c r="C173" i="34"/>
  <c r="D173" i="34"/>
  <c r="F173" i="34"/>
  <c r="C174" i="34"/>
  <c r="D174" i="34"/>
  <c r="F174" i="34"/>
  <c r="F182" i="34"/>
  <c r="F3" i="11"/>
  <c r="B7591" i="106" s="1"/>
  <c r="F5" i="11"/>
  <c r="B2026" i="106" s="1"/>
  <c r="D2026" i="106" s="1"/>
  <c r="C16" i="11"/>
  <c r="B2013" i="106" s="1"/>
  <c r="D2013"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752" i="106" s="1"/>
  <c r="D1752" i="106" s="1"/>
  <c r="B12" i="7"/>
  <c r="B1753" i="106" s="1"/>
  <c r="D1753" i="106" s="1"/>
  <c r="B13" i="7"/>
  <c r="B3725" i="106" s="1"/>
  <c r="D3725" i="106" s="1"/>
  <c r="B14" i="7"/>
  <c r="B1754" i="106" s="1"/>
  <c r="D1754" i="106" s="1"/>
  <c r="B15" i="7"/>
  <c r="B1756" i="106" s="1"/>
  <c r="D1756" i="106" s="1"/>
  <c r="B16" i="7"/>
  <c r="B3446" i="106" s="1"/>
  <c r="D3446" i="106" s="1"/>
  <c r="B17" i="7"/>
  <c r="B4102" i="106" s="1"/>
  <c r="D4102" i="106" s="1"/>
  <c r="B18" i="7"/>
  <c r="B4103" i="106" s="1"/>
  <c r="D4103"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12" i="29" s="1"/>
  <c r="L330" i="29"/>
  <c r="L340" i="29"/>
  <c r="L350" i="29"/>
  <c r="L352" i="29" s="1"/>
  <c r="L362" i="29"/>
  <c r="L365" i="29" s="1"/>
  <c r="C12" i="5"/>
  <c r="B5066" i="106" s="1"/>
  <c r="D5066" i="106" s="1"/>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c r="D5878" i="106" s="1"/>
  <c r="I18" i="5"/>
  <c r="B5923" i="106" s="1"/>
  <c r="D5923" i="106" s="1"/>
  <c r="J18" i="5"/>
  <c r="B6306" i="106" s="1"/>
  <c r="D6306" i="106" s="1"/>
  <c r="K18" i="5"/>
  <c r="B5992" i="106" s="1"/>
  <c r="D5992" i="106" s="1"/>
  <c r="C40" i="5"/>
  <c r="B5087" i="106"/>
  <c r="D5087" i="106" s="1"/>
  <c r="F63" i="5"/>
  <c r="B5579" i="106"/>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E109" i="5"/>
  <c r="E4" i="4" s="1"/>
  <c r="B2630" i="106" s="1"/>
  <c r="D2630" i="106" s="1"/>
  <c r="C114" i="5"/>
  <c r="B5125" i="106" s="1"/>
  <c r="D5125" i="106" s="1"/>
  <c r="D114" i="5"/>
  <c r="B5360" i="106" s="1"/>
  <c r="D5360" i="106" s="1"/>
  <c r="F114" i="5"/>
  <c r="B5592" i="106" s="1"/>
  <c r="D5592" i="106" s="1"/>
  <c r="G114" i="5"/>
  <c r="B5741" i="106" s="1"/>
  <c r="D5741" i="106" s="1"/>
  <c r="C121" i="5"/>
  <c r="B5132" i="106" s="1"/>
  <c r="D5132" i="106" s="1"/>
  <c r="D121" i="5"/>
  <c r="B5367" i="106" s="1"/>
  <c r="D5367" i="106" s="1"/>
  <c r="E121" i="5"/>
  <c r="B5534" i="106" s="1"/>
  <c r="D5534" i="106" s="1"/>
  <c r="F121" i="5"/>
  <c r="B5599" i="106" s="1"/>
  <c r="D5599" i="106" s="1"/>
  <c r="F131" i="5"/>
  <c r="F154" i="5"/>
  <c r="F172" i="5" s="1"/>
  <c r="B5644" i="106" s="1"/>
  <c r="D5644" i="106" s="1"/>
  <c r="G121" i="5"/>
  <c r="B5748" i="106"/>
  <c r="D5748" i="106" s="1"/>
  <c r="H121" i="5"/>
  <c r="B5893" i="106" s="1"/>
  <c r="D5893" i="106" s="1"/>
  <c r="J121" i="5"/>
  <c r="B6357" i="106" s="1"/>
  <c r="D6357" i="106" s="1"/>
  <c r="K121" i="5"/>
  <c r="B6006" i="106" s="1"/>
  <c r="D6006" i="106" s="1"/>
  <c r="C131" i="5"/>
  <c r="B5147" i="106" s="1"/>
  <c r="D5147" i="106" s="1"/>
  <c r="D131" i="5"/>
  <c r="B5369" i="106" s="1"/>
  <c r="D5369" i="106" s="1"/>
  <c r="B5614" i="106"/>
  <c r="D5614" i="106" s="1"/>
  <c r="C140" i="5"/>
  <c r="B5161" i="106"/>
  <c r="D5161" i="106" s="1"/>
  <c r="D140" i="5"/>
  <c r="B5383" i="106"/>
  <c r="D5383" i="106" s="1"/>
  <c r="G140" i="5"/>
  <c r="B5752" i="106" s="1"/>
  <c r="D5752" i="106" s="1"/>
  <c r="G144" i="5"/>
  <c r="B5756" i="106" s="1"/>
  <c r="D5756" i="106" s="1"/>
  <c r="G154" i="5"/>
  <c r="C144" i="5"/>
  <c r="B5165" i="106"/>
  <c r="D5165" i="106" s="1"/>
  <c r="C154" i="5"/>
  <c r="B5178" i="106" s="1"/>
  <c r="D5178" i="106" s="1"/>
  <c r="D154" i="5"/>
  <c r="B5394" i="106" s="1"/>
  <c r="D5394" i="106" s="1"/>
  <c r="B4357" i="106"/>
  <c r="D4357" i="106" s="1"/>
  <c r="E172" i="5"/>
  <c r="H172" i="5"/>
  <c r="B5899" i="106" s="1"/>
  <c r="D5899" i="106" s="1"/>
  <c r="I172" i="5"/>
  <c r="B4363" i="106" s="1"/>
  <c r="D4363" i="106" s="1"/>
  <c r="J172" i="5"/>
  <c r="B6396" i="106" s="1"/>
  <c r="D6396" i="106" s="1"/>
  <c r="K172" i="5"/>
  <c r="B5000" i="106" s="1"/>
  <c r="D5000" i="106" s="1"/>
  <c r="C178" i="5"/>
  <c r="B5225" i="106" s="1"/>
  <c r="D5225" i="106" s="1"/>
  <c r="D178" i="5"/>
  <c r="B5423" i="106" s="1"/>
  <c r="D5423" i="106" s="1"/>
  <c r="E178" i="5"/>
  <c r="B4372" i="106" s="1"/>
  <c r="D4372" i="106" s="1"/>
  <c r="F178" i="5"/>
  <c r="B5655" i="106" s="1"/>
  <c r="D5655" i="106" s="1"/>
  <c r="G178" i="5"/>
  <c r="B5780" i="106" s="1"/>
  <c r="D5780" i="106" s="1"/>
  <c r="H178" i="5"/>
  <c r="I178" i="5"/>
  <c r="B4373" i="106"/>
  <c r="D4373" i="106" s="1"/>
  <c r="J178" i="5"/>
  <c r="B6400" i="106"/>
  <c r="D6400" i="106" s="1"/>
  <c r="K178" i="5"/>
  <c r="B4951" i="106"/>
  <c r="D4951" i="106" s="1"/>
  <c r="C184" i="5"/>
  <c r="B5232" i="106"/>
  <c r="D5232" i="106" s="1"/>
  <c r="D184" i="5"/>
  <c r="B5425" i="106"/>
  <c r="D5425" i="106" s="1"/>
  <c r="F184" i="5"/>
  <c r="B5658" i="106"/>
  <c r="D5658" i="106" s="1"/>
  <c r="G184" i="5"/>
  <c r="B5784" i="106"/>
  <c r="D5784" i="106" s="1"/>
  <c r="H184" i="5"/>
  <c r="B5908" i="106"/>
  <c r="D5908" i="106" s="1"/>
  <c r="K184" i="5"/>
  <c r="B6016" i="106" s="1"/>
  <c r="D6016" i="106" s="1"/>
  <c r="B4395" i="106"/>
  <c r="D4395" i="106" s="1"/>
  <c r="D191" i="5"/>
  <c r="B4396" i="106"/>
  <c r="D4396" i="106" s="1"/>
  <c r="F191" i="5"/>
  <c r="G191" i="5"/>
  <c r="G201" i="5"/>
  <c r="B6409" i="106" s="1"/>
  <c r="D6409" i="106" s="1"/>
  <c r="B5260" i="106"/>
  <c r="D5260" i="106" s="1"/>
  <c r="D211" i="5"/>
  <c r="B5444" i="106" s="1"/>
  <c r="D5444" i="106" s="1"/>
  <c r="F211" i="5"/>
  <c r="B5677" i="106" s="1"/>
  <c r="D5677" i="106" s="1"/>
  <c r="G211" i="5"/>
  <c r="B5803" i="106" s="1"/>
  <c r="D5803" i="106" s="1"/>
  <c r="B4411" i="106"/>
  <c r="D4411" i="106" s="1"/>
  <c r="D216" i="5"/>
  <c r="B4412" i="106"/>
  <c r="D4412" i="106" s="1"/>
  <c r="F216" i="5"/>
  <c r="B4413" i="106"/>
  <c r="D4413" i="106" s="1"/>
  <c r="G216" i="5"/>
  <c r="B4414" i="106"/>
  <c r="D4414" i="106" s="1"/>
  <c r="D224" i="5"/>
  <c r="B5470" i="106" s="1"/>
  <c r="D5470" i="106" s="1"/>
  <c r="F224" i="5"/>
  <c r="B5703" i="106" s="1"/>
  <c r="D5703" i="106" s="1"/>
  <c r="G224" i="5"/>
  <c r="B5829" i="106" s="1"/>
  <c r="D5829" i="106" s="1"/>
  <c r="B5304" i="106"/>
  <c r="D5304" i="106" s="1"/>
  <c r="D228" i="5"/>
  <c r="B5488" i="106" s="1"/>
  <c r="D5488" i="106" s="1"/>
  <c r="G228" i="5"/>
  <c r="B5847" i="106" s="1"/>
  <c r="D5847" i="106" s="1"/>
  <c r="G259" i="5"/>
  <c r="B6837" i="106" s="1"/>
  <c r="D6837" i="106" s="1"/>
  <c r="B6833" i="106"/>
  <c r="D6833" i="106" s="1"/>
  <c r="D259" i="5"/>
  <c r="B6834" i="106" s="1"/>
  <c r="D6834" i="106" s="1"/>
  <c r="E259" i="5"/>
  <c r="F259" i="5"/>
  <c r="B6836" i="106" s="1"/>
  <c r="D6836" i="106" s="1"/>
  <c r="H259" i="5"/>
  <c r="H273" i="5" s="1"/>
  <c r="B4441" i="106" s="1"/>
  <c r="D4441" i="106" s="1"/>
  <c r="J259" i="5"/>
  <c r="J273" i="5" s="1"/>
  <c r="K259" i="5"/>
  <c r="K273" i="5" s="1"/>
  <c r="B4442" i="106" s="1"/>
  <c r="D4442" i="106" s="1"/>
  <c r="B7041" i="106"/>
  <c r="D7041" i="106" s="1"/>
  <c r="I274" i="5"/>
  <c r="D5" i="4"/>
  <c r="B3406" i="106" s="1"/>
  <c r="D3406" i="106" s="1"/>
  <c r="G5" i="4"/>
  <c r="B3409" i="106" s="1"/>
  <c r="D3409" i="106" s="1"/>
  <c r="G14" i="4"/>
  <c r="B2609" i="106" s="1"/>
  <c r="D2609" i="106" s="1"/>
  <c r="G15" i="4"/>
  <c r="B6032" i="106" s="1"/>
  <c r="D6032" i="106" s="1"/>
  <c r="C14" i="4"/>
  <c r="B2558" i="106" s="1"/>
  <c r="D2558" i="106" s="1"/>
  <c r="D14" i="4"/>
  <c r="B2570" i="106" s="1"/>
  <c r="D2570" i="106" s="1"/>
  <c r="F14" i="4"/>
  <c r="B2597" i="106" s="1"/>
  <c r="D2597" i="106" s="1"/>
  <c r="B2633" i="106"/>
  <c r="D2633" i="106" s="1"/>
  <c r="D7" i="118"/>
  <c r="D8" i="118"/>
  <c r="D9" i="118"/>
  <c r="H14" i="118"/>
  <c r="H19" i="118"/>
  <c r="H24" i="118"/>
  <c r="H28" i="118"/>
  <c r="H33" i="118"/>
  <c r="D11" i="37"/>
  <c r="D22" i="37"/>
  <c r="H22" i="37"/>
  <c r="J22" i="37"/>
  <c r="L22" i="37"/>
  <c r="L5" i="11"/>
  <c r="B2056" i="106" s="1"/>
  <c r="D2056" i="106" s="1"/>
  <c r="D4" i="7"/>
  <c r="B1760" i="106" s="1"/>
  <c r="D1760" i="106" s="1"/>
  <c r="D5" i="7"/>
  <c r="B1761" i="106" s="1"/>
  <c r="D1761" i="106" s="1"/>
  <c r="D13" i="7"/>
  <c r="B3726" i="106" s="1"/>
  <c r="D3726" i="106" s="1"/>
  <c r="D9" i="7"/>
  <c r="B1767" i="106" s="1"/>
  <c r="D1767" i="106" s="1"/>
  <c r="F136" i="34"/>
  <c r="F131" i="34"/>
  <c r="F130" i="34"/>
  <c r="F128" i="34"/>
  <c r="F127" i="34"/>
  <c r="K274" i="5"/>
  <c r="H173" i="5"/>
  <c r="B5906" i="106" s="1"/>
  <c r="D5906" i="106" s="1"/>
  <c r="F106" i="34"/>
  <c r="H6" i="4"/>
  <c r="B2656" i="106" s="1"/>
  <c r="D2656" i="106" s="1"/>
  <c r="B1746" i="106"/>
  <c r="D1746" i="106" s="1"/>
  <c r="D17" i="7"/>
  <c r="B4104" i="106" s="1"/>
  <c r="D4104" i="106" s="1"/>
  <c r="D12" i="7"/>
  <c r="B1769" i="106" s="1"/>
  <c r="D1769" i="106" s="1"/>
  <c r="B3621" i="106" l="1"/>
  <c r="D3621" i="106" s="1"/>
  <c r="C367" i="29"/>
  <c r="L13" i="11"/>
  <c r="B2060" i="106" s="1"/>
  <c r="D2060" i="106" s="1"/>
  <c r="B6995" i="106"/>
  <c r="D6995" i="106" s="1"/>
  <c r="G172" i="5"/>
  <c r="E174" i="29"/>
  <c r="B1309" i="106" s="1"/>
  <c r="D1309" i="106" s="1"/>
  <c r="F66" i="34"/>
  <c r="F111" i="34"/>
  <c r="F41" i="34"/>
  <c r="I342" i="29"/>
  <c r="B7222" i="106" s="1"/>
  <c r="D7222" i="106" s="1"/>
  <c r="D6103" i="106"/>
  <c r="J23" i="12"/>
  <c r="D7" i="7"/>
  <c r="B1763" i="106" s="1"/>
  <c r="D1763" i="106" s="1"/>
  <c r="L367" i="29"/>
  <c r="H342" i="29"/>
  <c r="K350" i="29"/>
  <c r="I24" i="12"/>
  <c r="G15" i="145"/>
  <c r="F49" i="34"/>
  <c r="G39" i="108"/>
  <c r="K173" i="5"/>
  <c r="K6" i="4" s="1"/>
  <c r="B3570" i="106" s="1"/>
  <c r="D3570" i="106" s="1"/>
  <c r="D15" i="7"/>
  <c r="B1772" i="106" s="1"/>
  <c r="D1772" i="106" s="1"/>
  <c r="D24" i="37"/>
  <c r="B4270" i="106" s="1"/>
  <c r="D4270" i="106" s="1"/>
  <c r="I173" i="5"/>
  <c r="B4216" i="106" s="1"/>
  <c r="D4216" i="106" s="1"/>
  <c r="G38" i="108"/>
  <c r="E30" i="108"/>
  <c r="K76" i="4"/>
  <c r="B3586" i="106" s="1"/>
  <c r="D3586" i="106" s="1"/>
  <c r="B3649" i="106"/>
  <c r="D3649" i="106" s="1"/>
  <c r="G367" i="29"/>
  <c r="D11" i="7"/>
  <c r="B1768" i="106" s="1"/>
  <c r="D1768" i="106" s="1"/>
  <c r="E38" i="108"/>
  <c r="J274" i="5"/>
  <c r="B7054" i="106" s="1"/>
  <c r="D7054" i="106" s="1"/>
  <c r="G210" i="29"/>
  <c r="B1124" i="106"/>
  <c r="D1124" i="106" s="1"/>
  <c r="N22" i="3"/>
  <c r="B283" i="106" s="1"/>
  <c r="D283" i="106" s="1"/>
  <c r="D54" i="36"/>
  <c r="L15" i="11"/>
  <c r="B3459" i="106" s="1"/>
  <c r="D3459" i="106" s="1"/>
  <c r="D69" i="36"/>
  <c r="L342" i="29"/>
  <c r="D52" i="36"/>
  <c r="H109" i="5"/>
  <c r="F71" i="34"/>
  <c r="B1410" i="106"/>
  <c r="D1410" i="106" s="1"/>
  <c r="G109" i="5"/>
  <c r="E29" i="108"/>
  <c r="G29" i="108"/>
  <c r="B1329" i="106"/>
  <c r="D1329" i="106" s="1"/>
  <c r="F61" i="34"/>
  <c r="D109" i="5"/>
  <c r="B5356" i="106" s="1"/>
  <c r="D5356" i="106" s="1"/>
  <c r="F31" i="108"/>
  <c r="G30" i="108"/>
  <c r="F27" i="108"/>
  <c r="F38" i="34"/>
  <c r="F35" i="34"/>
  <c r="C172" i="5"/>
  <c r="B5214" i="106" s="1"/>
  <c r="D5214" i="106" s="1"/>
  <c r="F94" i="34"/>
  <c r="C109" i="5"/>
  <c r="B5121" i="106" s="1"/>
  <c r="D5121" i="106" s="1"/>
  <c r="D31" i="36"/>
  <c r="H29" i="118"/>
  <c r="K28" i="118" s="1"/>
  <c r="O27" i="118" s="1"/>
  <c r="O29" i="118" s="1"/>
  <c r="F19" i="7"/>
  <c r="B1807" i="106" s="1"/>
  <c r="D1807" i="106" s="1"/>
  <c r="C41" i="3"/>
  <c r="B93" i="106" s="1"/>
  <c r="D93" i="106" s="1"/>
  <c r="H295" i="29"/>
  <c r="B1454" i="106" s="1"/>
  <c r="D1454" i="106" s="1"/>
  <c r="B4156" i="106"/>
  <c r="D4156" i="106" s="1"/>
  <c r="H172" i="29"/>
  <c r="H174" i="29" s="1"/>
  <c r="B1318" i="106" s="1"/>
  <c r="D1318" i="106" s="1"/>
  <c r="B2823" i="106"/>
  <c r="D2823" i="106" s="1"/>
  <c r="J90" i="28"/>
  <c r="H352" i="29"/>
  <c r="B3656" i="106" s="1"/>
  <c r="D3656" i="106" s="1"/>
  <c r="B3724" i="106"/>
  <c r="D3724" i="106" s="1"/>
  <c r="K168" i="29"/>
  <c r="K172" i="29" s="1"/>
  <c r="K174" i="29" s="1"/>
  <c r="F10" i="34" s="1"/>
  <c r="E102" i="29"/>
  <c r="B2790" i="106" s="1"/>
  <c r="D2790" i="106" s="1"/>
  <c r="J342" i="29"/>
  <c r="B7223" i="106" s="1"/>
  <c r="D7223" i="106" s="1"/>
  <c r="G342" i="29"/>
  <c r="B7220" i="106" s="1"/>
  <c r="D7220" i="106" s="1"/>
  <c r="K137" i="29"/>
  <c r="K84" i="29"/>
  <c r="B79" i="36"/>
  <c r="B77" i="36"/>
  <c r="F173" i="5"/>
  <c r="D18" i="7"/>
  <c r="B4105" i="106" s="1"/>
  <c r="D4105" i="106" s="1"/>
  <c r="K7" i="4"/>
  <c r="B3718" i="106" s="1"/>
  <c r="D3718" i="106" s="1"/>
  <c r="F105" i="34"/>
  <c r="F107" i="34"/>
  <c r="F109" i="5"/>
  <c r="J109" i="5"/>
  <c r="J173" i="5"/>
  <c r="B6014" i="106"/>
  <c r="D6014" i="106" s="1"/>
  <c r="F95" i="34"/>
  <c r="F129" i="34"/>
  <c r="D14" i="7"/>
  <c r="B1770" i="106" s="1"/>
  <c r="D1770" i="106" s="1"/>
  <c r="F5" i="4"/>
  <c r="B3408" i="106" s="1"/>
  <c r="D3408" i="106" s="1"/>
  <c r="C5" i="4"/>
  <c r="B3405" i="106" s="1"/>
  <c r="D3405" i="106" s="1"/>
  <c r="B6840" i="106"/>
  <c r="D6840" i="106" s="1"/>
  <c r="B6839" i="106"/>
  <c r="D6839" i="106" s="1"/>
  <c r="B6838" i="106"/>
  <c r="D6838" i="106" s="1"/>
  <c r="D172"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K342" i="29" s="1"/>
  <c r="F13" i="34" s="1"/>
  <c r="B6893" i="106"/>
  <c r="D6893" i="106" s="1"/>
  <c r="F47" i="34"/>
  <c r="B6877" i="106"/>
  <c r="D6877" i="106" s="1"/>
  <c r="F39" i="34"/>
  <c r="B6216" i="106"/>
  <c r="D6216" i="106" s="1"/>
  <c r="D51" i="36"/>
  <c r="B3703" i="106"/>
  <c r="D3703" i="106" s="1"/>
  <c r="K362" i="29"/>
  <c r="B3676" i="106" s="1"/>
  <c r="D3676" i="106" s="1"/>
  <c r="B3650" i="106"/>
  <c r="D3650" i="106" s="1"/>
  <c r="D352" i="29"/>
  <c r="D367" i="29"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H151" i="29" s="1"/>
  <c r="B1273" i="106" s="1"/>
  <c r="D1273" i="106" s="1"/>
  <c r="B1239" i="106"/>
  <c r="D1239" i="106" s="1"/>
  <c r="E129" i="29"/>
  <c r="B1146" i="106"/>
  <c r="D1146" i="106" s="1"/>
  <c r="K110" i="29"/>
  <c r="B122" i="106"/>
  <c r="D122" i="106" s="1"/>
  <c r="D41" i="3"/>
  <c r="E17" i="145"/>
  <c r="G17" i="145" s="1"/>
  <c r="B1134" i="106"/>
  <c r="D1134" i="106" s="1"/>
  <c r="B7759" i="106"/>
  <c r="D7759" i="106" s="1"/>
  <c r="B1339" i="106"/>
  <c r="D1339" i="106" s="1"/>
  <c r="C210" i="29"/>
  <c r="B1340" i="106" s="1"/>
  <c r="D1340" i="106" s="1"/>
  <c r="B1225" i="106"/>
  <c r="D1225" i="106" s="1"/>
  <c r="C151" i="29"/>
  <c r="B1226" i="106" s="1"/>
  <c r="D1226" i="106" s="1"/>
  <c r="B169" i="106"/>
  <c r="D169" i="106" s="1"/>
  <c r="F41" i="3"/>
  <c r="E16" i="145"/>
  <c r="G16" i="145" s="1"/>
  <c r="B1131" i="106"/>
  <c r="D1131" i="106" s="1"/>
  <c r="L3" i="11"/>
  <c r="B7596" i="106" s="1"/>
  <c r="L9" i="11"/>
  <c r="B7614" i="106" s="1"/>
  <c r="L10" i="11"/>
  <c r="B2058" i="106" s="1"/>
  <c r="D2058" i="106" s="1"/>
  <c r="D10" i="7"/>
  <c r="B1765" i="106" s="1"/>
  <c r="D1765" i="106" s="1"/>
  <c r="D16" i="7"/>
  <c r="B3447" i="106" s="1"/>
  <c r="D3447" i="106" s="1"/>
  <c r="B19" i="7"/>
  <c r="B1759" i="106" s="1"/>
  <c r="D1759" i="106" s="1"/>
  <c r="D8" i="7"/>
  <c r="B1764" i="106" s="1"/>
  <c r="D1764" i="106" s="1"/>
  <c r="B5653" i="106"/>
  <c r="D5653" i="106" s="1"/>
  <c r="F6" i="4"/>
  <c r="B2593" i="106" s="1"/>
  <c r="D2593" i="106" s="1"/>
  <c r="B4435" i="106"/>
  <c r="D4435" i="106" s="1"/>
  <c r="I7" i="4"/>
  <c r="B4444" i="106" s="1"/>
  <c r="D4444" i="106" s="1"/>
  <c r="F273" i="5"/>
  <c r="B5713" i="106" s="1"/>
  <c r="D5713" i="106" s="1"/>
  <c r="B4397" i="106"/>
  <c r="D4397" i="106" s="1"/>
  <c r="B4950" i="106"/>
  <c r="D4950" i="106" s="1"/>
  <c r="H274" i="5"/>
  <c r="H7" i="4" s="1"/>
  <c r="L210" i="29"/>
  <c r="L102" i="29"/>
  <c r="B1121" i="106"/>
  <c r="D1121" i="106" s="1"/>
  <c r="K53" i="29"/>
  <c r="E12" i="145"/>
  <c r="B731" i="106"/>
  <c r="D731" i="106" s="1"/>
  <c r="C74" i="29"/>
  <c r="B755" i="106" s="1"/>
  <c r="D755" i="106" s="1"/>
  <c r="B1116" i="106"/>
  <c r="D1116" i="106" s="1"/>
  <c r="K47" i="29"/>
  <c r="F161" i="34"/>
  <c r="F41" i="108"/>
  <c r="G43" i="108" s="1"/>
  <c r="D41" i="108"/>
  <c r="E43" i="108" s="1"/>
  <c r="B7600" i="106"/>
  <c r="L6" i="11"/>
  <c r="B7605" i="106" s="1"/>
  <c r="A7250" i="106"/>
  <c r="A7251" i="106" s="1"/>
  <c r="A7252" i="106" s="1"/>
  <c r="A7253" i="106" s="1"/>
  <c r="A7254" i="106" s="1"/>
  <c r="A7255" i="106" s="1"/>
  <c r="A7256" i="106" s="1"/>
  <c r="A7257" i="106" s="1"/>
  <c r="D7249" i="106"/>
  <c r="B6022" i="106"/>
  <c r="D6022" i="106" s="1"/>
  <c r="E273" i="5"/>
  <c r="B6835" i="106"/>
  <c r="D6835" i="106" s="1"/>
  <c r="G273" i="5"/>
  <c r="B4398" i="106"/>
  <c r="D4398" i="106" s="1"/>
  <c r="B5537" i="106"/>
  <c r="D5537" i="106" s="1"/>
  <c r="E173" i="5"/>
  <c r="I109" i="5"/>
  <c r="B5527" i="106"/>
  <c r="D5527" i="106" s="1"/>
  <c r="L279" i="29"/>
  <c r="L295" i="29" s="1"/>
  <c r="L74" i="29"/>
  <c r="K33" i="29"/>
  <c r="B720" i="106"/>
  <c r="D720" i="106" s="1"/>
  <c r="L16" i="11"/>
  <c r="B2061" i="106" s="1"/>
  <c r="D2061" i="106" s="1"/>
  <c r="B7618" i="106"/>
  <c r="L14" i="11"/>
  <c r="B7623" i="106" s="1"/>
  <c r="B7230" i="106"/>
  <c r="D7230" i="106" s="1"/>
  <c r="I352" i="29"/>
  <c r="I367" i="29" s="1"/>
  <c r="B7215" i="106"/>
  <c r="D7215" i="106" s="1"/>
  <c r="J16" i="4"/>
  <c r="B6226" i="106" s="1"/>
  <c r="D6226" i="106" s="1"/>
  <c r="B7202" i="106"/>
  <c r="D7202" i="106" s="1"/>
  <c r="F342" i="29"/>
  <c r="B7219" i="106" s="1"/>
  <c r="D7219" i="106" s="1"/>
  <c r="B7503" i="106"/>
  <c r="B7531" i="106"/>
  <c r="B7214" i="106"/>
  <c r="D7214" i="106" s="1"/>
  <c r="B7221" i="106"/>
  <c r="D7221" i="106" s="1"/>
  <c r="B7201" i="106"/>
  <c r="D7201" i="106" s="1"/>
  <c r="E342" i="29"/>
  <c r="B7218" i="106" s="1"/>
  <c r="D7218" i="106" s="1"/>
  <c r="B6917" i="106"/>
  <c r="D6917" i="106" s="1"/>
  <c r="J74" i="29"/>
  <c r="D273" i="5"/>
  <c r="B5501" i="106" s="1"/>
  <c r="D5501" i="106" s="1"/>
  <c r="D7255" i="106"/>
  <c r="D7254" i="106"/>
  <c r="D7248" i="106"/>
  <c r="D7247" i="106"/>
  <c r="D7246" i="106"/>
  <c r="J312" i="29"/>
  <c r="B7117" i="106" s="1"/>
  <c r="D7117" i="106" s="1"/>
  <c r="I312" i="29"/>
  <c r="B7116" i="106" s="1"/>
  <c r="D7116" i="106" s="1"/>
  <c r="J151" i="29"/>
  <c r="B7052" i="106" s="1"/>
  <c r="D7052" i="106" s="1"/>
  <c r="I151" i="29"/>
  <c r="F59" i="34" s="1"/>
  <c r="B6916" i="106"/>
  <c r="D6916" i="106" s="1"/>
  <c r="I74" i="29"/>
  <c r="I49" i="8"/>
  <c r="B3633" i="106"/>
  <c r="D3633" i="106" s="1"/>
  <c r="E352" i="29"/>
  <c r="E367" i="29" s="1"/>
  <c r="B3628" i="106"/>
  <c r="D3628" i="106" s="1"/>
  <c r="B3629" i="106"/>
  <c r="D3629" i="106"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381" i="106"/>
  <c r="D1381" i="106" s="1"/>
  <c r="B1127" i="106"/>
  <c r="D1127" i="106" s="1"/>
  <c r="K65" i="29"/>
  <c r="B1133" i="106" s="1"/>
  <c r="D1133" i="106" s="1"/>
  <c r="B1123" i="106"/>
  <c r="D1123" i="106" s="1"/>
  <c r="K57" i="29"/>
  <c r="B3640" i="106"/>
  <c r="D3640" i="106" s="1"/>
  <c r="F352" i="29"/>
  <c r="F367" i="29" s="1"/>
  <c r="B3622" i="106"/>
  <c r="D3622" i="106" s="1"/>
  <c r="K77" i="4"/>
  <c r="B3587" i="106" s="1"/>
  <c r="D3587" i="106" s="1"/>
  <c r="B3296" i="106"/>
  <c r="D3296" i="106" s="1"/>
  <c r="H77" i="4"/>
  <c r="B3299" i="106" s="1"/>
  <c r="D3299"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1328" i="106"/>
  <c r="D1328" i="106" s="1"/>
  <c r="B2986" i="106"/>
  <c r="D2986" i="106" s="1"/>
  <c r="B1256" i="106"/>
  <c r="D1256" i="106" s="1"/>
  <c r="G129" i="29"/>
  <c r="K100" i="29"/>
  <c r="B7013" i="106" s="1"/>
  <c r="D7013" i="106" s="1"/>
  <c r="B2088" i="106"/>
  <c r="D2088"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J19" i="145"/>
  <c r="D82" i="36" s="1"/>
  <c r="L151" i="29"/>
  <c r="C273" i="5"/>
  <c r="J24" i="12"/>
  <c r="B7730" i="106"/>
  <c r="D7730" i="106" s="1"/>
  <c r="J7" i="4"/>
  <c r="B2657" i="106"/>
  <c r="D2657" i="106" s="1"/>
  <c r="D274" i="5"/>
  <c r="B7270" i="106"/>
  <c r="B5914" i="106" l="1"/>
  <c r="D5914" i="106" s="1"/>
  <c r="B1266" i="106"/>
  <c r="D1266" i="106" s="1"/>
  <c r="D7256" i="106"/>
  <c r="D7251" i="106"/>
  <c r="I6" i="4"/>
  <c r="B5011" i="106" s="1"/>
  <c r="D5011" i="106" s="1"/>
  <c r="K365" i="29"/>
  <c r="K367" i="29" s="1"/>
  <c r="D7253" i="106"/>
  <c r="G173" i="5"/>
  <c r="B5770" i="106"/>
  <c r="D5770" i="106" s="1"/>
  <c r="B3670" i="106"/>
  <c r="D3670" i="106" s="1"/>
  <c r="K352" i="29"/>
  <c r="D7250" i="106"/>
  <c r="D7252" i="106"/>
  <c r="F274" i="5"/>
  <c r="B5719" i="106" s="1"/>
  <c r="D5719" i="106" s="1"/>
  <c r="H367" i="29"/>
  <c r="B3660" i="106" s="1"/>
  <c r="D3660" i="106" s="1"/>
  <c r="H275" i="5"/>
  <c r="B1365" i="106"/>
  <c r="D1365" i="106" s="1"/>
  <c r="F65" i="34"/>
  <c r="I26" i="12"/>
  <c r="B7741" i="106" s="1"/>
  <c r="D7741" i="106" s="1"/>
  <c r="B1996" i="106"/>
  <c r="D1996" i="106" s="1"/>
  <c r="N23" i="3"/>
  <c r="B284" i="106" s="1"/>
  <c r="D284" i="106" s="1"/>
  <c r="L114" i="29"/>
  <c r="B6025" i="106"/>
  <c r="D6025" i="106" s="1"/>
  <c r="H4" i="4"/>
  <c r="D19" i="7"/>
  <c r="B1775" i="106" s="1"/>
  <c r="D1775" i="106" s="1"/>
  <c r="B6024" i="106"/>
  <c r="D6024" i="106" s="1"/>
  <c r="G4" i="4"/>
  <c r="B2603" i="106" s="1"/>
  <c r="D2603" i="106" s="1"/>
  <c r="B1317" i="106"/>
  <c r="D1317" i="106" s="1"/>
  <c r="D4" i="4"/>
  <c r="B2564" i="106" s="1"/>
  <c r="D2564" i="106" s="1"/>
  <c r="C114" i="29"/>
  <c r="B757" i="106" s="1"/>
  <c r="D757" i="106" s="1"/>
  <c r="C173" i="5"/>
  <c r="C4" i="4"/>
  <c r="B2551" i="106" s="1"/>
  <c r="D2551" i="106" s="1"/>
  <c r="D44" i="36"/>
  <c r="B7760" i="106"/>
  <c r="D7760" i="106" s="1"/>
  <c r="D24" i="36"/>
  <c r="F178" i="34"/>
  <c r="K102" i="29"/>
  <c r="F53" i="34" s="1"/>
  <c r="B171" i="106"/>
  <c r="D171" i="106" s="1"/>
  <c r="D47" i="36"/>
  <c r="B1515" i="106"/>
  <c r="D1515" i="106" s="1"/>
  <c r="G16" i="4"/>
  <c r="B2611" i="106" s="1"/>
  <c r="D2611" i="106" s="1"/>
  <c r="B2913" i="106"/>
  <c r="D2913" i="106" s="1"/>
  <c r="D50" i="36"/>
  <c r="B3318" i="106"/>
  <c r="D3318" i="106" s="1"/>
  <c r="I77" i="4"/>
  <c r="B3319" i="106" s="1"/>
  <c r="D3319" i="106" s="1"/>
  <c r="B3674" i="106"/>
  <c r="D3674" i="106" s="1"/>
  <c r="B3573" i="106"/>
  <c r="D3573" i="106" s="1"/>
  <c r="K4" i="4"/>
  <c r="B6028" i="106"/>
  <c r="D6028" i="106" s="1"/>
  <c r="D173" i="5"/>
  <c r="D275" i="5" s="1"/>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75" i="5"/>
  <c r="K275" i="5"/>
  <c r="B6023" i="106" s="1"/>
  <c r="D6023" i="106" s="1"/>
  <c r="B5320" i="106"/>
  <c r="D5320" i="106" s="1"/>
  <c r="C274"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F24" i="37" s="1"/>
  <c r="B1983" i="106"/>
  <c r="D1983" i="106" s="1"/>
  <c r="H26" i="12"/>
  <c r="B7740" i="106" s="1"/>
  <c r="D7740" i="106" s="1"/>
  <c r="B3274" i="106"/>
  <c r="D3274" i="106" s="1"/>
  <c r="E77" i="4"/>
  <c r="B3277" i="106" s="1"/>
  <c r="D3277" i="106" s="1"/>
  <c r="B6977" i="106"/>
  <c r="D6977" i="106" s="1"/>
  <c r="I114" i="29"/>
  <c r="B7051" i="106"/>
  <c r="D7051" i="106" s="1"/>
  <c r="B6026" i="106"/>
  <c r="D6026" i="106" s="1"/>
  <c r="I4" i="4"/>
  <c r="I275" i="5"/>
  <c r="B5946" i="106" s="1"/>
  <c r="D5946" i="106" s="1"/>
  <c r="G274" i="5"/>
  <c r="B5863" i="106"/>
  <c r="D5863" i="106" s="1"/>
  <c r="B7747" i="106"/>
  <c r="D7747" i="106" s="1"/>
  <c r="E274" i="5"/>
  <c r="J17" i="4"/>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16" i="4"/>
  <c r="K279" i="29"/>
  <c r="B1481" i="106"/>
  <c r="D1481" i="106" s="1"/>
  <c r="B2102" i="106"/>
  <c r="D2102" i="106" s="1"/>
  <c r="H15" i="4"/>
  <c r="B2660" i="106" s="1"/>
  <c r="D2660" i="106" s="1"/>
  <c r="B3636" i="106"/>
  <c r="D3636" i="106" s="1"/>
  <c r="B3635" i="106"/>
  <c r="D3635" i="106" s="1"/>
  <c r="B4171" i="106"/>
  <c r="D4171" i="106" s="1"/>
  <c r="N36" i="3"/>
  <c r="J114" i="29"/>
  <c r="B7021" i="106" s="1"/>
  <c r="D7021" i="106" s="1"/>
  <c r="B6978" i="106"/>
  <c r="D6978" i="106" s="1"/>
  <c r="B7224" i="106"/>
  <c r="D7224" i="106" s="1"/>
  <c r="B7244" i="106"/>
  <c r="D7244" i="106" s="1"/>
  <c r="B7234" i="106"/>
  <c r="D7234" i="106" s="1"/>
  <c r="B1108" i="106"/>
  <c r="D1108" i="106" s="1"/>
  <c r="E19" i="108"/>
  <c r="C12" i="4"/>
  <c r="G19" i="108"/>
  <c r="B5544" i="106"/>
  <c r="D5544" i="106" s="1"/>
  <c r="E6" i="4"/>
  <c r="G22" i="108"/>
  <c r="B1119" i="106"/>
  <c r="D1119" i="106" s="1"/>
  <c r="E22" i="108"/>
  <c r="G12" i="145"/>
  <c r="G19" i="145" s="1"/>
  <c r="J20" i="145" s="1"/>
  <c r="E19" i="145"/>
  <c r="B5915" i="106"/>
  <c r="D5915" i="106" s="1"/>
  <c r="B6222" i="106"/>
  <c r="D6222" i="106" s="1"/>
  <c r="J8" i="4"/>
  <c r="D7" i="4"/>
  <c r="B5507" i="106"/>
  <c r="D5507" i="106" s="1"/>
  <c r="B7298" i="106"/>
  <c r="B7299" i="106"/>
  <c r="F7" i="4" l="1"/>
  <c r="B2594" i="106" s="1"/>
  <c r="D2594" i="106" s="1"/>
  <c r="B5778" i="106"/>
  <c r="D5778" i="106" s="1"/>
  <c r="G6" i="4"/>
  <c r="B2604" i="106" s="1"/>
  <c r="D2604" i="106" s="1"/>
  <c r="B7243" i="106"/>
  <c r="D7243" i="106" s="1"/>
  <c r="F275" i="5"/>
  <c r="B5720" i="106" s="1"/>
  <c r="D5720" i="106" s="1"/>
  <c r="K13" i="4"/>
  <c r="B3572" i="106" s="1"/>
  <c r="D3572" i="106" s="1"/>
  <c r="B3672" i="106"/>
  <c r="D3672" i="106" s="1"/>
  <c r="B1145" i="106"/>
  <c r="D1145" i="106" s="1"/>
  <c r="B2655" i="106"/>
  <c r="D2655" i="106" s="1"/>
  <c r="H8" i="4"/>
  <c r="F8" i="4"/>
  <c r="B2595" i="106" s="1"/>
  <c r="D2595" i="106" s="1"/>
  <c r="E41" i="108"/>
  <c r="E44" i="108" s="1"/>
  <c r="E45" i="108" s="1"/>
  <c r="G41" i="108"/>
  <c r="G44" i="108" s="1"/>
  <c r="G45" i="108" s="1"/>
  <c r="B5223" i="106"/>
  <c r="D5223" i="106" s="1"/>
  <c r="C6" i="4"/>
  <c r="B2553" i="106" s="1"/>
  <c r="D2553" i="106"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75" i="5"/>
  <c r="K151" i="29"/>
  <c r="B1281" i="106"/>
  <c r="D1281" i="106" s="1"/>
  <c r="D13" i="4"/>
  <c r="B2634" i="106"/>
  <c r="D2634" i="106" s="1"/>
  <c r="E17" i="4"/>
  <c r="B1332" i="106"/>
  <c r="D1332" i="106" s="1"/>
  <c r="B1259" i="106"/>
  <c r="D1259" i="106" s="1"/>
  <c r="B989" i="106"/>
  <c r="D989" i="106" s="1"/>
  <c r="F54" i="34"/>
  <c r="C275" i="5"/>
  <c r="B5326" i="106"/>
  <c r="D5326" i="106" s="1"/>
  <c r="C7" i="4"/>
  <c r="H37" i="37"/>
  <c r="B285" i="106"/>
  <c r="D285" i="106" s="1"/>
  <c r="N37" i="3"/>
  <c r="B3678" i="106"/>
  <c r="D3678" i="106" s="1"/>
  <c r="K368" i="29"/>
  <c r="B3681" i="106" s="1"/>
  <c r="D3681" i="106" s="1"/>
  <c r="B1510" i="106"/>
  <c r="D1510" i="106" s="1"/>
  <c r="K295" i="29"/>
  <c r="F12" i="34" s="1"/>
  <c r="G13" i="4"/>
  <c r="K17" i="4"/>
  <c r="B3574" i="106"/>
  <c r="D3574" i="106" s="1"/>
  <c r="B1282" i="106"/>
  <c r="D1282" i="106" s="1"/>
  <c r="D15" i="4"/>
  <c r="B2571" i="106" s="1"/>
  <c r="D2571" i="106" s="1"/>
  <c r="J19" i="4"/>
  <c r="B6229" i="106" s="1"/>
  <c r="D6229" i="106" s="1"/>
  <c r="B6227" i="106"/>
  <c r="D6227" i="106" s="1"/>
  <c r="B5869" i="106"/>
  <c r="D5869" i="106" s="1"/>
  <c r="G275"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J20" i="4"/>
  <c r="J10" i="4"/>
  <c r="B6225" i="106" s="1"/>
  <c r="D6225" i="106" s="1"/>
  <c r="B6223" i="106"/>
  <c r="D6223" i="106" s="1"/>
  <c r="B5508" i="106"/>
  <c r="D5508" i="106" s="1"/>
  <c r="B2567" i="106"/>
  <c r="D2567" i="106" s="1"/>
  <c r="D8" i="4" l="1"/>
  <c r="H10" i="4"/>
  <c r="B4127" i="106" s="1"/>
  <c r="D4127" i="106" s="1"/>
  <c r="B2658" i="106"/>
  <c r="D2658" i="106" s="1"/>
  <c r="F10" i="4"/>
  <c r="B4125" i="106" s="1"/>
  <c r="D4125" i="106" s="1"/>
  <c r="D8" i="146"/>
  <c r="F76" i="34"/>
  <c r="D10" i="171"/>
  <c r="D19" i="171" s="1"/>
  <c r="D32" i="171" s="1"/>
  <c r="D49" i="171"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3575" i="106"/>
  <c r="D3575" i="106" s="1"/>
  <c r="K19" i="4"/>
  <c r="B4144" i="106" s="1"/>
  <c r="D4144" i="106" s="1"/>
  <c r="K20" i="4"/>
  <c r="B1517" i="106"/>
  <c r="D1517" i="106" s="1"/>
  <c r="N41" i="3"/>
  <c r="B287" i="106"/>
  <c r="D287" i="106" s="1"/>
  <c r="B4997" i="106"/>
  <c r="D4997" i="106" s="1"/>
  <c r="H32" i="118"/>
  <c r="K32" i="118" s="1"/>
  <c r="O31" i="118" s="1"/>
  <c r="O33" i="118" s="1"/>
  <c r="E19" i="4"/>
  <c r="B4138" i="106" s="1"/>
  <c r="D4138" i="106" s="1"/>
  <c r="B2635" i="106"/>
  <c r="D2635" i="106" s="1"/>
  <c r="B2569" i="106"/>
  <c r="D2569" i="106" s="1"/>
  <c r="D17" i="4"/>
  <c r="D20" i="4" s="1"/>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H13" i="118" s="1"/>
  <c r="B5327" i="106"/>
  <c r="D5327" i="106" s="1"/>
  <c r="K115" i="29"/>
  <c r="B1153" i="106" s="1"/>
  <c r="D1153" i="106" s="1"/>
  <c r="B5552" i="106"/>
  <c r="D5552" i="106" s="1"/>
  <c r="K175" i="29"/>
  <c r="B1333" i="106" s="1"/>
  <c r="D1333" i="106" s="1"/>
  <c r="A7260" i="106"/>
  <c r="D7259" i="106"/>
  <c r="E8" i="4"/>
  <c r="B6230" i="106"/>
  <c r="D6230" i="106" s="1"/>
  <c r="J78" i="4"/>
  <c r="C8" i="146"/>
  <c r="D10" i="4"/>
  <c r="B4123" i="106" s="1"/>
  <c r="D4123" i="106" s="1"/>
  <c r="B2568" i="106"/>
  <c r="D2568" i="106" s="1"/>
  <c r="F14" i="34" l="1"/>
  <c r="F77" i="34" s="1"/>
  <c r="H18" i="118"/>
  <c r="C10" i="4"/>
  <c r="B4122" i="106" s="1"/>
  <c r="D4122" i="106" s="1"/>
  <c r="B8" i="146"/>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K78" i="4"/>
  <c r="B3576" i="106"/>
  <c r="D3576" i="106" s="1"/>
  <c r="J81" i="4"/>
  <c r="B6263" i="106"/>
  <c r="D6263" i="106" s="1"/>
  <c r="D78" i="4"/>
  <c r="B2574" i="106"/>
  <c r="D2574" i="106" s="1"/>
  <c r="F8" i="146"/>
  <c r="F179" i="34" l="1"/>
  <c r="F79" i="34"/>
  <c r="B3588" i="106"/>
  <c r="D3588" i="106" s="1"/>
  <c r="K81" i="4"/>
  <c r="F78" i="4"/>
  <c r="B2601" i="106"/>
  <c r="D2601" i="106" s="1"/>
  <c r="B3320" i="106"/>
  <c r="D3320" i="106" s="1"/>
  <c r="I81" i="4"/>
  <c r="K17" i="118"/>
  <c r="B3300" i="106"/>
  <c r="D3300" i="106" s="1"/>
  <c r="H81" i="4"/>
  <c r="B7631" i="106"/>
  <c r="F180" i="34"/>
  <c r="F181" i="34" s="1"/>
  <c r="F183" i="34" s="1"/>
  <c r="A7262" i="106"/>
  <c r="D7261" i="106"/>
  <c r="H16" i="37"/>
  <c r="G78" i="4"/>
  <c r="B2613" i="106"/>
  <c r="D2613" i="106" s="1"/>
  <c r="B2562" i="106"/>
  <c r="D2562" i="106" s="1"/>
  <c r="C78" i="4"/>
  <c r="B10" i="146"/>
  <c r="F9" i="146"/>
  <c r="F10" i="146" s="1"/>
  <c r="E78" i="4"/>
  <c r="B2636" i="106"/>
  <c r="D2636" i="106" s="1"/>
  <c r="D64" i="36"/>
  <c r="J82" i="4"/>
  <c r="B6266" i="106"/>
  <c r="D6266" i="106" s="1"/>
  <c r="D81" i="4"/>
  <c r="B3239" i="106"/>
  <c r="D3239" i="106" s="1"/>
  <c r="B3278" i="106" l="1"/>
  <c r="D3278" i="106" s="1"/>
  <c r="E81" i="4"/>
  <c r="B3233" i="106"/>
  <c r="D3233" i="106" s="1"/>
  <c r="C81" i="4"/>
  <c r="A7263" i="106"/>
  <c r="D7262" i="106"/>
  <c r="B1700" i="106"/>
  <c r="D1700" i="106" s="1"/>
  <c r="H82" i="4"/>
  <c r="D62" i="36"/>
  <c r="J20" i="118"/>
  <c r="O16" i="118"/>
  <c r="K20"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J16" i="37" l="1"/>
  <c r="B4269" i="106" s="1"/>
  <c r="D4269" i="106" s="1"/>
  <c r="H12" i="118"/>
  <c r="K12" i="118" s="1"/>
  <c r="O11" i="118" s="1"/>
  <c r="O13" i="118" s="1"/>
  <c r="O17" i="118"/>
  <c r="O20"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35" i="118" l="1"/>
  <c r="O37" i="118"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D29" i="36" l="1"/>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authors>
    <author>ckolaz</author>
  </authors>
  <commentList>
    <comment ref="A4" authorId="0" shapeId="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authors>
    <author>ckolaz</author>
    <author>rturek</author>
    <author>Debra hemberger</author>
  </authors>
  <commentList>
    <comment ref="A9"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text>
        <r>
          <rPr>
            <sz val="8"/>
            <color indexed="81"/>
            <rFont val="Tahoma"/>
            <family val="2"/>
          </rPr>
          <t xml:space="preserve">Equals Line 8 minus Line 17
</t>
        </r>
      </text>
    </comment>
    <comment ref="A24"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text>
        <r>
          <rPr>
            <sz val="8"/>
            <color indexed="81"/>
            <rFont val="Tahoma"/>
            <family val="2"/>
          </rPr>
          <t xml:space="preserve">Requires notification to the county clerk to abate an equal amount from taxes next extended. See Section 17-2.11 for limited transfer to O&amp;M
</t>
        </r>
      </text>
    </comment>
    <comment ref="A31" authorId="0" shapeId="0">
      <text>
        <r>
          <rPr>
            <sz val="8"/>
            <color indexed="81"/>
            <rFont val="Tahoma"/>
            <family val="2"/>
          </rPr>
          <t xml:space="preserve">Requires notification to the county clerk to abate an equal amount from taxes next extended.
</t>
        </r>
      </text>
    </comment>
    <comment ref="A36" authorId="0" shapeId="0">
      <text>
        <r>
          <rPr>
            <sz val="8"/>
            <color indexed="81"/>
            <rFont val="Tahoma"/>
            <family val="2"/>
          </rPr>
          <t xml:space="preserve">Use of proceeds from the sale of school sites buildings, or other real estate is limited.  See Sections 5-22 and 10-22.8 of the School Code.
</t>
        </r>
      </text>
    </comment>
    <comment ref="A47"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authors>
    <author>dhemberg</author>
    <author>ckolaz</author>
  </authors>
  <commentList>
    <comment ref="A5" authorId="0" shapeId="0">
      <text>
        <r>
          <rPr>
            <sz val="8"/>
            <color indexed="81"/>
            <rFont val="Arial"/>
            <family val="2"/>
          </rPr>
          <t xml:space="preserve"> Include revenue accounts 1110 through 1115, 1117, 1118 &amp; 1120</t>
        </r>
      </text>
    </comment>
    <comment ref="A6" authorId="1" shapeId="0">
      <text>
        <r>
          <rPr>
            <sz val="8"/>
            <color indexed="81"/>
            <rFont val="Tahoma"/>
            <family val="2"/>
          </rPr>
          <t>Educational Fund (10) - Computer Technology only.</t>
        </r>
      </text>
    </comment>
    <comment ref="A16" authorId="0" shapeId="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authors>
    <author>dhemberg</author>
    <author>ckolaz</author>
    <author>DHemberger</author>
  </authors>
  <commentList>
    <comment ref="A33" authorId="0" shapeId="0">
      <text>
        <r>
          <rPr>
            <sz val="8"/>
            <color indexed="81"/>
            <rFont val="Arial"/>
            <family val="2"/>
          </rPr>
          <t>Include only tuition payments made to private facilities.  See Function 4100 for public facility disbursements/expenditures.</t>
        </r>
      </text>
    </comment>
    <comment ref="A170"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<sst xmlns="http://schemas.openxmlformats.org/spreadsheetml/2006/main" count="5247" uniqueCount="2187">
  <si>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</si>
  <si>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</si>
  <si>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</si>
  <si>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</si>
  <si>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</si>
  <si>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</si>
  <si>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</si>
  <si>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</si>
  <si>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</si>
  <si>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</si>
  <si>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</si>
  <si>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</si>
  <si>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</si>
  <si>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</si>
  <si>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</si>
  <si>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</si>
  <si>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</si>
  <si>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</si>
  <si>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</si>
  <si>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</si>
  <si>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</si>
  <si>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</si>
  <si>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</si>
  <si>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</si>
  <si>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</si>
  <si>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</si>
  <si>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</si>
  <si>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</si>
  <si>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</si>
  <si>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</si>
  <si>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</si>
  <si>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</si>
  <si>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</si>
  <si>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</si>
  <si>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</si>
  <si>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</si>
  <si>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</si>
  <si>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</si>
  <si>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</si>
  <si>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Reading Improvement Block Grant</t>
  </si>
  <si>
    <t>Reading Improvement Block Grant - Reading Recovery</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</si>
  <si>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</si>
  <si>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</si>
  <si>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</si>
  <si>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</si>
  <si>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</si>
  <si>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</si>
  <si>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</si>
  <si>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</si>
  <si>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</si>
  <si>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</si>
  <si>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</si>
  <si>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</si>
  <si>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</si>
  <si>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</si>
  <si>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</si>
  <si>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</si>
  <si>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</si>
  <si>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</si>
  <si>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</si>
  <si>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</si>
  <si>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</si>
  <si>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</si>
  <si>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</si>
  <si>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</si>
  <si>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</si>
  <si>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</si>
  <si>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</si>
  <si>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</si>
  <si>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</si>
  <si>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</si>
  <si>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</si>
  <si>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</si>
  <si>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</si>
  <si>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</si>
  <si>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</si>
  <si>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</si>
  <si>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</si>
  <si>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</si>
  <si>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</si>
  <si>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</si>
  <si>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</si>
  <si>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</si>
  <si>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</si>
  <si>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</si>
  <si>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</si>
  <si>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</si>
  <si>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</si>
  <si>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</si>
  <si>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</si>
  <si>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</si>
  <si>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</si>
  <si>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</si>
  <si>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</si>
  <si>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</si>
  <si>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</si>
  <si>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</si>
  <si>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</si>
  <si>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</si>
  <si>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</si>
  <si>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</si>
  <si>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</si>
  <si>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</si>
  <si>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</si>
  <si>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</si>
  <si>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</si>
  <si>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</si>
  <si>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</si>
  <si>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</si>
  <si>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</si>
  <si>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</si>
  <si>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</si>
  <si>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</si>
  <si>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</si>
  <si>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</si>
  <si>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</si>
  <si>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</si>
  <si>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</si>
  <si>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</si>
  <si>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</si>
  <si>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</si>
  <si>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</si>
  <si>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</si>
  <si>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</si>
  <si>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</si>
  <si>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</si>
  <si>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</si>
  <si>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</si>
  <si>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</si>
  <si>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</si>
  <si>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</si>
  <si>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</si>
  <si>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</si>
  <si>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</si>
  <si>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</si>
  <si>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</si>
  <si>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</si>
  <si>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</si>
  <si>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</si>
  <si>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</si>
  <si>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</si>
  <si>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</si>
  <si>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</si>
  <si>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</si>
  <si>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</si>
  <si>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</si>
  <si>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</si>
  <si>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</si>
  <si>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</si>
  <si>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</si>
  <si>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</si>
  <si>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</si>
  <si>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</si>
  <si>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</si>
  <si>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</si>
  <si>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</si>
  <si>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</si>
  <si>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</si>
  <si>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</si>
  <si>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</si>
  <si>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</si>
  <si>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</si>
  <si>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</si>
  <si>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</si>
  <si>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</si>
  <si>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</si>
  <si>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</si>
  <si>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</si>
  <si>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</si>
  <si>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</si>
  <si>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</si>
  <si>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</si>
  <si>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</si>
  <si>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</si>
  <si>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</si>
  <si>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</si>
  <si>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</si>
  <si>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</si>
  <si>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</si>
  <si>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</si>
  <si>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</si>
  <si>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</si>
  <si>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</si>
  <si>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</si>
  <si>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</si>
  <si>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L159, Col C,F,G</t>
  </si>
  <si>
    <t>Revenues 9-14, L160, Col C,F,G</t>
  </si>
  <si>
    <t>Revenues 9-14, L161, Col C,F,G</t>
  </si>
  <si>
    <t>Revenues 9-14, L163, Col C,D,F,G</t>
  </si>
  <si>
    <t>Revenues 9-14, L165, Col C,D,E,F,G</t>
  </si>
  <si>
    <t>Revenues 9-14, L220, Col C,D,F,G</t>
  </si>
  <si>
    <t>Revenues 9-14, L221, Col C,D,F,G</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</si>
  <si>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</si>
  <si>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</si>
  <si>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</si>
  <si>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</si>
  <si>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</si>
  <si>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</si>
  <si>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</si>
  <si>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</si>
  <si>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</si>
  <si>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</si>
  <si>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</si>
  <si>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</si>
  <si>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</si>
  <si>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</si>
  <si>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</si>
  <si>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</si>
  <si>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</si>
  <si>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</si>
  <si>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</si>
  <si>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</si>
  <si>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</si>
  <si>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</si>
  <si>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</si>
  <si>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</si>
  <si>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</si>
  <si>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</si>
  <si>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</si>
  <si>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</si>
  <si>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Revenue L233, Col C,D,E,F,G,J</t>
  </si>
  <si>
    <t>4855</t>
  </si>
  <si>
    <t>Revenue L234, Col C,D,E,F,G,J</t>
  </si>
  <si>
    <t>4856</t>
  </si>
  <si>
    <t>Revenue L235, Col C,D,E,F,G,J</t>
  </si>
  <si>
    <t>4857</t>
  </si>
  <si>
    <t>Revenue L236, Col C,D,E,F,G,J</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</si>
  <si>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</si>
  <si>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</si>
  <si>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</si>
  <si>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</si>
  <si>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</si>
  <si>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</si>
  <si>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</si>
  <si>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</si>
  <si>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</si>
  <si>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</si>
  <si>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</si>
  <si>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</si>
  <si>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</si>
  <si>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</si>
  <si>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</si>
  <si>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</si>
  <si>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</si>
  <si>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</si>
  <si>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</si>
  <si>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Revenue L252, Col C,D,E,F,G,J</t>
  </si>
  <si>
    <t>4876</t>
  </si>
  <si>
    <t>Revenue L253, Col C,D,E,F,G,J</t>
  </si>
  <si>
    <t>4877</t>
  </si>
  <si>
    <t>Revenue L254, Col C,D,E,F,G,J</t>
  </si>
  <si>
    <t>4878</t>
  </si>
  <si>
    <t>Revenue L255, Col C,D,E,F,G,J</t>
  </si>
  <si>
    <t>4879</t>
  </si>
  <si>
    <t>Revenue L256, Col C,D,E,F,G,J</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</si>
  <si>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</si>
  <si>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</si>
  <si>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</si>
  <si>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</si>
  <si>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</si>
  <si>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</si>
  <si>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</si>
  <si>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</si>
  <si>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</si>
  <si>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</si>
  <si>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</si>
  <si>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</si>
  <si>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</si>
  <si>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</si>
  <si>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</si>
  <si>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</si>
  <si>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</si>
  <si>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</si>
  <si>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</si>
  <si>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</si>
  <si>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</si>
  <si>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</si>
  <si>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</si>
  <si>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</si>
  <si>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</si>
  <si>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</si>
  <si>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</si>
  <si>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</si>
  <si>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</si>
  <si>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</si>
  <si>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</si>
  <si>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</si>
  <si>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</si>
  <si>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</si>
  <si>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</si>
  <si>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</si>
  <si>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</si>
  <si>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</si>
  <si>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</si>
  <si>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</si>
  <si>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</si>
  <si>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</si>
  <si>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</si>
  <si>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</si>
  <si>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</si>
  <si>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</si>
  <si>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</si>
  <si>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</si>
  <si>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</si>
  <si>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</si>
  <si>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</si>
  <si>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</si>
  <si>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</si>
  <si>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</si>
  <si>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</si>
  <si>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</si>
  <si>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</si>
  <si>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</si>
  <si>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</si>
  <si>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</si>
  <si>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</si>
  <si>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</si>
  <si>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</si>
  <si>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</si>
  <si>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</si>
  <si>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</si>
  <si>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</si>
  <si>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</si>
  <si>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</si>
  <si>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</si>
  <si>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</si>
  <si>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</si>
  <si>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</si>
  <si>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</si>
  <si>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</si>
  <si>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</si>
  <si>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</si>
  <si>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</si>
  <si>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</si>
  <si>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</si>
  <si>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</si>
  <si>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</si>
  <si>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</si>
  <si>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</si>
  <si>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</si>
  <si>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</si>
  <si>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</si>
  <si>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</si>
  <si>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</si>
  <si>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</si>
  <si>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</si>
  <si>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</si>
  <si>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</si>
  <si>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</si>
  <si>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</si>
  <si>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</si>
  <si>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</si>
  <si>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</si>
  <si>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</si>
  <si>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</si>
  <si>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</si>
  <si>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</si>
  <si>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</si>
  <si>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</si>
  <si>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</si>
  <si>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</si>
  <si>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</si>
  <si>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</si>
  <si>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</si>
  <si>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</si>
  <si>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</si>
  <si>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</si>
  <si>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</si>
  <si>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</si>
  <si>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</si>
  <si>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</si>
  <si>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</si>
  <si>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</si>
  <si>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</si>
  <si>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</si>
  <si>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</si>
  <si>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</si>
  <si>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</si>
  <si>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</si>
  <si>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</si>
  <si>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</si>
  <si>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</si>
  <si>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</si>
  <si>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</si>
  <si>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</si>
  <si>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</si>
  <si>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</si>
  <si>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</si>
  <si>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</si>
  <si>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</si>
  <si>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</si>
  <si>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</si>
  <si>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</si>
  <si>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</si>
  <si>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</si>
  <si>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</si>
  <si>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</si>
  <si>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</si>
  <si>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</si>
  <si>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</si>
  <si>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</si>
  <si>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</si>
  <si>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</si>
  <si>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</si>
  <si>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</si>
  <si>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</si>
  <si>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</si>
  <si>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</si>
  <si>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</si>
  <si>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</si>
  <si>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</si>
  <si>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</si>
  <si>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</si>
  <si>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</si>
  <si>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</si>
  <si>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Continued Reading Improvement Block Grant</t>
  </si>
  <si>
    <t>Continued Reading Improvement Block Grant (2% Set Aside)</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</si>
  <si>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</si>
  <si>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</si>
  <si>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</si>
  <si>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</si>
  <si>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</si>
  <si>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</si>
  <si>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</si>
  <si>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</si>
  <si>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</si>
  <si>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</si>
  <si>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</si>
  <si>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</si>
  <si>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</si>
  <si>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</si>
  <si>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</si>
  <si>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</si>
  <si>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</si>
  <si>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</si>
  <si>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</si>
  <si>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</si>
  <si>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</si>
  <si>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</si>
  <si>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</si>
  <si>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</si>
  <si>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</si>
  <si>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</si>
  <si>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</si>
  <si>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</si>
  <si>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</si>
  <si>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</si>
  <si>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</si>
  <si>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</si>
  <si>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</si>
  <si>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</si>
  <si>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</si>
  <si>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</si>
  <si>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</si>
  <si>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</si>
  <si>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</si>
  <si>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</si>
  <si>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</si>
  <si>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</si>
  <si>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</si>
  <si>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</si>
  <si>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</si>
  <si>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</si>
  <si>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</si>
  <si>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</si>
  <si>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</si>
  <si>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</si>
  <si>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</si>
  <si>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</si>
  <si>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</si>
  <si>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</si>
  <si>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</si>
  <si>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</si>
  <si>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</si>
  <si>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</si>
  <si>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</si>
  <si>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</si>
  <si>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</si>
  <si>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</si>
  <si>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</si>
  <si>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</si>
  <si>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</si>
  <si>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</si>
  <si>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</si>
  <si>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</si>
  <si>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</si>
  <si>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</si>
  <si>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</si>
  <si>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</si>
  <si>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</si>
  <si>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</si>
  <si>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</si>
  <si>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</si>
  <si>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</si>
  <si>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</si>
  <si>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Total Indirect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</si>
  <si>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</si>
  <si>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</si>
  <si>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</si>
  <si>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</si>
  <si>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</si>
  <si>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</si>
  <si>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</si>
  <si>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</si>
  <si>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</si>
  <si>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</si>
  <si>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</si>
  <si>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</si>
  <si>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</si>
  <si>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</si>
  <si>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</si>
  <si>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</si>
  <si>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</si>
  <si>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</si>
  <si>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</si>
  <si>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</si>
  <si>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</si>
  <si>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</si>
  <si>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</si>
  <si>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</si>
  <si>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</si>
  <si>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</si>
  <si>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</si>
  <si>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</si>
  <si>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</si>
  <si>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</si>
  <si>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</si>
  <si>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</si>
  <si>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</si>
  <si>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</si>
  <si>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</si>
  <si>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</si>
  <si>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</si>
  <si>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</si>
  <si>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</si>
  <si>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</si>
  <si>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</si>
  <si>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</si>
  <si>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</si>
  <si>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</si>
  <si>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</si>
  <si>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</si>
  <si>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</si>
  <si>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</si>
  <si>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</si>
  <si>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</si>
  <si>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</si>
  <si>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</si>
  <si>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</si>
  <si>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</si>
  <si>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</si>
  <si>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</si>
  <si>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</si>
  <si>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</si>
  <si>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</si>
  <si>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</si>
  <si>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</si>
  <si>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</si>
  <si>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</si>
  <si>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</si>
  <si>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</si>
  <si>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</si>
  <si>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</si>
  <si>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</si>
  <si>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</si>
  <si>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</si>
  <si>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</si>
  <si>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</si>
  <si>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</si>
  <si>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</si>
  <si>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</si>
  <si>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</si>
  <si>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</si>
  <si>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</si>
  <si>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</si>
  <si>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</si>
  <si>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</si>
  <si>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</si>
  <si>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</si>
  <si>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</si>
  <si>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</si>
  <si>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</si>
  <si>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</si>
  <si>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</si>
  <si>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</si>
  <si>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</si>
  <si>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</si>
  <si>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</si>
  <si>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</si>
  <si>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</si>
  <si>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</si>
  <si>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</si>
  <si>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</si>
  <si>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</si>
  <si>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</si>
  <si>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</si>
  <si>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</si>
  <si>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</si>
  <si>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</si>
  <si>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</si>
  <si>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</si>
  <si>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</si>
  <si>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</si>
  <si>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</si>
  <si>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</si>
  <si>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</si>
  <si>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</si>
  <si>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</si>
  <si>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</si>
  <si>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</si>
  <si>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</si>
  <si>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</si>
  <si>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</si>
  <si>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</si>
  <si>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</si>
  <si>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</si>
  <si>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</si>
  <si>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</si>
  <si>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</si>
  <si>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</si>
  <si>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</si>
  <si>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</si>
  <si>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</si>
  <si>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</si>
  <si>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</si>
  <si>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</si>
  <si>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</si>
  <si>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</si>
  <si>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</si>
  <si>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</si>
  <si>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</si>
  <si>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</si>
  <si>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</si>
  <si>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</si>
  <si>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</si>
  <si>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</si>
  <si>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</si>
  <si>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</si>
  <si>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</si>
  <si>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</si>
  <si>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</si>
  <si>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</si>
  <si>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</si>
  <si>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</si>
  <si>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</si>
  <si>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</si>
  <si>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</si>
  <si>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</si>
  <si>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</si>
  <si>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</si>
  <si>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</si>
  <si>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</si>
  <si>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</si>
  <si>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</si>
  <si>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</si>
  <si>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</si>
  <si>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</si>
  <si>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</si>
  <si>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</si>
  <si>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</si>
  <si>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</si>
  <si>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</si>
  <si>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</si>
  <si>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</si>
  <si>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</si>
  <si>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</si>
  <si>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</si>
  <si>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</si>
  <si>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</si>
  <si>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</si>
  <si>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</si>
  <si>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</si>
  <si>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</si>
  <si>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</si>
  <si>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</si>
  <si>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</si>
  <si>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</si>
  <si>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</si>
  <si>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</si>
  <si>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</si>
  <si>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</si>
  <si>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</si>
  <si>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</si>
  <si>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</si>
  <si>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</si>
  <si>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</si>
  <si>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</si>
  <si>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</si>
  <si>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</si>
  <si>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</si>
  <si>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</si>
  <si>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</si>
  <si>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</si>
  <si>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</si>
  <si>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</si>
  <si>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</si>
  <si>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</si>
  <si>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</si>
  <si>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</si>
  <si>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</si>
  <si>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</si>
  <si>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</si>
  <si>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</si>
  <si>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</si>
  <si>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</si>
  <si>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</si>
  <si>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</si>
  <si>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Revenues 9-14, L266, Col C,D,F,G</t>
  </si>
  <si>
    <t>Revenues 9-14, L267, Col C,D,F,G</t>
  </si>
  <si>
    <t>Revenues 9-14, L268, Col C,D,F,G</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</si>
  <si>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</si>
  <si>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</si>
  <si>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</si>
  <si>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</si>
  <si>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</si>
  <si>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</si>
  <si>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</si>
  <si>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</si>
  <si>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</si>
  <si>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</si>
  <si>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</si>
  <si>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</si>
  <si>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</si>
  <si>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</si>
  <si>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</si>
  <si>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</si>
  <si>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</si>
  <si>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</si>
  <si>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</si>
  <si>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</si>
  <si>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</si>
  <si>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</si>
  <si>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</si>
  <si>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</si>
  <si>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</si>
  <si>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</si>
  <si>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</si>
  <si>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</si>
  <si>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</si>
  <si>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</si>
  <si>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</si>
  <si>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</si>
  <si>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</si>
  <si>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</si>
  <si>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</si>
  <si>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</si>
  <si>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</si>
  <si>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</si>
  <si>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</si>
  <si>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</si>
  <si>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</si>
  <si>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</si>
  <si>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</si>
  <si>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</si>
  <si>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</si>
  <si>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</si>
  <si>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</si>
  <si>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</si>
  <si>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</si>
  <si>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</si>
  <si>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</si>
  <si>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</si>
  <si>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</si>
  <si>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</si>
  <si>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</si>
  <si>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</si>
  <si>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</si>
  <si>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</si>
  <si>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</si>
  <si>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</si>
  <si>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</si>
  <si>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</si>
  <si>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</si>
  <si>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</si>
  <si>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</si>
  <si>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</si>
  <si>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</si>
  <si>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</si>
  <si>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</si>
  <si>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</si>
  <si>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</si>
  <si>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</si>
  <si>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</si>
  <si>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</si>
  <si>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</si>
  <si>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</si>
  <si>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</si>
  <si>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</si>
  <si>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</si>
  <si>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</si>
  <si>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</si>
  <si>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</si>
  <si>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</si>
  <si>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</si>
  <si>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</si>
  <si>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</si>
  <si>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</si>
  <si>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</si>
  <si>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</si>
  <si>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</si>
  <si>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L219, Col D,F</t>
  </si>
  <si>
    <t>Revenues 9-14, L229, Col D</t>
  </si>
  <si>
    <t>Revenues 9-14, L154, Col C,D,F,G</t>
  </si>
  <si>
    <t>Revenues 9-14, L201, Col C,G</t>
  </si>
  <si>
    <t>Revenues 9-14, L211, Col C,D,F,G</t>
  </si>
  <si>
    <t>Revenues 9-14, L216, Col C,D,F,G</t>
  </si>
  <si>
    <t>Revenues 9-14, L223, Col C,D,F,G</t>
  </si>
  <si>
    <t>Revenues 9-14, L228, Col C,D,G</t>
  </si>
  <si>
    <t>Total ARRA Program Adjustments</t>
  </si>
  <si>
    <t>Revenues 9-14, L263, Col C,F,G</t>
  </si>
  <si>
    <t>Revenues 9-14, L270, Col C,D,F,G</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</si>
  <si>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</si>
  <si>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</si>
  <si>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</si>
  <si>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</si>
  <si>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</si>
  <si>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</si>
  <si>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</si>
  <si>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</si>
  <si>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</si>
  <si>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</si>
  <si>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</si>
  <si>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</si>
  <si>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</si>
  <si>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</si>
  <si>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</si>
  <si>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</si>
  <si>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</si>
  <si>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</si>
  <si>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</si>
  <si>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</si>
  <si>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</si>
  <si>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</si>
  <si>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</si>
  <si>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</si>
  <si>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</si>
  <si>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</si>
  <si>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</si>
  <si>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</si>
  <si>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</si>
  <si>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</si>
  <si>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</si>
  <si>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Revenues 9-14, L131, Col C,D,F</t>
  </si>
  <si>
    <t>Revenues 9-14, L144, Col C,G</t>
  </si>
  <si>
    <t>Revenues 9-14, L145, Col C</t>
  </si>
  <si>
    <t>Revenues 9-14, L146, Col C,D,G</t>
  </si>
  <si>
    <t>Revenues 9-14, L147,Col C,D</t>
  </si>
  <si>
    <t>Revenues 9-14, L155, Col C</t>
  </si>
  <si>
    <t>Revenues 9-14, L156, Col C,D,F,G</t>
  </si>
  <si>
    <t>Revenues 9-14, L157, Col C,F,G</t>
  </si>
  <si>
    <t>Revenues 9-14, L162, Col C,F,G</t>
  </si>
  <si>
    <t>Revenues 9-14, L164, Col C,D,F,G</t>
  </si>
  <si>
    <t>Revenues 9-14, L166, Col C,D,E,F,G</t>
  </si>
  <si>
    <t>Revenues 9-14, L167, Col C,F</t>
  </si>
  <si>
    <t>Revenues 9-14, L170, Col D</t>
  </si>
  <si>
    <t>Revenues 9-14, L171, Col C-G,J</t>
  </si>
  <si>
    <t>Revenues 9-14, L180, Col C</t>
  </si>
  <si>
    <t>Revenues 9-14, L184, Col C,D,F,G</t>
  </si>
  <si>
    <t>Revenues 9-14, L191, Col C,D,F,G</t>
  </si>
  <si>
    <t>Revenues 9-14, L222, Col C,D,F,G</t>
  </si>
  <si>
    <t>Revenue L238, Col C,D,E,F,G,J</t>
  </si>
  <si>
    <t>Revenues 9-14, L149, Col D &amp; F</t>
  </si>
  <si>
    <t>Revenues 9-14, L218, Col D,F</t>
  </si>
  <si>
    <t>Revenue L257, Col C,D,E,F,G,J</t>
  </si>
  <si>
    <t>Revenues 9-14, L269, Col C,D,F,G</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</si>
  <si>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</si>
  <si>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</si>
  <si>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</si>
  <si>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</si>
  <si>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</si>
  <si>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</si>
  <si>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</si>
  <si>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</si>
  <si>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</si>
  <si>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</si>
  <si>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</si>
  <si>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</si>
  <si>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</si>
  <si>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</si>
  <si>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</si>
  <si>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</si>
  <si>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</si>
  <si>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</si>
  <si>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The numbers shown are the sum of entries on page 25.</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</si>
  <si>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</si>
  <si>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</si>
  <si>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</si>
  <si>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</si>
  <si>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</si>
  <si>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</si>
  <si>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</si>
  <si>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</si>
  <si>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</si>
  <si>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</si>
  <si>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</si>
  <si>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</si>
  <si>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</si>
  <si>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</si>
  <si>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</si>
  <si>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</si>
  <si>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</si>
  <si>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</si>
  <si>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</si>
  <si>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</si>
  <si>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</si>
  <si>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</si>
  <si>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</si>
  <si>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</si>
  <si>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</si>
  <si>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</si>
  <si>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</si>
  <si>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</si>
  <si>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</si>
  <si>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</si>
  <si>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</si>
  <si>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</si>
  <si>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</si>
  <si>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</si>
  <si>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</si>
  <si>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</si>
  <si>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</si>
  <si>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</si>
  <si>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</si>
  <si>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</si>
  <si>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</si>
  <si>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</si>
  <si>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</si>
  <si>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</si>
  <si>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</si>
  <si>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</si>
  <si>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</si>
  <si>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</si>
  <si>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</si>
  <si>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</si>
  <si>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</si>
  <si>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</si>
  <si>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</si>
  <si>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</si>
  <si>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</si>
  <si>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</si>
  <si>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</si>
  <si>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</si>
  <si>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</si>
  <si>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</si>
  <si>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</si>
  <si>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Learn &amp; Serve America</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</si>
  <si>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</si>
  <si>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</si>
  <si>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</si>
  <si>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</si>
  <si>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</si>
  <si>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</si>
  <si>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</si>
  <si>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</si>
  <si>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</si>
  <si>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</si>
  <si>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</si>
  <si>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</si>
  <si>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</si>
  <si>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</si>
  <si>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</si>
  <si>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</si>
  <si>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</si>
  <si>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</si>
  <si>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</si>
  <si>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</si>
  <si>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</si>
  <si>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</si>
  <si>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</si>
  <si>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</si>
  <si>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</si>
  <si>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</si>
  <si>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</si>
  <si>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</si>
  <si>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</si>
  <si>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</si>
  <si>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Title I - Comprehensive School Reform</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</si>
  <si>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</si>
  <si>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</si>
  <si>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</si>
  <si>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</si>
  <si>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</si>
  <si>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</si>
  <si>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</si>
  <si>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</si>
  <si>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</si>
  <si>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</si>
  <si>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</si>
  <si>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</si>
  <si>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</si>
  <si>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</si>
  <si>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</si>
  <si>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</si>
  <si>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</si>
  <si>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</si>
  <si>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</si>
  <si>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</si>
  <si>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</si>
  <si>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</si>
  <si>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</si>
  <si>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</si>
  <si>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</si>
  <si>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</si>
  <si>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</si>
  <si>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</si>
  <si>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</si>
  <si>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</si>
  <si>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</si>
  <si>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</si>
  <si>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</si>
  <si>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</si>
  <si>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</si>
  <si>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</si>
  <si>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</si>
  <si>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</si>
  <si>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</si>
  <si>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</si>
  <si>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</si>
  <si>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</si>
  <si>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</si>
  <si>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</si>
  <si>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</si>
  <si>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</si>
  <si>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</si>
  <si>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</si>
  <si>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</si>
  <si>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</si>
  <si>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</si>
  <si>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</si>
  <si>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</si>
  <si>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</si>
  <si>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</si>
  <si>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</si>
  <si>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</si>
  <si>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</si>
  <si>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</si>
  <si>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</si>
  <si>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</si>
  <si>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</si>
  <si>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</si>
  <si>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</si>
  <si>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</si>
  <si>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</si>
  <si>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</si>
  <si>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</si>
  <si>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</si>
  <si>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</si>
  <si>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</si>
  <si>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</si>
  <si>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</si>
  <si>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</si>
  <si>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</si>
  <si>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</si>
  <si>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</si>
  <si>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</si>
  <si>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</si>
  <si>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</si>
  <si>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</si>
  <si>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</si>
  <si>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</si>
  <si>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</si>
  <si>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</si>
  <si>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</si>
  <si>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</si>
  <si>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</si>
  <si>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</si>
  <si>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</si>
  <si>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ED,O&amp;M,MR/SS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</si>
  <si>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</si>
  <si>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</si>
  <si>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</si>
  <si>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</si>
  <si>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</si>
  <si>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</si>
  <si>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</si>
  <si>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</si>
  <si>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</si>
  <si>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</si>
  <si>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</si>
  <si>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</si>
  <si>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</si>
  <si>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</si>
  <si>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</si>
  <si>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</si>
  <si>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</si>
  <si>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</si>
  <si>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</si>
  <si>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</si>
  <si>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</si>
  <si>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Reading First</t>
  </si>
  <si>
    <t>Title I - Even Start</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</si>
  <si>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</si>
  <si>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</si>
  <si>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</si>
  <si>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</si>
  <si>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</si>
  <si>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</si>
  <si>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</si>
  <si>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</si>
  <si>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</si>
  <si>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</si>
  <si>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</si>
  <si>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</si>
  <si>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</si>
  <si>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</si>
  <si>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</si>
  <si>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</si>
  <si>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</si>
  <si>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</si>
  <si>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</si>
  <si>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</si>
  <si>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</si>
  <si>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</si>
  <si>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</si>
  <si>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</si>
  <si>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</si>
  <si>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</si>
  <si>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</si>
  <si>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</si>
  <si>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</si>
  <si>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</si>
  <si>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</si>
  <si>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</si>
  <si>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</si>
  <si>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</si>
  <si>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</si>
  <si>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</si>
  <si>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</si>
  <si>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</si>
  <si>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</si>
  <si>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</si>
  <si>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</si>
  <si>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</si>
  <si>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</si>
  <si>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</si>
  <si>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</si>
  <si>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</si>
  <si>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</si>
  <si>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</si>
  <si>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</si>
  <si>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</si>
  <si>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</si>
  <si>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</si>
  <si>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</si>
  <si>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</si>
  <si>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</si>
  <si>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Advanced Placement Fee/International Baccalaureate</t>
  </si>
  <si>
    <t>Total Receipts/Revenues from Federal Sources</t>
  </si>
  <si>
    <t>Bilingual Programs</t>
  </si>
  <si>
    <t>Truants' Alternative &amp; Optional Programs</t>
  </si>
  <si>
    <t>Attendance &amp; Social Work Services</t>
  </si>
  <si>
    <t>Guidance Services</t>
  </si>
  <si>
    <t>Funds 10, 20, 40, 70 + (50 &amp; 80 if negative)</t>
  </si>
  <si>
    <t>Title I - Reading First SEA Funds</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</si>
  <si>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</si>
  <si>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</si>
  <si>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</si>
  <si>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</si>
  <si>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</si>
  <si>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</si>
  <si>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</si>
  <si>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</si>
  <si>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</si>
  <si>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</si>
  <si>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</si>
  <si>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</si>
  <si>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</si>
  <si>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</si>
  <si>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</si>
  <si>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</si>
  <si>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</si>
  <si>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</si>
  <si>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</si>
  <si>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</si>
  <si>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</si>
  <si>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</si>
  <si>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</si>
  <si>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</si>
  <si>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</si>
  <si>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</si>
  <si>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</si>
  <si>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</si>
  <si>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</si>
  <si>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</si>
  <si>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</si>
  <si>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</si>
  <si>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</si>
  <si>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</si>
  <si>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</si>
  <si>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</si>
  <si>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</si>
  <si>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</si>
  <si>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</si>
  <si>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</si>
  <si>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</si>
  <si>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</si>
  <si>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</si>
  <si>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</si>
  <si>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</si>
  <si>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</si>
  <si>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</si>
  <si>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</si>
  <si>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</si>
  <si>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</si>
  <si>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</si>
  <si>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</si>
  <si>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</si>
  <si>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</si>
  <si>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</si>
  <si>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</si>
  <si>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</si>
  <si>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</si>
  <si>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</si>
  <si>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</si>
  <si>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</si>
  <si>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</si>
  <si>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</si>
  <si>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</si>
  <si>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</si>
  <si>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</si>
  <si>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</si>
  <si>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</si>
  <si>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</si>
  <si>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</si>
  <si>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</si>
  <si>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</si>
  <si>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</si>
  <si>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</si>
  <si>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</si>
  <si>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</si>
  <si>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</si>
  <si>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</si>
  <si>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</si>
  <si>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</si>
  <si>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</si>
  <si>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</si>
  <si>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</si>
  <si>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</si>
  <si>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</si>
  <si>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</si>
  <si>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</si>
  <si>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</si>
  <si>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</si>
  <si>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</si>
  <si>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</si>
  <si>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</si>
  <si>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</si>
  <si>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</si>
  <si>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</si>
  <si>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</si>
  <si>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</si>
  <si>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</si>
  <si>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</si>
  <si>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</si>
  <si>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</si>
  <si>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</si>
  <si>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</si>
  <si>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</si>
  <si>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</si>
  <si>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</si>
  <si>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</si>
  <si>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</si>
  <si>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</si>
  <si>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</si>
  <si>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</si>
  <si>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</si>
  <si>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</si>
  <si>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</si>
  <si>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</si>
  <si>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</si>
  <si>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</si>
  <si>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</si>
  <si>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</si>
  <si>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</si>
  <si>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</si>
  <si>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</si>
  <si>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</si>
  <si>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</si>
  <si>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</si>
  <si>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</si>
  <si>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</si>
  <si>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</si>
  <si>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</si>
  <si>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</si>
  <si>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</si>
  <si>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</si>
  <si>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</si>
  <si>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</si>
  <si>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</si>
  <si>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</si>
  <si>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</si>
  <si>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</si>
  <si>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</si>
  <si>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</si>
  <si>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</si>
  <si>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</si>
  <si>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</si>
  <si>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</si>
  <si>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</si>
  <si>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</si>
  <si>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</si>
  <si>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</si>
  <si>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</si>
  <si>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</si>
  <si>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</si>
  <si>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</si>
  <si>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</si>
  <si>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</si>
  <si>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</si>
  <si>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</si>
  <si>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</si>
  <si>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</si>
  <si>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</si>
  <si>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</si>
  <si>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</si>
  <si>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</si>
  <si>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</si>
  <si>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</si>
  <si>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</si>
  <si>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</si>
  <si>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</si>
  <si>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</si>
  <si>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</si>
  <si>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</si>
  <si>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</si>
  <si>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</si>
  <si>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</si>
  <si>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</si>
  <si>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</si>
  <si>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</si>
  <si>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</si>
  <si>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</si>
  <si>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</si>
  <si>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</si>
  <si>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</si>
  <si>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</si>
  <si>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</si>
  <si>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</si>
  <si>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</si>
  <si>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</si>
  <si>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</si>
  <si>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</si>
  <si>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</si>
  <si>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</si>
  <si>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</si>
  <si>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</si>
  <si>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</si>
  <si>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</si>
  <si>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</si>
  <si>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Disposition of Questioned Costs Code Letter</t>
  </si>
  <si>
    <t xml:space="preserve">Initials: </t>
  </si>
  <si>
    <t>Resolution Criteria Code Number</t>
  </si>
  <si>
    <t xml:space="preserve">Date:   </t>
  </si>
  <si>
    <t>For ISBE Review</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</si>
  <si>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</si>
  <si>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</si>
  <si>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</si>
  <si>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</si>
  <si>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</si>
  <si>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</si>
  <si>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</si>
  <si>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</si>
  <si>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</si>
  <si>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</si>
  <si>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</si>
  <si>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</si>
  <si>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</si>
  <si>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</si>
  <si>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</si>
  <si>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</si>
  <si>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</si>
  <si>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</si>
  <si>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</si>
  <si>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</si>
  <si>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</si>
  <si>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</si>
  <si>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</si>
  <si>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</si>
  <si>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</si>
  <si>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</si>
  <si>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</si>
  <si>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</si>
  <si>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</si>
  <si>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</si>
  <si>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</si>
  <si>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</si>
  <si>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</si>
  <si>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</si>
  <si>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</si>
  <si>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</si>
  <si>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</si>
  <si>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</si>
  <si>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</si>
  <si>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</si>
  <si>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</si>
  <si>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</si>
  <si>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</si>
  <si>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</si>
  <si>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</si>
  <si>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</si>
  <si>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</si>
  <si>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</si>
  <si>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</si>
  <si>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</si>
  <si>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</si>
  <si>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</si>
  <si>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</si>
  <si>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</si>
  <si>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</si>
  <si>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</si>
  <si>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</si>
  <si>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</si>
  <si>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</si>
  <si>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</si>
  <si>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</si>
  <si>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</si>
  <si>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</si>
  <si>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</si>
  <si>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</si>
  <si>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</si>
  <si>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</si>
  <si>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</si>
  <si>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</si>
  <si>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</si>
  <si>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</si>
  <si>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</si>
  <si>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</si>
  <si>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</si>
  <si>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</si>
  <si>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</si>
  <si>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</si>
  <si>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</si>
  <si>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</si>
  <si>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</si>
  <si>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</si>
  <si>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</si>
  <si>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</si>
  <si>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</si>
  <si>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</si>
  <si>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</si>
  <si>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</si>
  <si>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</si>
  <si>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</si>
  <si>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</si>
  <si>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</si>
  <si>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</si>
  <si>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</si>
  <si>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</si>
  <si>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</si>
  <si>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</si>
  <si>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</si>
  <si>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</si>
  <si>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</si>
  <si>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</si>
  <si>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</si>
  <si>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</si>
  <si>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</si>
  <si>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</si>
  <si>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</si>
  <si>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</si>
  <si>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</si>
  <si>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</si>
  <si>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</si>
  <si>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</si>
  <si>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</si>
  <si>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</si>
  <si>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</si>
  <si>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</si>
  <si>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</si>
  <si>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</si>
  <si>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</si>
  <si>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</si>
  <si>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</si>
  <si>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</si>
  <si>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</si>
  <si>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</si>
  <si>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</si>
  <si>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</si>
  <si>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</si>
  <si>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</si>
  <si>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</si>
  <si>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</si>
  <si>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</si>
  <si>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Revenues 9-14, L140, Col C,D,G</t>
  </si>
  <si>
    <t>Revenue-L231, Col C,D,F,G</t>
  </si>
  <si>
    <t>Revenue-L232, Col C,D,E,F,G,J</t>
  </si>
  <si>
    <t>Revenue L239, Col C,D,E,F,G,J</t>
  </si>
  <si>
    <t>Revenue L240, Col C, D,F,G</t>
  </si>
  <si>
    <t>Revenue L247, Col C,D,E,F,G,J</t>
  </si>
  <si>
    <t>Revenue L258,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</si>
  <si>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</si>
  <si>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</si>
  <si>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</si>
  <si>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</si>
  <si>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</si>
  <si>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</si>
  <si>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</si>
  <si>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</si>
  <si>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</si>
  <si>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</si>
  <si>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</si>
  <si>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t>Revenues 9-14, L260, Col C</t>
  </si>
  <si>
    <t>Revenues 9-14, L264, Col C,F,G</t>
  </si>
  <si>
    <t>Revenues 9-14, L271, Col C,D,F,G</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</si>
  <si>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</si>
  <si>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</si>
  <si>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</si>
  <si>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</si>
  <si>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</si>
  <si>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</si>
  <si>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</si>
  <si>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</si>
  <si>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</si>
  <si>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</si>
  <si>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</si>
  <si>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</si>
  <si>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</si>
  <si>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</si>
  <si>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</si>
  <si>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</si>
  <si>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</si>
  <si>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</si>
  <si>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</si>
  <si>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</si>
  <si>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</si>
  <si>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</si>
  <si>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</si>
  <si>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</si>
  <si>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</si>
  <si>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</si>
  <si>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</si>
  <si>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</si>
  <si>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</si>
  <si>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</si>
  <si>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</si>
  <si>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</si>
  <si>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</si>
  <si>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</si>
  <si>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</si>
  <si>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</si>
  <si>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</si>
  <si>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Revenues 9-14, L261, Col C-G,J</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</si>
  <si>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</si>
  <si>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</si>
  <si>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</si>
  <si>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</si>
  <si>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</si>
  <si>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</si>
  <si>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</si>
  <si>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</si>
  <si>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</si>
  <si>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</si>
  <si>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</si>
  <si>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</si>
  <si>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</si>
  <si>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</si>
  <si>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Revenues 9-14, L262, Col C,D,G</t>
  </si>
  <si>
    <t>Revenues 9-14, L265, Col C,F,G</t>
  </si>
  <si>
    <t>Revenues 9-14, L272, Col C,D,F,G</t>
  </si>
  <si>
    <t>AQ22 Date (If AQ22 = X, DATE)</t>
  </si>
  <si>
    <t>AQ22</t>
  </si>
  <si>
    <t>AQ23</t>
  </si>
  <si>
    <t>(Ex: 00/00/0000)</t>
  </si>
  <si>
    <t>Insurance coverage in effect paid with Federal funds during the fiscal year:</t>
  </si>
  <si>
    <t>Revenue Adjustments (C231 thru J258)</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</si>
  <si>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</si>
  <si>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</si>
  <si>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</si>
  <si>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</si>
  <si>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</si>
  <si>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</si>
  <si>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</si>
  <si>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</si>
  <si>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</si>
  <si>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</si>
  <si>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</si>
  <si>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</si>
  <si>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</si>
  <si>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</si>
  <si>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</si>
  <si>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</si>
  <si>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</si>
  <si>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</si>
  <si>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</si>
  <si>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</si>
  <si>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</si>
  <si>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</si>
  <si>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</si>
  <si>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</si>
  <si>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</si>
  <si>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</si>
  <si>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</si>
  <si>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</si>
  <si>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</si>
  <si>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</si>
  <si>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</si>
  <si>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</si>
  <si>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</si>
  <si>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</si>
  <si>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</si>
  <si>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</si>
  <si>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 xml:space="preserve">   Revenues 9-14, Line 271</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</si>
  <si>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</si>
  <si>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</si>
  <si>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</si>
  <si>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</si>
  <si>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</si>
  <si>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</si>
  <si>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</si>
  <si>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</si>
  <si>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</si>
  <si>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</si>
  <si>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</si>
  <si>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</si>
  <si>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</si>
  <si>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</si>
  <si>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</si>
  <si>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</si>
  <si>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</si>
  <si>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</si>
  <si>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</si>
  <si>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</si>
  <si>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</si>
  <si>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</si>
  <si>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</si>
  <si>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</si>
  <si>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</si>
  <si>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</si>
  <si>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</si>
  <si>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</si>
  <si>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</si>
  <si>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</si>
  <si>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</si>
  <si>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</si>
  <si>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</si>
  <si>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</si>
  <si>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</si>
  <si>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</si>
  <si>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</si>
  <si>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</si>
  <si>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</si>
  <si>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</si>
  <si>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</si>
  <si>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</si>
  <si>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</si>
  <si>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</si>
  <si>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</si>
  <si>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</si>
  <si>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</si>
  <si>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</si>
  <si>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</si>
  <si>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</si>
  <si>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</si>
  <si>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</si>
  <si>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</si>
  <si>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</si>
  <si>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</si>
  <si>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</si>
  <si>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</si>
  <si>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</si>
  <si>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</si>
  <si>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</si>
  <si>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</si>
  <si>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7/1/16-6/30/17</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</si>
  <si>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</si>
  <si>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</si>
  <si>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</si>
  <si>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</si>
  <si>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</si>
  <si>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</si>
  <si>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</si>
  <si>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</si>
  <si>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</si>
  <si>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</si>
  <si>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</si>
  <si>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</si>
  <si>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</si>
  <si>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</si>
  <si>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</si>
  <si>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</si>
  <si>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</si>
  <si>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</si>
  <si>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</si>
  <si>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Revenues 9-14, L148, Col D &amp; F</t>
  </si>
  <si>
    <t>Due to ISBE on Thursday, November 15th</t>
  </si>
  <si>
    <t>SD/JA18</t>
  </si>
  <si>
    <t>Due to ROE on Monday, October 15th</t>
  </si>
  <si>
    <t xml:space="preserve">   ISBE Form SD50-35/JA50-60 (05/18)</t>
  </si>
  <si>
    <t>At least one of the following forms was filed with ISBE late: The FY17 AFR (ISBE FORM 50-35), FY17 Annual Statement of Affairs (ISBE Form 50-37) and FY18</t>
  </si>
  <si>
    <t xml:space="preserve">In FY2018, identify those late payments recorded as Intergovermental Receivables, Other Recievables, or Deferred Revenue &amp; Other Current Liabilities or Direct Receipts/Revenue. </t>
  </si>
  <si>
    <t xml:space="preserve">Note: A PDF with signature is acceptable for this page. Enter the location on signature line e.g. PDF in Opinion Page with signature </t>
  </si>
  <si>
    <t>Estimated 2019 Financial Profile Designation:</t>
  </si>
  <si>
    <t>TITLE V</t>
  </si>
  <si>
    <t>Title V - Innovation and Flexibility Formula</t>
  </si>
  <si>
    <t>Title V - District Projects</t>
  </si>
  <si>
    <t>Title V - Other (Describe &amp; Itemize)</t>
  </si>
  <si>
    <t>Title V - Rural Education Initiative (REI)</t>
  </si>
  <si>
    <t>Total Title V</t>
  </si>
  <si>
    <t>Cash Basis Fund Balance as of July 1, 2017</t>
  </si>
  <si>
    <t>ESTIMATED OPERATING EXPENSE PER PUPIL (OEPP)/PER CAPITA TUITION CHARGE (PCTC) COMPUTATIONS (2017-2018)</t>
  </si>
  <si>
    <t>Fiscal Year Ending June 30, 2018</t>
  </si>
  <si>
    <t>Actual Expenditures, Fiscal Year 2018</t>
  </si>
  <si>
    <t>Budgeted Expenditures, Fiscal Year 2019</t>
  </si>
  <si>
    <t>Percent Increase (Decrease) for FY2019 (Budgeted) over FY2018 (Actual)</t>
  </si>
  <si>
    <t xml:space="preserve">I certify that the amounts shown above as "Actual Expenditures, Fiscal Year 2018" agree with the amounts on the district's Annual Financial Report for Fiscal Year 2018.  </t>
  </si>
  <si>
    <t xml:space="preserve">I also certify that the amounts shown above as "Budgeted Expenditures, Fiscal Year 2019" agree with the amounts on the budget adopted by the Board of Education. </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</si>
  <si>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</si>
  <si>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</si>
  <si>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</si>
  <si>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</si>
  <si>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</si>
  <si>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</si>
  <si>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</si>
  <si>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</si>
  <si>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</si>
  <si>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</si>
  <si>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</si>
  <si>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</si>
  <si>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</si>
  <si>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</si>
  <si>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</si>
  <si>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</si>
  <si>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</si>
  <si>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</si>
  <si>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</si>
  <si>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</si>
  <si>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</si>
  <si>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</si>
  <si>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</si>
  <si>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</si>
  <si>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</si>
  <si>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</si>
  <si>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</si>
  <si>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</si>
  <si>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</si>
  <si>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</si>
  <si>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</si>
  <si>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</si>
  <si>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</si>
  <si>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</si>
  <si>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</si>
  <si>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</si>
  <si>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</si>
  <si>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</si>
  <si>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</si>
  <si>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</si>
  <si>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</si>
  <si>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 xml:space="preserve">Tax Year </t>
    </r>
    <r>
      <rPr>
        <b/>
        <u/>
        <sz val="8"/>
        <rFont val="Calibri"/>
        <family val="2"/>
        <scheme val="minor"/>
      </rPr>
      <t>2017</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</si>
  <si>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</si>
  <si>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</si>
  <si>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</si>
  <si>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</si>
  <si>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</si>
  <si>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</si>
  <si>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</si>
  <si>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</si>
  <si>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</si>
  <si>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</si>
  <si>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</si>
  <si>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</si>
  <si>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</si>
  <si>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</si>
  <si>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</si>
  <si>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</si>
  <si>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</si>
  <si>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</si>
  <si>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</si>
  <si>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</si>
  <si>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</si>
  <si>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</si>
  <si>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</si>
  <si>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</si>
  <si>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</si>
  <si>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</si>
  <si>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</si>
  <si>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</si>
  <si>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</si>
  <si>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</si>
  <si>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</si>
  <si>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</si>
  <si>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</si>
  <si>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</si>
  <si>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</si>
  <si>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</si>
  <si>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</si>
  <si>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Fund Balance - June 30, 2018</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</si>
  <si>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</si>
  <si>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</si>
  <si>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</si>
  <si>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</si>
  <si>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</si>
  <si>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FY2019 annual budget to be amended to include a "deficit reduction plan" and narrative.  </t>
    </r>
  </si>
  <si>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</si>
  <si>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</si>
  <si>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</si>
  <si>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</si>
  <si>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</si>
  <si>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</si>
  <si>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</si>
  <si>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t>Year Ending June 30, 2018</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</si>
  <si>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</si>
  <si>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</si>
  <si>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</si>
  <si>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</si>
  <si>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 xml:space="preserve">Note:  IF THE PAPER COPY OF THE AFR IS </t>
    </r>
    <r>
      <rPr>
        <b/>
        <u/>
        <sz val="9"/>
        <rFont val="Calibri"/>
        <family val="2"/>
        <scheme val="minor"/>
      </rPr>
      <t>NOT</t>
    </r>
    <r>
      <rPr>
        <b/>
        <sz val="9"/>
        <rFont val="Calibri"/>
        <family val="2"/>
        <scheme val="minor"/>
      </rPr>
      <t xml:space="preserve"> THE SAME AS THE ELECTRONIC VERSION, PLEASE NOTIFY - Leslie Clay at</t>
    </r>
    <r>
      <rPr>
        <b/>
        <sz val="9"/>
        <color rgb="FF0000FF"/>
        <rFont val="Calibri"/>
        <family val="2"/>
        <scheme val="minor"/>
      </rPr>
      <t xml:space="preserve"> lclay@isbe.net </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</si>
  <si>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</si>
  <si>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</si>
  <si>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</si>
  <si>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</si>
  <si>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</si>
  <si>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</si>
  <si>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</si>
  <si>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</si>
  <si>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</si>
  <si>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</si>
  <si>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</si>
  <si>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</si>
  <si>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</si>
  <si>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</si>
  <si>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</si>
  <si>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</si>
  <si>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</si>
  <si>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</si>
  <si>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</si>
  <si>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</si>
  <si>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</si>
  <si>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</si>
  <si>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</si>
  <si>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</si>
  <si>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</si>
  <si>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</si>
  <si>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</si>
  <si>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Note 2:  Indirect Facilities &amp; Administration costs</t>
    </r>
    <r>
      <rPr>
        <b/>
        <vertAlign val="superscript"/>
        <sz val="9"/>
        <rFont val="Calibri"/>
        <family val="2"/>
        <scheme val="minor"/>
      </rPr>
      <t>6</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</si>
  <si>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</si>
  <si>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</si>
  <si>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</si>
  <si>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</si>
  <si>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</si>
  <si>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</si>
  <si>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</si>
  <si>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</si>
  <si>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</si>
  <si>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</si>
  <si>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</si>
  <si>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</si>
  <si>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</si>
  <si>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</si>
  <si>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</si>
  <si>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</si>
  <si>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</si>
  <si>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</si>
  <si>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</si>
  <si>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</si>
  <si>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</si>
  <si>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</si>
  <si>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</si>
  <si>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</si>
  <si>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</si>
  <si>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</si>
  <si>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</si>
  <si>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</si>
  <si>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</si>
  <si>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</si>
  <si>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</si>
  <si>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</si>
  <si>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</si>
  <si>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</si>
  <si>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</si>
  <si>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</si>
  <si>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</si>
  <si>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</si>
  <si>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</si>
  <si>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</si>
  <si>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</si>
  <si>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</si>
  <si>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</si>
  <si>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</si>
  <si>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</si>
  <si>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</si>
  <si>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</si>
  <si>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</si>
  <si>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</si>
  <si>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</si>
  <si>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</si>
  <si>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</si>
  <si>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</si>
  <si>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</si>
  <si>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</si>
  <si>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</si>
  <si>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</si>
  <si>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</si>
  <si>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</si>
  <si>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</si>
  <si>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</si>
  <si>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</si>
  <si>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</si>
  <si>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</si>
  <si>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</si>
  <si>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</si>
  <si>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</si>
  <si>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</si>
  <si>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</si>
  <si>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</si>
  <si>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</si>
  <si>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</si>
  <si>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</si>
  <si>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</si>
  <si>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</si>
  <si>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t>Taxes Received (from the 2017 Levy)</t>
  </si>
  <si>
    <t>Taxes Received (from 2016 &amp; Prior Levies)</t>
  </si>
  <si>
    <t xml:space="preserve">Total Estimated Taxes (from the 2017 Levy)                            </t>
  </si>
  <si>
    <t>Estimated Taxes Due (from the 2017 Levy)</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</si>
  <si>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</si>
  <si>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</si>
  <si>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</si>
  <si>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</si>
  <si>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</si>
  <si>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</si>
  <si>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</si>
  <si>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</si>
  <si>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</si>
  <si>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</si>
  <si>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</si>
  <si>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</si>
  <si>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</si>
  <si>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</si>
  <si>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</si>
  <si>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</si>
  <si>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</si>
  <si>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</si>
  <si>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</si>
  <si>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6. The amount in column (E) is the amount allowed on each contract in the Indirect Cost Rate calcualation.  The amount in column (F) is the amount that will be deducted from the base in the indirect cost rate (page 30) for Program Year 2020.</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</si>
  <si>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</si>
  <si>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</si>
  <si>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</si>
  <si>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</si>
  <si>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</si>
  <si>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</si>
  <si>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</si>
  <si>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7.  Do not include contracts for Capital Outlay (500) or Non-Capitalized Equipment (700) on this form, they are excluded from the Indirect Cost Rate calucation.</t>
  </si>
  <si>
    <t>Enter as shown here: ED-Instruction-Other</t>
  </si>
  <si>
    <r>
      <t xml:space="preserve">The district is unable to waive the limitation by board action and will be requesting a waiver from the General Assembly pursuant to the procedures in Chapter 105 ILCS 5/2-3.25g.  Waiver applications must be postmarked by August 15, 2018 to ensure inclusion in the Fall 2018 report or postmarked by January 15, 2019 to ensure inclusion in the Spring 2019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</si>
  <si>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r>
      <t xml:space="preserve">Value of Commodities Received for Fiscal Year 2018 </t>
    </r>
    <r>
      <rPr>
        <i/>
        <sz val="8"/>
        <rFont val="Calibri"/>
        <family val="2"/>
        <scheme val="minor"/>
      </rPr>
      <t>(Include the value of commodities when determining if a Single Audit is required)</t>
    </r>
    <r>
      <rPr>
        <sz val="7"/>
        <rFont val="Calibri"/>
        <family val="2"/>
        <scheme val="minor"/>
      </rPr>
      <t>.</t>
    </r>
  </si>
  <si>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</si>
  <si>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</si>
  <si>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</si>
  <si>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</si>
  <si>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</si>
  <si>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</si>
  <si>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Total Federal Expenditures for 7/1/17-6/30/18</t>
  </si>
  <si>
    <t>2018-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</si>
  <si>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</si>
  <si>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</si>
  <si>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</si>
  <si>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</si>
  <si>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</si>
  <si>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</si>
  <si>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</si>
  <si>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</si>
  <si>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</si>
  <si>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</si>
  <si>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</si>
  <si>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</si>
  <si>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</si>
  <si>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</si>
  <si>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</si>
  <si>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</si>
  <si>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</si>
  <si>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</si>
  <si>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</si>
  <si>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</si>
  <si>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</si>
  <si>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</si>
  <si>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</si>
  <si>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</si>
  <si>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</si>
  <si>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</si>
  <si>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</si>
  <si>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</si>
  <si>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</si>
  <si>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</si>
  <si>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</si>
  <si>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</si>
  <si>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</si>
  <si>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</si>
  <si>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</si>
  <si>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</si>
  <si>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</si>
  <si>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</si>
  <si>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</si>
  <si>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</si>
  <si>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</si>
  <si>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</si>
  <si>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</si>
  <si>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</si>
  <si>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</si>
  <si>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</si>
  <si>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</si>
  <si>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</si>
  <si>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</si>
  <si>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</si>
  <si>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</si>
  <si>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</si>
  <si>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</si>
  <si>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</si>
  <si>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</si>
  <si>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</si>
  <si>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</si>
  <si>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</si>
  <si>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</si>
  <si>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</si>
  <si>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t>Total Deductions for PCTC Computation  Line 84 through Line 174</t>
  </si>
  <si>
    <t>Net Operating Expense for Tuition Computation (Line 77 minus Line 176)</t>
  </si>
  <si>
    <t>Total Allowance for PCTC Computation (Line 177 plus Line 178)</t>
  </si>
  <si>
    <t>Total Estimated PCTC (Line 179 divided by Line 180)</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</si>
  <si>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</si>
  <si>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</si>
  <si>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</si>
  <si>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</si>
  <si>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</si>
  <si>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</si>
  <si>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</si>
  <si>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Ending Cash Basis Fund Balance as of June 30, 2018</t>
  </si>
  <si>
    <t>Add:                     Additions           July 1, 2017 thru June 30, 2018</t>
  </si>
  <si>
    <t>Less:  Deletions   July 1, 2017 thru June 30 2018</t>
  </si>
  <si>
    <t>Cost Ending                      June 30, 2018</t>
  </si>
  <si>
    <t>Cost                     Beginning                July 1, 2017</t>
  </si>
  <si>
    <t xml:space="preserve">   Accumulated       Depreciation Beginning              July 1, 2017</t>
  </si>
  <si>
    <t xml:space="preserve">Add:  Depreciation Allowable                 July 1, 2017 thru June 30, 2018        </t>
  </si>
  <si>
    <t>Accumulated Depreciation Ending              June 30, 2018</t>
  </si>
  <si>
    <t>Ending Balance Undepreciated           June 30, 2018</t>
  </si>
  <si>
    <t xml:space="preserve"> SCHEDULE OF CAPITAL OUTLAY AND DEPRECIATION</t>
  </si>
  <si>
    <r>
      <t xml:space="preserve">SCHEDULE OF TORT IMMUNITY EXPENDITURES </t>
    </r>
    <r>
      <rPr>
        <b/>
        <vertAlign val="superscript"/>
        <sz val="10"/>
        <rFont val="Calibri"/>
        <family val="2"/>
        <scheme val="minor"/>
      </rPr>
      <t>a</t>
    </r>
  </si>
  <si>
    <t>Taxes Received 7-1-17 thru 6-30-18 (from 2016 Levy &amp; Prior Levies)  *</t>
  </si>
  <si>
    <t>Outstanding        Beginning July 1, 2017</t>
  </si>
  <si>
    <t>Outstanding Ending                     June 30, 2018</t>
  </si>
  <si>
    <t>Outstanding Beginning July 1, 2017</t>
  </si>
  <si>
    <t>Issued                           July 1, 2017 thru June 30, 2018</t>
  </si>
  <si>
    <t>Retired                                      July 1, 2017 thru            June 30, 2018</t>
  </si>
  <si>
    <t>Outstanding Ending               June 30, 2018</t>
  </si>
  <si>
    <t>Any differences (Described and Itemize)</t>
  </si>
  <si>
    <t>Issued                                        July 1, 2017 thru                        June 30, 2018</t>
  </si>
  <si>
    <t>Retired                                July 1, 2017 thru                       June 30, 2018</t>
  </si>
  <si>
    <t>Less:  Depreciation Deletions                                   July 1, 2017 thru               June 30, 2018</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</si>
  <si>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</si>
  <si>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</si>
  <si>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</si>
  <si>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</si>
  <si>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</si>
  <si>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</si>
  <si>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</si>
  <si>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</si>
  <si>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 xml:space="preserve">  •   If the FY2019 school district budget already requires a deficit reduction plan, and one was submitted, an updated (amended) budget is not required.</t>
  </si>
  <si>
    <t xml:space="preserve">  •  If the Annual Financial Report requires a deficit reducton plan even though the FY2019 budget does not, a completed deficit reduction plan is still required.</t>
  </si>
  <si>
    <t>Revenues (Part of EBF Payment)</t>
  </si>
  <si>
    <t>9 Month ADA from District Average Daily Attendance/Prior General State Aid Inquiry 2017-2018</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</si>
  <si>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</si>
  <si>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</si>
  <si>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</si>
  <si>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</si>
  <si>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</si>
  <si>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Go to the link below:  Under "What's New!" select "FY 2018 Special Education Funding Allocation Calculation Details."  Open excel file and use the amount in column W for the selected district.</t>
  </si>
  <si>
    <t>*** Follow the same instructions as above except under What's New, select "FY 2018 English Learner Education Funding Allocation Calculation Details", and use column U for the selected district.</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</si>
  <si>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</si>
  <si>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</si>
  <si>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</si>
  <si>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</si>
  <si>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</si>
  <si>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</si>
  <si>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Fund Balances - July 1, 2017</t>
  </si>
  <si>
    <t>Fund Balances - June 30, 2018</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</si>
  <si>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</si>
  <si>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</si>
  <si>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</si>
  <si>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  Only enter contracts that were paid in the functions listed on the indirect cost calculation, page 30.</t>
    </r>
  </si>
  <si>
    <t>X</t>
  </si>
  <si>
    <t>09-010-1370-02</t>
  </si>
  <si>
    <t>CHAMPAIGN</t>
  </si>
  <si>
    <t>RANTOUL CITY SCHOOLS</t>
  </si>
  <si>
    <t>400 EAST WABASH</t>
  </si>
  <si>
    <t>RANTOUL</t>
  </si>
  <si>
    <t>Michelle Ramage</t>
  </si>
  <si>
    <t>michelle.ramage@rcs.k12.il.us</t>
  </si>
  <si>
    <t>217-893-4171</t>
  </si>
  <si>
    <t>217-8934313</t>
  </si>
  <si>
    <t>RUSSELL LEIGH &amp; ASSOCIATES</t>
  </si>
  <si>
    <t>RUSS LEIGH</t>
  </si>
  <si>
    <t>228 E MAIN ST</t>
  </si>
  <si>
    <t>HOOPESTON</t>
  </si>
  <si>
    <t>IL</t>
  </si>
  <si>
    <t>217-283-9336</t>
  </si>
  <si>
    <t>217-283-9736</t>
  </si>
  <si>
    <t>065-018319</t>
  </si>
  <si>
    <t>admin@russleigh.com</t>
  </si>
  <si>
    <t>Russell Leigh &amp; Associates</t>
  </si>
  <si>
    <t>General Obligation School Bonds, Series 2010A</t>
  </si>
  <si>
    <t>General Obligation School Bonds, Series 2010B</t>
  </si>
  <si>
    <t>2016 Qualified School Construction Bonds, Alt. Rev</t>
  </si>
  <si>
    <t>Capital Leases - Copiers</t>
  </si>
  <si>
    <t>Capital Lease</t>
  </si>
  <si>
    <t>No applicable contracts paid in current year.</t>
  </si>
  <si>
    <t>Page 2 - Auditor's Questionnaire</t>
  </si>
  <si>
    <t>Part C - Other Issues - #20 Other Findings</t>
  </si>
  <si>
    <t>Multiple activity fund accounts titled "Staff Funds" present that don't directly benefit students.</t>
  </si>
  <si>
    <t>Page 10 - Acct 1690 - Other Food Service</t>
  </si>
  <si>
    <t>Col 10 - Educational</t>
  </si>
  <si>
    <t>Refunds &amp; Reimbursements - $1,860</t>
  </si>
  <si>
    <t>Page 11 - Acct 1719 - Admissions - Other</t>
  </si>
  <si>
    <t>Play Admissions - $472</t>
  </si>
  <si>
    <t>Page 11 - Acct 1990 - Other Local Revenues</t>
  </si>
  <si>
    <t>E-Rate Proceeds - $14,833</t>
  </si>
  <si>
    <t>Miscellaneous Reimbursements - $57,528</t>
  </si>
  <si>
    <t>Col 20 - Operations &amp; Maintenance</t>
  </si>
  <si>
    <t>Miscellaneous Reimbursements - $350</t>
  </si>
  <si>
    <t>Refunds &amp; Reimbursements - $4,561</t>
  </si>
  <si>
    <t>Col 80 - Tort</t>
  </si>
  <si>
    <t>Page 12 - Acct 3999 - Other Restricted Revenue from State Sources</t>
  </si>
  <si>
    <t>Library Grant - $2,259</t>
  </si>
  <si>
    <t>Health Community Grant - $39,186</t>
  </si>
  <si>
    <t>Page 14 - Acct 4999 - Other Restricted Revenue from Federal Sources</t>
  </si>
  <si>
    <t>Project Kids Grant - $46,084</t>
  </si>
  <si>
    <t>Back to School Grant - $4,999</t>
  </si>
  <si>
    <t>Page 18 - Acct 5400 - Debt Services - Other</t>
  </si>
  <si>
    <t>Bond Fees - $1,133</t>
  </si>
  <si>
    <t>AUDITCHECK Tab</t>
  </si>
  <si>
    <t>Number 8 - Error for Long-Term Debt Principal Retired</t>
  </si>
  <si>
    <t>Difference is due to copier leases recorded and paid in the Education Fund</t>
  </si>
  <si>
    <t>Number 13 - Contracts Paid Error</t>
  </si>
  <si>
    <t>No applicable contracts were paid during the year.</t>
  </si>
  <si>
    <t>The accompanying Schedule of Expenditures of Federal Awards includes the federal grant activity of Rantoul City School District 137 and is presented on the Cash Basis of Accounting.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Basic financial statements.</t>
  </si>
  <si>
    <t>x</t>
  </si>
  <si>
    <t>Of the federal expenditures presented in the schedule, Rantoul City School District 137  provided federal awards to subrecipients as follows:</t>
  </si>
  <si>
    <t>none</t>
  </si>
  <si>
    <t>no</t>
  </si>
  <si>
    <t>U.S. Department of Agriculture</t>
  </si>
  <si>
    <t xml:space="preserve">     Passed Through Illinois State Board of Education</t>
  </si>
  <si>
    <t>17-4210</t>
  </si>
  <si>
    <t>18-4210</t>
  </si>
  <si>
    <t>(M)National School Lunch</t>
  </si>
  <si>
    <t xml:space="preserve">       School Breakfast</t>
  </si>
  <si>
    <t>17-4220</t>
  </si>
  <si>
    <t>18-4220</t>
  </si>
  <si>
    <t xml:space="preserve">       Commodities</t>
  </si>
  <si>
    <t>18-4250</t>
  </si>
  <si>
    <t xml:space="preserve">          Total U.S. Department of Agriculture</t>
  </si>
  <si>
    <t>U.S. Department of Education</t>
  </si>
  <si>
    <t xml:space="preserve">     Passed Through the Illinois State Board of Education</t>
  </si>
  <si>
    <t>(M)Title 1-Low Income</t>
  </si>
  <si>
    <t>84.010a</t>
  </si>
  <si>
    <t>17-4300</t>
  </si>
  <si>
    <t>18-4300</t>
  </si>
  <si>
    <t xml:space="preserve">       Special Ed-Preschool</t>
  </si>
  <si>
    <t>84.173a</t>
  </si>
  <si>
    <t>17-4340</t>
  </si>
  <si>
    <t>18-4340</t>
  </si>
  <si>
    <t xml:space="preserve">       IDEA-Flow Through</t>
  </si>
  <si>
    <t>84.027a</t>
  </si>
  <si>
    <t>17-4620</t>
  </si>
  <si>
    <t>18-4620</t>
  </si>
  <si>
    <t xml:space="preserve">        IDEA-Room &amp; Board</t>
  </si>
  <si>
    <t>18-4625</t>
  </si>
  <si>
    <t>(M)IDEA-Flow Through</t>
  </si>
  <si>
    <t xml:space="preserve">       Title III-Long Term Prog Limited </t>
  </si>
  <si>
    <t>84.365a</t>
  </si>
  <si>
    <t>18-4909</t>
  </si>
  <si>
    <t xml:space="preserve">       Title ii-Math/Science</t>
  </si>
  <si>
    <t xml:space="preserve">84.367a </t>
  </si>
  <si>
    <t>17-4932</t>
  </si>
  <si>
    <t>18-4932</t>
  </si>
  <si>
    <t xml:space="preserve">       Passed Through the Champaign-Ford Regional Office of Education</t>
  </si>
  <si>
    <t xml:space="preserve">       Math &amp; Science Partnership</t>
  </si>
  <si>
    <t>84.366b</t>
  </si>
  <si>
    <t>18-4936</t>
  </si>
  <si>
    <t xml:space="preserve">          Total U.S. Department of Education</t>
  </si>
  <si>
    <t xml:space="preserve">     Passed Throught the Illinois Department of Healthcare and Family Services</t>
  </si>
  <si>
    <t>18-4992</t>
  </si>
  <si>
    <t xml:space="preserve">        Mediciad-Admin Outreach</t>
  </si>
  <si>
    <t xml:space="preserve">       Library Service/Books to gain</t>
  </si>
  <si>
    <t>U.S. Department of Health and Human Services</t>
  </si>
  <si>
    <t>18-4999</t>
  </si>
  <si>
    <t xml:space="preserve">          Total U.S. Department of Health and Human Services</t>
  </si>
  <si>
    <t xml:space="preserve">          Total Federal Financial Service</t>
  </si>
  <si>
    <t>Adverse-GAAP/Regulatory-Qualified</t>
  </si>
  <si>
    <t>Unmodified</t>
  </si>
  <si>
    <t>Title i-Low Income</t>
  </si>
  <si>
    <t>School Lunch Regular</t>
  </si>
  <si>
    <t>Special Ed-IDEA Flow Thru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</si>
</sst>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s>
  <fonts count="13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s>
  <fills count="28">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6">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right/>
      <top/>
      <bottom style="thin">
        <color theme="0" tint="-0.499984740745262"/>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s>
  <cellStyleXfs count="19">
    <xf numFmtId="0" fontId="0" fillId="0" borderId="0"/>
    <xf numFmtId="43" fontId="8" fillId="0" borderId="0" applyFont="0" applyFill="0" applyBorder="0" applyAlignment="0" applyProtection="0"/>
    <xf numFmtId="0" fontId="31" fillId="0" borderId="0" applyNumberFormat="0" applyFill="0" applyBorder="0" applyAlignment="0" applyProtection="0">
      <alignment vertical="top"/>
      <protection locked="0"/>
    </xf>
    <xf numFmtId="0" fontId="8" fillId="0" borderId="0"/>
    <xf numFmtId="0" fontId="4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3" fillId="0" borderId="0"/>
    <xf numFmtId="0" fontId="7" fillId="0" borderId="0"/>
    <xf numFmtId="0" fontId="50" fillId="0" borderId="0" applyNumberFormat="0" applyFill="0" applyBorder="0" applyAlignment="0" applyProtection="0"/>
    <xf numFmtId="0" fontId="6" fillId="0" borderId="0"/>
    <xf numFmtId="0" fontId="5" fillId="0" borderId="0"/>
    <xf numFmtId="0" fontId="2" fillId="0" borderId="0"/>
  </cellStyleXfs>
  <cellXfs count="2506">
    <xf numFmtId="0" fontId="0" fillId="0" borderId="0" xfId="0"/>
    <xf numFmtId="0" fontId="8" fillId="0" borderId="0" xfId="0" applyFont="1"/>
    <xf numFmtId="0" fontId="13" fillId="0" borderId="0" xfId="0" applyFont="1"/>
    <xf numFmtId="0" fontId="0" fillId="0" borderId="0" xfId="0" applyAlignment="1">
      <alignment horizontal="left" vertical="center"/>
    </xf>
    <xf numFmtId="0" fontId="9" fillId="0" borderId="0" xfId="0" applyFont="1"/>
    <xf numFmtId="0" fontId="0" fillId="0" borderId="0" xfId="0" applyProtection="1"/>
    <xf numFmtId="0" fontId="0" fillId="0" borderId="0" xfId="0" applyBorder="1" applyProtection="1"/>
    <xf numFmtId="0" fontId="13" fillId="0" borderId="0" xfId="0" applyFont="1" applyAlignment="1"/>
    <xf numFmtId="0" fontId="0" fillId="0" borderId="0" xfId="0" applyFill="1"/>
    <xf numFmtId="0" fontId="13" fillId="0" borderId="0" xfId="0" applyFont="1" applyFill="1"/>
    <xf numFmtId="0" fontId="22" fillId="0" borderId="0" xfId="0" applyFont="1" applyProtection="1"/>
    <xf numFmtId="0" fontId="22" fillId="0" borderId="0" xfId="0" applyFont="1" applyProtection="1">
      <protection locked="0"/>
    </xf>
    <xf numFmtId="0" fontId="8" fillId="0" borderId="0" xfId="0" applyFont="1" applyProtection="1"/>
    <xf numFmtId="0" fontId="0" fillId="0" borderId="0" xfId="0" applyFill="1" applyProtection="1"/>
    <xf numFmtId="0" fontId="24" fillId="0" borderId="0" xfId="0" applyFont="1" applyAlignment="1" applyProtection="1">
      <alignment horizontal="right" vertical="top"/>
    </xf>
    <xf numFmtId="164" fontId="13" fillId="0" borderId="0" xfId="0" applyNumberFormat="1" applyFont="1" applyAlignment="1" applyProtection="1">
      <alignment horizontal="left" wrapText="1"/>
    </xf>
    <xf numFmtId="0" fontId="13" fillId="0" borderId="0" xfId="0" applyFont="1" applyAlignment="1">
      <alignment horizontal="left" wrapText="1"/>
    </xf>
    <xf numFmtId="49" fontId="26" fillId="0" borderId="0" xfId="0" applyNumberFormat="1" applyFont="1" applyAlignment="1">
      <alignment horizontal="right" vertical="top" indent="1"/>
    </xf>
    <xf numFmtId="49" fontId="26" fillId="0" borderId="0" xfId="0" applyNumberFormat="1" applyFont="1" applyAlignment="1">
      <alignment horizontal="right" vertical="top"/>
    </xf>
    <xf numFmtId="0" fontId="0" fillId="0" borderId="0" xfId="0" applyAlignment="1"/>
    <xf numFmtId="0" fontId="13" fillId="0" borderId="0" xfId="0" applyFont="1" applyAlignment="1">
      <alignment horizontal="left"/>
    </xf>
    <xf numFmtId="0" fontId="23" fillId="0" borderId="0" xfId="0" applyFont="1"/>
    <xf numFmtId="49" fontId="28" fillId="0" borderId="0" xfId="0" applyNumberFormat="1" applyFont="1" applyAlignment="1">
      <alignment horizontal="right" vertical="top" indent="1"/>
    </xf>
    <xf numFmtId="0" fontId="24" fillId="0" borderId="0" xfId="0" applyFont="1" applyAlignment="1" applyProtection="1">
      <alignment horizontal="left" vertical="center" wrapText="1"/>
    </xf>
    <xf numFmtId="0" fontId="0" fillId="0" borderId="0" xfId="0" applyAlignment="1">
      <alignment horizontal="left" vertical="center" wrapText="1"/>
    </xf>
    <xf numFmtId="49" fontId="26" fillId="0" borderId="0" xfId="0" applyNumberFormat="1" applyFont="1" applyAlignment="1">
      <alignment horizontal="right" vertical="center"/>
    </xf>
    <xf numFmtId="0" fontId="12" fillId="0" borderId="0" xfId="12" applyFont="1" applyBorder="1" applyAlignment="1" applyProtection="1">
      <alignment vertical="center"/>
    </xf>
    <xf numFmtId="0" fontId="14" fillId="0" borderId="0" xfId="12" applyNumberFormat="1" applyFont="1" applyBorder="1" applyAlignment="1" applyProtection="1">
      <alignment horizontal="left" vertical="center"/>
    </xf>
    <xf numFmtId="0" fontId="14" fillId="0" borderId="0" xfId="12" applyNumberFormat="1" applyFont="1" applyBorder="1" applyAlignment="1" applyProtection="1">
      <alignment vertical="center"/>
    </xf>
    <xf numFmtId="0" fontId="9" fillId="0" borderId="0" xfId="12" applyNumberFormat="1" applyFont="1" applyBorder="1" applyAlignment="1" applyProtection="1">
      <alignment vertical="center"/>
    </xf>
    <xf numFmtId="0" fontId="12" fillId="0" borderId="0" xfId="12" applyNumberFormat="1" applyFont="1" applyBorder="1" applyAlignment="1" applyProtection="1">
      <alignment vertical="center"/>
    </xf>
    <xf numFmtId="0" fontId="12" fillId="0" borderId="0" xfId="12" applyNumberFormat="1" applyFont="1" applyBorder="1" applyAlignment="1" applyProtection="1">
      <alignment horizontal="left" vertical="center"/>
    </xf>
    <xf numFmtId="0" fontId="9" fillId="0" borderId="0" xfId="12" applyNumberFormat="1" applyFont="1" applyBorder="1" applyAlignment="1" applyProtection="1">
      <alignment horizontal="left" vertical="center"/>
    </xf>
    <xf numFmtId="0" fontId="12" fillId="0" borderId="0" xfId="0" applyNumberFormat="1" applyFont="1" applyBorder="1" applyAlignment="1" applyProtection="1">
      <alignment vertical="center"/>
    </xf>
    <xf numFmtId="0" fontId="12" fillId="0" borderId="0" xfId="12" applyNumberFormat="1" applyFont="1" applyBorder="1" applyAlignment="1" applyProtection="1">
      <alignment horizontal="centerContinuous" vertical="center"/>
    </xf>
    <xf numFmtId="0" fontId="22" fillId="0" borderId="0" xfId="0" applyFont="1" applyFill="1" applyProtection="1"/>
    <xf numFmtId="0" fontId="12" fillId="0" borderId="0" xfId="12" applyFont="1" applyBorder="1" applyAlignment="1" applyProtection="1">
      <alignment horizontal="left" vertical="center"/>
    </xf>
    <xf numFmtId="0" fontId="30" fillId="0" borderId="0" xfId="12" applyFont="1" applyBorder="1" applyAlignment="1" applyProtection="1">
      <alignment vertical="center"/>
    </xf>
    <xf numFmtId="0" fontId="11" fillId="0" borderId="0" xfId="12" applyFont="1" applyBorder="1" applyAlignment="1" applyProtection="1">
      <alignment horizontal="center" vertical="center"/>
    </xf>
    <xf numFmtId="0" fontId="11" fillId="0" borderId="0" xfId="12" applyFont="1" applyBorder="1" applyAlignment="1" applyProtection="1">
      <alignment horizontal="left" vertical="center"/>
    </xf>
    <xf numFmtId="0" fontId="14" fillId="0" borderId="0" xfId="12" applyNumberFormat="1" applyFont="1" applyBorder="1" applyAlignment="1" applyProtection="1">
      <alignment horizontal="center" vertical="center"/>
    </xf>
    <xf numFmtId="0" fontId="9" fillId="0" borderId="0" xfId="12" applyFont="1" applyBorder="1" applyAlignment="1" applyProtection="1">
      <alignment vertical="center"/>
    </xf>
    <xf numFmtId="0" fontId="10" fillId="0" borderId="0" xfId="12" applyFont="1" applyBorder="1" applyAlignment="1" applyProtection="1">
      <alignment horizontal="left" vertical="center"/>
    </xf>
    <xf numFmtId="0" fontId="12" fillId="0" borderId="0" xfId="12" quotePrefix="1" applyNumberFormat="1" applyFont="1" applyBorder="1" applyAlignment="1" applyProtection="1">
      <alignment horizontal="left" vertical="center"/>
    </xf>
    <xf numFmtId="0" fontId="9" fillId="0" borderId="12" xfId="12" applyFont="1" applyBorder="1" applyAlignment="1" applyProtection="1">
      <alignment vertical="center"/>
    </xf>
    <xf numFmtId="0" fontId="12" fillId="0" borderId="16" xfId="12" applyFont="1" applyBorder="1" applyAlignment="1" applyProtection="1">
      <alignment vertical="center"/>
    </xf>
    <xf numFmtId="0" fontId="12" fillId="0" borderId="10" xfId="12" applyFont="1" applyBorder="1" applyAlignment="1" applyProtection="1">
      <alignment vertical="center"/>
    </xf>
    <xf numFmtId="0" fontId="9" fillId="0" borderId="17" xfId="12" applyFont="1" applyBorder="1" applyAlignment="1" applyProtection="1">
      <alignment vertical="center"/>
    </xf>
    <xf numFmtId="0" fontId="12" fillId="0" borderId="18" xfId="12" applyFont="1" applyBorder="1" applyAlignment="1" applyProtection="1">
      <alignment vertical="center"/>
    </xf>
    <xf numFmtId="0" fontId="14" fillId="0" borderId="0" xfId="0" applyNumberFormat="1" applyFont="1" applyFill="1" applyBorder="1" applyAlignment="1" applyProtection="1">
      <alignment vertical="center"/>
    </xf>
    <xf numFmtId="0" fontId="9" fillId="0" borderId="16" xfId="12" applyNumberFormat="1" applyFont="1" applyBorder="1" applyAlignment="1" applyProtection="1">
      <alignment vertical="center"/>
    </xf>
    <xf numFmtId="0" fontId="12" fillId="0" borderId="16" xfId="12" applyNumberFormat="1" applyFont="1" applyBorder="1" applyAlignment="1" applyProtection="1">
      <alignment vertical="center"/>
    </xf>
    <xf numFmtId="0" fontId="12" fillId="0" borderId="20" xfId="12" applyNumberFormat="1" applyFont="1" applyBorder="1" applyAlignment="1" applyProtection="1">
      <alignment vertical="center"/>
    </xf>
    <xf numFmtId="0" fontId="12" fillId="0" borderId="10" xfId="12" applyNumberFormat="1" applyFont="1" applyBorder="1" applyAlignment="1" applyProtection="1">
      <alignment horizontal="left" vertical="center"/>
    </xf>
    <xf numFmtId="0" fontId="12" fillId="0" borderId="17" xfId="12" applyNumberFormat="1" applyFont="1" applyBorder="1" applyAlignment="1" applyProtection="1">
      <alignment vertical="center"/>
    </xf>
    <xf numFmtId="0" fontId="12" fillId="0" borderId="18" xfId="12" applyNumberFormat="1" applyFont="1" applyBorder="1" applyAlignment="1" applyProtection="1">
      <alignment vertical="center"/>
    </xf>
    <xf numFmtId="0" fontId="9" fillId="0" borderId="10" xfId="12" applyNumberFormat="1" applyFont="1" applyBorder="1" applyAlignment="1" applyProtection="1">
      <alignment horizontal="left" vertical="center"/>
    </xf>
    <xf numFmtId="0" fontId="12" fillId="0" borderId="10" xfId="12" applyNumberFormat="1" applyFont="1" applyBorder="1" applyAlignment="1" applyProtection="1">
      <alignment vertical="center"/>
    </xf>
    <xf numFmtId="0" fontId="12" fillId="0" borderId="16" xfId="12" applyNumberFormat="1" applyFont="1" applyFill="1" applyBorder="1" applyAlignment="1" applyProtection="1">
      <alignment vertical="center"/>
    </xf>
    <xf numFmtId="0" fontId="14" fillId="0" borderId="16" xfId="0" applyNumberFormat="1" applyFont="1" applyFill="1" applyBorder="1" applyAlignment="1" applyProtection="1">
      <alignment vertical="center"/>
    </xf>
    <xf numFmtId="0" fontId="14" fillId="0" borderId="10" xfId="0" applyNumberFormat="1" applyFont="1" applyFill="1" applyBorder="1" applyAlignment="1" applyProtection="1">
      <alignment vertical="center"/>
    </xf>
    <xf numFmtId="0" fontId="14" fillId="0" borderId="18" xfId="0" applyNumberFormat="1" applyFont="1" applyFill="1" applyBorder="1" applyAlignment="1" applyProtection="1">
      <alignment vertical="center"/>
    </xf>
    <xf numFmtId="0" fontId="9" fillId="0" borderId="10" xfId="12" applyNumberFormat="1" applyFont="1" applyFill="1" applyBorder="1" applyAlignment="1" applyProtection="1">
      <alignment vertical="center"/>
    </xf>
    <xf numFmtId="0" fontId="9" fillId="0" borderId="12" xfId="12" quotePrefix="1" applyNumberFormat="1" applyFont="1" applyBorder="1" applyAlignment="1" applyProtection="1">
      <alignment horizontal="left" vertical="center"/>
    </xf>
    <xf numFmtId="0" fontId="12" fillId="0" borderId="17" xfId="12" applyNumberFormat="1" applyFont="1" applyBorder="1" applyAlignment="1" applyProtection="1">
      <alignment horizontal="right" vertical="center"/>
    </xf>
    <xf numFmtId="0" fontId="9" fillId="0" borderId="0" xfId="0" applyFont="1" applyAlignment="1">
      <alignment horizontal="left" vertical="center"/>
    </xf>
    <xf numFmtId="0" fontId="9" fillId="0" borderId="0" xfId="0" applyFont="1" applyAlignment="1"/>
    <xf numFmtId="0" fontId="0" fillId="0" borderId="16" xfId="0" applyNumberFormat="1" applyBorder="1" applyAlignment="1">
      <alignment horizontal="left" vertical="center"/>
    </xf>
    <xf numFmtId="0" fontId="12" fillId="0" borderId="12" xfId="12" applyFont="1" applyBorder="1" applyAlignment="1" applyProtection="1">
      <alignment vertical="center"/>
    </xf>
    <xf numFmtId="0" fontId="9" fillId="0" borderId="16" xfId="0" applyNumberFormat="1" applyFont="1" applyBorder="1" applyAlignment="1">
      <alignment horizontal="left" vertical="center"/>
    </xf>
    <xf numFmtId="0" fontId="9" fillId="0" borderId="18" xfId="12" applyNumberFormat="1" applyFont="1" applyBorder="1" applyAlignment="1" applyProtection="1">
      <alignment vertical="center"/>
    </xf>
    <xf numFmtId="0" fontId="9" fillId="0" borderId="10" xfId="12" applyNumberFormat="1" applyFont="1" applyBorder="1" applyAlignment="1" applyProtection="1">
      <alignment vertical="center"/>
    </xf>
    <xf numFmtId="0" fontId="9" fillId="0" borderId="16" xfId="12" applyNumberFormat="1" applyFont="1" applyBorder="1" applyAlignment="1" applyProtection="1">
      <alignment horizontal="left" vertical="center"/>
    </xf>
    <xf numFmtId="0" fontId="9" fillId="0" borderId="16" xfId="12" applyFont="1" applyBorder="1" applyAlignment="1" applyProtection="1">
      <alignment vertical="center"/>
    </xf>
    <xf numFmtId="0" fontId="12" fillId="0" borderId="0" xfId="12" applyNumberFormat="1" applyFont="1" applyBorder="1" applyAlignment="1" applyProtection="1">
      <alignment horizontal="center" vertical="center"/>
    </xf>
    <xf numFmtId="0" fontId="13" fillId="0" borderId="16" xfId="0" applyNumberFormat="1" applyFont="1" applyBorder="1" applyAlignment="1">
      <alignment horizontal="left" vertical="center"/>
    </xf>
    <xf numFmtId="0" fontId="12" fillId="0" borderId="16" xfId="12" applyNumberFormat="1" applyFont="1" applyBorder="1" applyAlignment="1" applyProtection="1">
      <alignment horizontal="left" vertical="center"/>
    </xf>
    <xf numFmtId="0" fontId="10" fillId="0" borderId="16" xfId="12" applyFont="1" applyBorder="1" applyAlignment="1" applyProtection="1">
      <alignment vertical="center"/>
    </xf>
    <xf numFmtId="0" fontId="10" fillId="0" borderId="16" xfId="12" applyNumberFormat="1" applyFont="1" applyBorder="1" applyAlignment="1" applyProtection="1">
      <alignment horizontal="left" vertical="center"/>
    </xf>
    <xf numFmtId="0" fontId="10" fillId="0" borderId="16" xfId="0" applyNumberFormat="1" applyFont="1" applyBorder="1" applyAlignment="1">
      <alignment horizontal="left" vertical="center"/>
    </xf>
    <xf numFmtId="0" fontId="12" fillId="0" borderId="16" xfId="12" applyFont="1" applyBorder="1" applyAlignment="1" applyProtection="1">
      <alignment horizontal="left" vertical="center"/>
    </xf>
    <xf numFmtId="0" fontId="9" fillId="0" borderId="16" xfId="12" applyFont="1" applyBorder="1" applyAlignment="1" applyProtection="1">
      <alignment horizontal="left" vertical="center"/>
    </xf>
    <xf numFmtId="0" fontId="12" fillId="0" borderId="10" xfId="12" applyFont="1" applyBorder="1" applyAlignment="1" applyProtection="1">
      <alignment horizontal="left" vertical="center"/>
    </xf>
    <xf numFmtId="0" fontId="11" fillId="0" borderId="0" xfId="12" applyNumberFormat="1" applyFont="1" applyBorder="1" applyAlignment="1" applyProtection="1">
      <alignment horizontal="center" vertical="center"/>
    </xf>
    <xf numFmtId="0" fontId="11" fillId="0" borderId="0" xfId="12" applyFont="1" applyBorder="1" applyAlignment="1" applyProtection="1">
      <alignment vertical="center"/>
    </xf>
    <xf numFmtId="0" fontId="9" fillId="0" borderId="12" xfId="12" applyNumberFormat="1" applyFont="1" applyBorder="1" applyAlignment="1" applyProtection="1">
      <alignment horizontal="left" vertical="center"/>
    </xf>
    <xf numFmtId="0" fontId="9" fillId="0" borderId="12" xfId="12" applyNumberFormat="1" applyFont="1" applyFill="1" applyBorder="1" applyAlignment="1" applyProtection="1">
      <alignment vertical="center"/>
    </xf>
    <xf numFmtId="0" fontId="9" fillId="0" borderId="12" xfId="0" applyNumberFormat="1" applyFont="1" applyFill="1" applyBorder="1" applyAlignment="1" applyProtection="1">
      <alignment vertical="center"/>
    </xf>
    <xf numFmtId="0" fontId="9" fillId="0" borderId="17" xfId="0" applyNumberFormat="1" applyFont="1" applyFill="1" applyBorder="1" applyAlignment="1" applyProtection="1">
      <alignment vertical="center"/>
    </xf>
    <xf numFmtId="0" fontId="9" fillId="0" borderId="12" xfId="12" applyNumberFormat="1" applyFont="1" applyBorder="1" applyAlignment="1" applyProtection="1">
      <alignment vertical="center"/>
    </xf>
    <xf numFmtId="0" fontId="9" fillId="0" borderId="17" xfId="12" applyNumberFormat="1" applyFont="1" applyBorder="1" applyAlignment="1" applyProtection="1">
      <alignment horizontal="left" vertical="center"/>
    </xf>
    <xf numFmtId="0" fontId="9" fillId="0" borderId="16" xfId="12" quotePrefix="1" applyNumberFormat="1" applyFont="1" applyBorder="1" applyAlignment="1" applyProtection="1">
      <alignment horizontal="left" vertical="center"/>
    </xf>
    <xf numFmtId="0" fontId="12" fillId="0" borderId="16" xfId="0" applyNumberFormat="1" applyFont="1" applyBorder="1" applyAlignment="1">
      <alignment vertical="center"/>
    </xf>
    <xf numFmtId="0" fontId="9" fillId="0" borderId="0" xfId="12" applyNumberFormat="1" applyFont="1" applyBorder="1" applyAlignment="1" applyProtection="1">
      <alignment horizontal="left" vertical="center" indent="1"/>
    </xf>
    <xf numFmtId="0" fontId="12" fillId="0" borderId="19" xfId="12" applyNumberFormat="1" applyFont="1" applyBorder="1" applyAlignment="1" applyProtection="1">
      <alignment vertical="center"/>
    </xf>
    <xf numFmtId="0" fontId="9" fillId="0" borderId="20" xfId="12" applyNumberFormat="1" applyFont="1" applyBorder="1" applyAlignment="1" applyProtection="1">
      <alignment vertical="top"/>
    </xf>
    <xf numFmtId="0" fontId="9" fillId="0" borderId="20" xfId="12" quotePrefix="1" applyNumberFormat="1" applyFont="1" applyBorder="1" applyAlignment="1" applyProtection="1">
      <alignment horizontal="left" vertical="center"/>
    </xf>
    <xf numFmtId="0" fontId="12" fillId="0" borderId="11" xfId="12" applyNumberFormat="1" applyFont="1" applyBorder="1" applyAlignment="1" applyProtection="1">
      <alignment vertical="center"/>
    </xf>
    <xf numFmtId="0" fontId="34" fillId="0" borderId="18" xfId="0" applyFont="1" applyBorder="1" applyAlignment="1">
      <alignment horizontal="left" vertical="center" indent="1"/>
    </xf>
    <xf numFmtId="0" fontId="19" fillId="0" borderId="0" xfId="12" applyNumberFormat="1" applyFont="1" applyBorder="1" applyAlignment="1" applyProtection="1">
      <alignment horizontal="center" vertical="center"/>
    </xf>
    <xf numFmtId="0" fontId="14" fillId="0" borderId="0" xfId="12" applyNumberFormat="1" applyFont="1" applyBorder="1" applyAlignment="1" applyProtection="1">
      <alignment horizontal="left" vertical="center" indent="2"/>
    </xf>
    <xf numFmtId="0" fontId="19" fillId="0" borderId="2" xfId="12" applyFont="1" applyBorder="1" applyAlignment="1" applyProtection="1">
      <alignment horizontal="center" vertical="center"/>
      <protection locked="0"/>
    </xf>
    <xf numFmtId="0" fontId="19" fillId="0" borderId="2" xfId="12" applyNumberFormat="1" applyFont="1" applyBorder="1" applyAlignment="1" applyProtection="1">
      <alignment horizontal="center" vertical="center"/>
      <protection locked="0"/>
    </xf>
    <xf numFmtId="0" fontId="29" fillId="0" borderId="0" xfId="12" applyFont="1" applyBorder="1" applyAlignment="1" applyProtection="1">
      <alignment horizontal="left" vertical="center"/>
    </xf>
    <xf numFmtId="0" fontId="11" fillId="0" borderId="2" xfId="12" applyFont="1" applyBorder="1" applyAlignment="1" applyProtection="1">
      <alignment horizontal="center" vertical="center"/>
      <protection locked="0"/>
    </xf>
    <xf numFmtId="0" fontId="9" fillId="0" borderId="12" xfId="0" applyNumberFormat="1" applyFont="1" applyBorder="1" applyAlignment="1" applyProtection="1">
      <alignment horizontal="left" vertical="center"/>
    </xf>
    <xf numFmtId="0" fontId="11" fillId="0" borderId="16" xfId="0" applyFont="1" applyBorder="1" applyAlignment="1" applyProtection="1">
      <alignment horizontal="left" vertical="center"/>
    </xf>
    <xf numFmtId="49" fontId="11" fillId="0" borderId="16" xfId="0" applyNumberFormat="1" applyFont="1" applyBorder="1" applyAlignment="1" applyProtection="1">
      <alignment horizontal="left" vertical="center" wrapText="1"/>
    </xf>
    <xf numFmtId="49" fontId="11" fillId="0" borderId="10" xfId="0" applyNumberFormat="1" applyFont="1" applyBorder="1" applyAlignment="1" applyProtection="1">
      <alignment horizontal="left" vertical="center" wrapText="1"/>
    </xf>
    <xf numFmtId="0" fontId="11" fillId="0" borderId="12" xfId="12" applyNumberFormat="1" applyFont="1" applyFill="1" applyBorder="1" applyAlignment="1" applyProtection="1">
      <alignment horizontal="left" vertical="center" indent="1"/>
    </xf>
    <xf numFmtId="0" fontId="11" fillId="0" borderId="16" xfId="0" applyFont="1" applyBorder="1" applyAlignment="1" applyProtection="1">
      <alignment horizontal="left" vertical="center" indent="1"/>
    </xf>
    <xf numFmtId="0" fontId="12" fillId="0" borderId="0" xfId="12" applyFont="1" applyBorder="1" applyAlignment="1" applyProtection="1">
      <alignment horizontal="left" vertical="center" indent="1"/>
    </xf>
    <xf numFmtId="0" fontId="21" fillId="0" borderId="0" xfId="12" applyNumberFormat="1" applyFont="1" applyBorder="1" applyAlignment="1" applyProtection="1">
      <alignment horizontal="left" vertical="center" indent="1"/>
    </xf>
    <xf numFmtId="0" fontId="12" fillId="0" borderId="19" xfId="12" applyFont="1" applyBorder="1" applyAlignment="1" applyProtection="1">
      <alignment vertical="center"/>
    </xf>
    <xf numFmtId="0" fontId="11" fillId="0" borderId="0" xfId="0" applyFont="1" applyBorder="1" applyAlignment="1" applyProtection="1">
      <alignment horizontal="left" vertical="center" indent="1"/>
    </xf>
    <xf numFmtId="0" fontId="12" fillId="0" borderId="0" xfId="12" applyFont="1" applyFill="1" applyBorder="1" applyAlignment="1" applyProtection="1">
      <alignment vertical="center"/>
    </xf>
    <xf numFmtId="0" fontId="12" fillId="0" borderId="17" xfId="12" applyFont="1" applyBorder="1" applyAlignment="1" applyProtection="1">
      <alignment vertical="center"/>
    </xf>
    <xf numFmtId="0" fontId="14" fillId="0" borderId="20" xfId="12" applyNumberFormat="1" applyFont="1" applyBorder="1" applyAlignment="1" applyProtection="1">
      <alignment vertical="center"/>
    </xf>
    <xf numFmtId="0" fontId="9" fillId="0" borderId="0" xfId="12" applyNumberFormat="1" applyFont="1" applyBorder="1" applyAlignment="1" applyProtection="1">
      <alignment horizontal="center" vertical="center"/>
    </xf>
    <xf numFmtId="0" fontId="32" fillId="0" borderId="0" xfId="0" applyFont="1" applyBorder="1" applyAlignment="1" applyProtection="1">
      <alignment horizontal="left" vertical="center" indent="1"/>
    </xf>
    <xf numFmtId="0" fontId="12" fillId="0" borderId="12" xfId="12" applyFont="1" applyFill="1" applyBorder="1" applyAlignment="1" applyProtection="1">
      <alignment vertical="center"/>
    </xf>
    <xf numFmtId="0" fontId="12" fillId="0" borderId="16" xfId="12" applyFont="1" applyFill="1" applyBorder="1" applyAlignment="1" applyProtection="1">
      <alignment vertical="center"/>
    </xf>
    <xf numFmtId="0" fontId="12" fillId="0" borderId="10" xfId="12" applyFont="1" applyFill="1" applyBorder="1" applyAlignment="1" applyProtection="1">
      <alignment vertical="center"/>
    </xf>
    <xf numFmtId="0" fontId="12" fillId="0" borderId="18" xfId="0" applyNumberFormat="1" applyFont="1" applyBorder="1" applyAlignment="1" applyProtection="1">
      <alignment horizontal="left" vertical="center"/>
    </xf>
    <xf numFmtId="0" fontId="0" fillId="0" borderId="0" xfId="0" applyBorder="1" applyAlignment="1">
      <alignment horizontal="left" indent="2"/>
    </xf>
    <xf numFmtId="164" fontId="32" fillId="0" borderId="0" xfId="0" applyNumberFormat="1" applyFont="1" applyBorder="1" applyAlignment="1" applyProtection="1">
      <alignment horizontal="center" vertical="center"/>
    </xf>
    <xf numFmtId="0" fontId="12" fillId="0" borderId="16" xfId="0" applyNumberFormat="1" applyFont="1" applyBorder="1" applyAlignment="1">
      <alignment horizontal="left" vertical="center"/>
    </xf>
    <xf numFmtId="0" fontId="22" fillId="0" borderId="0" xfId="0" applyFont="1" applyFill="1"/>
    <xf numFmtId="168" fontId="13" fillId="0" borderId="0" xfId="0" applyNumberFormat="1" applyFont="1"/>
    <xf numFmtId="0" fontId="22" fillId="0" borderId="0" xfId="0" applyFont="1"/>
    <xf numFmtId="0" fontId="33" fillId="0" borderId="0" xfId="2" applyFont="1" applyBorder="1" applyAlignment="1" applyProtection="1"/>
    <xf numFmtId="0" fontId="17" fillId="0" borderId="0" xfId="0" applyFont="1" applyBorder="1" applyProtection="1"/>
    <xf numFmtId="0" fontId="17" fillId="0" borderId="18" xfId="0" applyFont="1" applyBorder="1" applyProtection="1"/>
    <xf numFmtId="0" fontId="39" fillId="0" borderId="0" xfId="0" applyFont="1" applyBorder="1" applyProtection="1"/>
    <xf numFmtId="0" fontId="0" fillId="0" borderId="19" xfId="0" applyBorder="1" applyProtection="1"/>
    <xf numFmtId="0" fontId="0" fillId="0" borderId="20" xfId="0" applyBorder="1" applyProtection="1"/>
    <xf numFmtId="0" fontId="11" fillId="0" borderId="22" xfId="0" applyFont="1" applyBorder="1" applyAlignment="1" applyProtection="1">
      <alignment horizontal="center"/>
      <protection locked="0"/>
    </xf>
    <xf numFmtId="0" fontId="15" fillId="0" borderId="0" xfId="12" applyFont="1" applyBorder="1" applyAlignment="1" applyProtection="1">
      <alignment horizontal="left" vertical="center" indent="1"/>
    </xf>
    <xf numFmtId="1" fontId="8" fillId="0" borderId="0" xfId="0" applyNumberFormat="1" applyFont="1" applyAlignment="1">
      <alignment horizontal="right"/>
    </xf>
    <xf numFmtId="1" fontId="8" fillId="0" borderId="0" xfId="0" applyNumberFormat="1" applyFont="1" applyFill="1" applyAlignment="1">
      <alignment horizontal="right"/>
    </xf>
    <xf numFmtId="0" fontId="12" fillId="0" borderId="0" xfId="0" applyFont="1" applyBorder="1" applyAlignment="1" applyProtection="1">
      <alignment horizontal="left" vertical="center" indent="1"/>
    </xf>
    <xf numFmtId="0" fontId="8" fillId="0" borderId="0" xfId="0" applyFont="1" applyBorder="1" applyAlignment="1" applyProtection="1">
      <alignment horizontal="left" vertical="center" indent="1"/>
    </xf>
    <xf numFmtId="0" fontId="9" fillId="0" borderId="0" xfId="0" applyFont="1" applyAlignment="1">
      <alignment horizontal="left" wrapText="1"/>
    </xf>
    <xf numFmtId="49" fontId="25" fillId="0" borderId="0" xfId="0" applyNumberFormat="1" applyFont="1" applyAlignment="1">
      <alignment horizontal="center" vertical="top"/>
    </xf>
    <xf numFmtId="49" fontId="25" fillId="0" borderId="0" xfId="0" applyNumberFormat="1" applyFont="1" applyAlignment="1">
      <alignment horizontal="right" vertical="top"/>
    </xf>
    <xf numFmtId="0" fontId="9" fillId="0" borderId="0" xfId="0" applyNumberFormat="1" applyFont="1" applyAlignment="1">
      <alignment horizontal="left" wrapText="1"/>
    </xf>
    <xf numFmtId="49" fontId="25" fillId="0" borderId="0" xfId="0" applyNumberFormat="1" applyFont="1" applyAlignment="1">
      <alignment horizontal="right" vertical="center"/>
    </xf>
    <xf numFmtId="0" fontId="48" fillId="0" borderId="0" xfId="0" applyFont="1" applyAlignment="1">
      <alignment horizontal="left" wrapText="1" indent="4"/>
    </xf>
    <xf numFmtId="0" fontId="18" fillId="0" borderId="2" xfId="12" applyNumberFormat="1" applyFont="1" applyBorder="1" applyAlignment="1" applyProtection="1">
      <alignment horizontal="center" vertical="center"/>
      <protection locked="0"/>
    </xf>
    <xf numFmtId="0" fontId="18" fillId="0" borderId="2" xfId="12" applyFont="1" applyBorder="1" applyAlignment="1" applyProtection="1">
      <alignment horizontal="center" vertical="center"/>
      <protection locked="0"/>
    </xf>
    <xf numFmtId="14" fontId="8" fillId="0" borderId="0" xfId="0" applyNumberFormat="1" applyFont="1" applyAlignment="1">
      <alignment horizontal="right"/>
    </xf>
    <xf numFmtId="0" fontId="32" fillId="0" borderId="17" xfId="12" applyNumberFormat="1" applyFont="1" applyFill="1" applyBorder="1" applyAlignment="1" applyProtection="1">
      <alignment horizontal="left" vertical="center" indent="1"/>
    </xf>
    <xf numFmtId="0" fontId="11" fillId="0" borderId="17" xfId="12" applyNumberFormat="1" applyFont="1" applyFill="1" applyBorder="1" applyAlignment="1" applyProtection="1">
      <alignment horizontal="left" vertical="center" indent="1"/>
    </xf>
    <xf numFmtId="0" fontId="14" fillId="0" borderId="17" xfId="12" applyNumberFormat="1" applyFont="1" applyBorder="1" applyAlignment="1" applyProtection="1">
      <alignment vertical="center"/>
    </xf>
    <xf numFmtId="0" fontId="12" fillId="0" borderId="126" xfId="12" applyNumberFormat="1" applyFont="1" applyBorder="1" applyAlignment="1" applyProtection="1">
      <alignment horizontal="right" vertical="center"/>
    </xf>
    <xf numFmtId="0" fontId="9" fillId="0" borderId="126" xfId="12" applyFont="1" applyBorder="1" applyAlignment="1" applyProtection="1">
      <alignment vertical="center"/>
    </xf>
    <xf numFmtId="0" fontId="12" fillId="0" borderId="129" xfId="12" applyFont="1" applyBorder="1" applyAlignment="1" applyProtection="1">
      <alignment vertical="center"/>
    </xf>
    <xf numFmtId="0" fontId="12" fillId="0" borderId="127" xfId="12" applyFont="1" applyBorder="1" applyAlignment="1" applyProtection="1">
      <alignment vertical="center"/>
    </xf>
    <xf numFmtId="1" fontId="8" fillId="0" borderId="0" xfId="0" applyNumberFormat="1" applyFont="1" applyAlignment="1">
      <alignment horizontal="center" vertical="center"/>
    </xf>
    <xf numFmtId="0" fontId="9" fillId="0" borderId="136" xfId="12" applyFont="1" applyBorder="1" applyAlignment="1" applyProtection="1">
      <alignment vertical="center"/>
    </xf>
    <xf numFmtId="0" fontId="9" fillId="0" borderId="12" xfId="12" applyFont="1" applyBorder="1" applyAlignment="1" applyProtection="1">
      <alignment horizontal="left" vertical="center"/>
    </xf>
    <xf numFmtId="0" fontId="52" fillId="0" borderId="47" xfId="0" applyFont="1" applyFill="1" applyBorder="1" applyAlignment="1">
      <alignment horizontal="left" vertical="center"/>
    </xf>
    <xf numFmtId="0" fontId="53" fillId="0" borderId="0" xfId="0" applyFont="1" applyBorder="1"/>
    <xf numFmtId="0" fontId="53" fillId="0" borderId="47" xfId="0" applyFont="1" applyBorder="1" applyAlignment="1">
      <alignment horizontal="centerContinuous" vertical="center"/>
    </xf>
    <xf numFmtId="0" fontId="53" fillId="0" borderId="25" xfId="0" applyFont="1" applyBorder="1"/>
    <xf numFmtId="0" fontId="52" fillId="0" borderId="25" xfId="0" applyFont="1" applyBorder="1" applyAlignment="1">
      <alignment horizontal="left" vertical="center"/>
    </xf>
    <xf numFmtId="0" fontId="52" fillId="0" borderId="25" xfId="0" applyFont="1" applyBorder="1" applyAlignment="1">
      <alignment horizontal="center" vertical="center" wrapText="1"/>
    </xf>
    <xf numFmtId="0" fontId="53" fillId="0" borderId="0" xfId="0" applyFont="1" applyBorder="1" applyAlignment="1">
      <alignment horizontal="left"/>
    </xf>
    <xf numFmtId="0" fontId="52" fillId="0" borderId="0" xfId="0" applyFont="1" applyBorder="1"/>
    <xf numFmtId="49" fontId="53" fillId="0" borderId="0" xfId="0" applyNumberFormat="1" applyFont="1" applyBorder="1" applyAlignment="1">
      <alignment horizontal="left"/>
    </xf>
    <xf numFmtId="49" fontId="54" fillId="0" borderId="0" xfId="2" applyNumberFormat="1" applyFont="1" applyBorder="1" applyAlignment="1" applyProtection="1">
      <alignment horizontal="center"/>
    </xf>
    <xf numFmtId="49" fontId="53" fillId="0" borderId="0" xfId="0" applyNumberFormat="1" applyFont="1" applyBorder="1" applyAlignment="1">
      <alignment horizontal="center"/>
    </xf>
    <xf numFmtId="0" fontId="53" fillId="0" borderId="0" xfId="0" applyFont="1" applyBorder="1" applyAlignment="1">
      <alignment horizontal="left" indent="1"/>
    </xf>
    <xf numFmtId="0" fontId="52" fillId="0" borderId="0" xfId="0" applyFont="1" applyBorder="1" applyAlignment="1">
      <alignment horizontal="left"/>
    </xf>
    <xf numFmtId="0" fontId="53" fillId="0" borderId="0" xfId="0" applyFont="1" applyBorder="1" applyAlignment="1">
      <alignment horizontal="centerContinuous" vertical="center"/>
    </xf>
    <xf numFmtId="0" fontId="53" fillId="0" borderId="0" xfId="0" applyFont="1" applyBorder="1" applyAlignment="1">
      <alignment vertical="center"/>
    </xf>
    <xf numFmtId="0" fontId="56" fillId="0" borderId="0" xfId="2" applyFont="1" applyBorder="1" applyAlignment="1" applyProtection="1">
      <alignment horizontal="left" indent="2"/>
    </xf>
    <xf numFmtId="0" fontId="57" fillId="0" borderId="0" xfId="0" applyFont="1" applyBorder="1"/>
    <xf numFmtId="0" fontId="60" fillId="0" borderId="0" xfId="0" applyFont="1" applyBorder="1"/>
    <xf numFmtId="164" fontId="62" fillId="0" borderId="0" xfId="0" applyNumberFormat="1" applyFont="1" applyBorder="1" applyAlignment="1" applyProtection="1">
      <alignment vertical="center"/>
    </xf>
    <xf numFmtId="0" fontId="55" fillId="0" borderId="0" xfId="0" applyFont="1" applyBorder="1"/>
    <xf numFmtId="0" fontId="55" fillId="0" borderId="0" xfId="0" applyFont="1" applyBorder="1" applyAlignment="1" applyProtection="1">
      <alignment vertical="center"/>
    </xf>
    <xf numFmtId="0" fontId="53" fillId="0" borderId="0" xfId="0" applyFont="1" applyBorder="1" applyAlignment="1" applyProtection="1">
      <alignment horizontal="left" vertical="top"/>
      <protection locked="0"/>
    </xf>
    <xf numFmtId="0" fontId="53" fillId="0" borderId="0" xfId="0" applyFont="1" applyFill="1" applyBorder="1"/>
    <xf numFmtId="0" fontId="60" fillId="0" borderId="0" xfId="0" applyFont="1" applyBorder="1" applyAlignment="1">
      <alignment vertical="center"/>
    </xf>
    <xf numFmtId="49" fontId="53" fillId="0" borderId="0" xfId="0" applyNumberFormat="1" applyFont="1" applyBorder="1" applyAlignment="1">
      <alignment horizontal="center" vertical="center"/>
    </xf>
    <xf numFmtId="49" fontId="53" fillId="0" borderId="0" xfId="0" applyNumberFormat="1" applyFont="1" applyBorder="1" applyAlignment="1">
      <alignment vertical="center"/>
    </xf>
    <xf numFmtId="49" fontId="65" fillId="0" borderId="0" xfId="0" applyNumberFormat="1" applyFont="1" applyBorder="1" applyAlignment="1">
      <alignment horizontal="left" vertical="center"/>
    </xf>
    <xf numFmtId="49" fontId="53" fillId="0" borderId="0" xfId="0" applyNumberFormat="1" applyFont="1" applyBorder="1" applyAlignment="1">
      <alignment horizontal="left" indent="2"/>
    </xf>
    <xf numFmtId="49" fontId="53" fillId="0" borderId="0" xfId="0" applyNumberFormat="1" applyFont="1" applyBorder="1"/>
    <xf numFmtId="49" fontId="53" fillId="0" borderId="0" xfId="0" applyNumberFormat="1" applyFont="1" applyBorder="1" applyAlignment="1">
      <alignment horizontal="left" indent="1"/>
    </xf>
    <xf numFmtId="49" fontId="56" fillId="0" borderId="0" xfId="2" applyNumberFormat="1" applyFont="1" applyBorder="1" applyAlignment="1" applyProtection="1">
      <alignment horizontal="left" indent="1"/>
    </xf>
    <xf numFmtId="49" fontId="53" fillId="0" borderId="0" xfId="0" applyNumberFormat="1" applyFont="1" applyFill="1" applyBorder="1" applyAlignment="1">
      <alignment horizontal="left" indent="1"/>
    </xf>
    <xf numFmtId="49" fontId="53" fillId="0" borderId="0" xfId="0" applyNumberFormat="1" applyFont="1" applyFill="1" applyBorder="1" applyAlignment="1">
      <alignment horizontal="left" indent="2"/>
    </xf>
    <xf numFmtId="49" fontId="53" fillId="0" borderId="0" xfId="0" applyNumberFormat="1" applyFont="1" applyFill="1" applyBorder="1" applyAlignment="1">
      <alignment horizontal="left" indent="3"/>
    </xf>
    <xf numFmtId="49" fontId="59" fillId="0" borderId="0" xfId="0" applyNumberFormat="1" applyFont="1" applyBorder="1" applyAlignment="1">
      <alignment horizontal="left" indent="2"/>
    </xf>
    <xf numFmtId="49" fontId="61" fillId="0" borderId="0" xfId="0" applyNumberFormat="1" applyFont="1" applyBorder="1" applyAlignment="1">
      <alignment horizontal="left" indent="5"/>
    </xf>
    <xf numFmtId="49" fontId="61" fillId="0" borderId="0" xfId="0" applyNumberFormat="1" applyFont="1" applyBorder="1" applyAlignment="1">
      <alignment horizontal="left" indent="3"/>
    </xf>
    <xf numFmtId="49" fontId="58" fillId="0" borderId="0" xfId="0" applyNumberFormat="1" applyFont="1" applyBorder="1" applyAlignment="1">
      <alignment horizontal="left"/>
    </xf>
    <xf numFmtId="49" fontId="56" fillId="0" borderId="0" xfId="2" applyNumberFormat="1" applyFont="1" applyBorder="1" applyAlignment="1" applyProtection="1">
      <alignment horizontal="left" indent="3"/>
    </xf>
    <xf numFmtId="49" fontId="53" fillId="0" borderId="0" xfId="0" applyNumberFormat="1" applyFont="1" applyFill="1" applyBorder="1"/>
    <xf numFmtId="49" fontId="56" fillId="0" borderId="0" xfId="2" applyNumberFormat="1" applyFont="1" applyBorder="1" applyAlignment="1" applyProtection="1">
      <alignment horizontal="left" indent="2"/>
    </xf>
    <xf numFmtId="0" fontId="55" fillId="0" borderId="0" xfId="0" applyFont="1" applyBorder="1" applyProtection="1"/>
    <xf numFmtId="0" fontId="55" fillId="0" borderId="0" xfId="0" applyFont="1" applyBorder="1" applyAlignment="1" applyProtection="1">
      <alignment horizontal="left"/>
    </xf>
    <xf numFmtId="164" fontId="60" fillId="0" borderId="0" xfId="0" applyNumberFormat="1" applyFont="1" applyBorder="1" applyAlignment="1" applyProtection="1">
      <alignment horizontal="left"/>
    </xf>
    <xf numFmtId="0" fontId="55" fillId="0" borderId="0" xfId="0" applyFont="1" applyBorder="1" applyAlignment="1" applyProtection="1">
      <alignment horizontal="center" vertical="top" textRotation="180"/>
    </xf>
    <xf numFmtId="0" fontId="55" fillId="0" borderId="0" xfId="0" applyFont="1" applyBorder="1" applyAlignment="1" applyProtection="1"/>
    <xf numFmtId="0" fontId="69" fillId="0" borderId="0" xfId="0" applyFont="1" applyBorder="1" applyAlignment="1" applyProtection="1">
      <alignment horizontal="centerContinuous" vertical="center"/>
    </xf>
    <xf numFmtId="164" fontId="62" fillId="0" borderId="0" xfId="0" applyNumberFormat="1" applyFont="1" applyBorder="1" applyAlignment="1" applyProtection="1">
      <alignment horizontal="left" vertical="center"/>
    </xf>
    <xf numFmtId="0" fontId="53" fillId="0" borderId="0" xfId="0" applyFont="1" applyBorder="1" applyAlignment="1" applyProtection="1">
      <alignment horizontal="left" vertical="center"/>
    </xf>
    <xf numFmtId="0" fontId="55" fillId="0" borderId="0" xfId="0" applyFont="1" applyBorder="1" applyAlignment="1"/>
    <xf numFmtId="0" fontId="69" fillId="0" borderId="0" xfId="0" applyFont="1" applyBorder="1" applyAlignment="1" applyProtection="1">
      <alignment horizontal="center" vertical="center"/>
    </xf>
    <xf numFmtId="0" fontId="60" fillId="0" borderId="0" xfId="0" applyFont="1" applyBorder="1" applyAlignment="1">
      <alignment horizontal="left" vertical="top"/>
    </xf>
    <xf numFmtId="164" fontId="60" fillId="0" borderId="0" xfId="0" applyNumberFormat="1" applyFont="1" applyBorder="1" applyAlignment="1">
      <alignment horizontal="left" vertical="top"/>
    </xf>
    <xf numFmtId="0" fontId="64" fillId="0" borderId="0" xfId="0" applyFont="1" applyBorder="1" applyAlignment="1" applyProtection="1">
      <alignment horizontal="left" vertical="center"/>
    </xf>
    <xf numFmtId="0" fontId="70" fillId="0" borderId="0" xfId="0" applyFont="1" applyBorder="1" applyAlignment="1">
      <alignment horizontal="left" vertical="top"/>
    </xf>
    <xf numFmtId="0" fontId="53" fillId="0" borderId="0" xfId="0" applyFont="1" applyBorder="1" applyProtection="1"/>
    <xf numFmtId="0" fontId="53" fillId="0" borderId="0" xfId="0" applyFont="1" applyBorder="1" applyAlignment="1" applyProtection="1">
      <alignment horizontal="left"/>
    </xf>
    <xf numFmtId="0" fontId="60" fillId="0" borderId="0" xfId="0" applyFont="1" applyBorder="1" applyProtection="1"/>
    <xf numFmtId="0" fontId="52" fillId="0" borderId="0" xfId="0" applyFont="1" applyBorder="1" applyAlignment="1" applyProtection="1">
      <alignment horizontal="center" vertical="center"/>
    </xf>
    <xf numFmtId="164" fontId="52" fillId="0" borderId="2" xfId="0" applyNumberFormat="1" applyFont="1" applyBorder="1" applyAlignment="1" applyProtection="1">
      <alignment horizontal="center" vertical="center"/>
      <protection locked="0"/>
    </xf>
    <xf numFmtId="0" fontId="60" fillId="0" borderId="0" xfId="0" applyFont="1" applyBorder="1" applyAlignment="1">
      <alignment horizontal="left" vertical="center"/>
    </xf>
    <xf numFmtId="0" fontId="53" fillId="0" borderId="0" xfId="0" applyFont="1" applyBorder="1" applyAlignment="1" applyProtection="1">
      <alignment vertical="center"/>
    </xf>
    <xf numFmtId="164" fontId="62" fillId="0" borderId="0" xfId="0" applyNumberFormat="1" applyFont="1" applyBorder="1" applyAlignment="1" applyProtection="1">
      <alignment horizontal="right" vertical="center"/>
    </xf>
    <xf numFmtId="164" fontId="60" fillId="0" borderId="0" xfId="0" applyNumberFormat="1" applyFont="1" applyBorder="1" applyAlignment="1" applyProtection="1">
      <alignment vertical="center"/>
    </xf>
    <xf numFmtId="0" fontId="60" fillId="0" borderId="0" xfId="0" applyFont="1" applyBorder="1" applyAlignment="1" applyProtection="1">
      <alignment horizontal="left" vertical="center" indent="1"/>
    </xf>
    <xf numFmtId="0" fontId="52" fillId="0" borderId="2" xfId="0" applyFont="1" applyBorder="1" applyAlignment="1" applyProtection="1">
      <alignment horizontal="center" vertical="center"/>
      <protection locked="0"/>
    </xf>
    <xf numFmtId="164" fontId="62" fillId="0" borderId="0" xfId="0" applyNumberFormat="1" applyFont="1" applyBorder="1" applyAlignment="1" applyProtection="1">
      <alignment horizontal="right" vertical="center" wrapText="1"/>
    </xf>
    <xf numFmtId="164" fontId="60" fillId="0" borderId="0" xfId="0" applyNumberFormat="1" applyFont="1" applyBorder="1" applyAlignment="1">
      <alignment horizontal="left" vertical="center"/>
    </xf>
    <xf numFmtId="0" fontId="52" fillId="0" borderId="0" xfId="0" applyFont="1" applyBorder="1" applyAlignment="1" applyProtection="1">
      <alignment horizontal="left" vertical="center"/>
    </xf>
    <xf numFmtId="164" fontId="71" fillId="0" borderId="0" xfId="0" applyNumberFormat="1" applyFont="1" applyBorder="1" applyAlignment="1" applyProtection="1">
      <alignment horizontal="left" vertical="center" indent="1"/>
    </xf>
    <xf numFmtId="0" fontId="60" fillId="0" borderId="0" xfId="0" applyFont="1" applyAlignment="1">
      <alignment horizontal="left" vertical="center"/>
    </xf>
    <xf numFmtId="0" fontId="60" fillId="0" borderId="0" xfId="0" applyFont="1" applyAlignment="1">
      <alignment horizontal="left" vertical="center" indent="1"/>
    </xf>
    <xf numFmtId="0" fontId="71" fillId="0" borderId="0" xfId="0" applyFont="1" applyAlignment="1">
      <alignment horizontal="left" vertical="center" indent="1"/>
    </xf>
    <xf numFmtId="0" fontId="52" fillId="0" borderId="21" xfId="0" applyFont="1" applyBorder="1" applyAlignment="1" applyProtection="1">
      <alignment horizontal="center" vertical="center"/>
      <protection locked="0"/>
    </xf>
    <xf numFmtId="0" fontId="60" fillId="0" borderId="0" xfId="0" applyFont="1" applyBorder="1" applyAlignment="1">
      <alignment horizontal="left" vertical="center" indent="1"/>
    </xf>
    <xf numFmtId="0" fontId="52" fillId="0" borderId="0" xfId="0" applyFont="1" applyBorder="1" applyAlignment="1" applyProtection="1">
      <alignment horizontal="center" vertical="center"/>
      <protection locked="0"/>
    </xf>
    <xf numFmtId="0" fontId="60" fillId="0" borderId="0" xfId="0" applyFont="1" applyBorder="1" applyAlignment="1" applyProtection="1">
      <alignment vertical="center"/>
    </xf>
    <xf numFmtId="0" fontId="71" fillId="0" borderId="0" xfId="0" applyFont="1" applyAlignment="1">
      <alignment horizontal="left" vertical="center"/>
    </xf>
    <xf numFmtId="0" fontId="60" fillId="0" borderId="0" xfId="0" applyFont="1" applyBorder="1" applyAlignment="1" applyProtection="1">
      <alignment horizontal="left" vertical="top"/>
    </xf>
    <xf numFmtId="0" fontId="60" fillId="0" borderId="0" xfId="0" applyFont="1" applyBorder="1" applyAlignment="1" applyProtection="1">
      <alignment horizontal="left" vertical="top" indent="1"/>
    </xf>
    <xf numFmtId="0" fontId="71" fillId="0" borderId="0" xfId="0" applyFont="1" applyBorder="1" applyAlignment="1" applyProtection="1">
      <alignment horizontal="left" vertical="top" indent="1"/>
    </xf>
    <xf numFmtId="0" fontId="60" fillId="0" borderId="0" xfId="0" applyFont="1" applyAlignment="1">
      <alignment vertical="top"/>
    </xf>
    <xf numFmtId="0" fontId="60" fillId="0" borderId="0" xfId="0" applyFont="1" applyBorder="1" applyAlignment="1" applyProtection="1">
      <alignment vertical="top"/>
    </xf>
    <xf numFmtId="0" fontId="63" fillId="0" borderId="2" xfId="0" applyFont="1" applyBorder="1" applyAlignment="1" applyProtection="1">
      <alignment horizontal="center"/>
      <protection locked="0"/>
    </xf>
    <xf numFmtId="164" fontId="62" fillId="0" borderId="0" xfId="0" applyNumberFormat="1" applyFont="1" applyBorder="1" applyAlignment="1" applyProtection="1">
      <alignment horizontal="right"/>
    </xf>
    <xf numFmtId="0" fontId="55" fillId="0" borderId="21" xfId="0" applyFont="1" applyBorder="1" applyAlignment="1" applyProtection="1">
      <alignment horizontal="left"/>
    </xf>
    <xf numFmtId="0" fontId="60" fillId="0" borderId="0" xfId="0" applyFont="1" applyBorder="1" applyAlignment="1" applyProtection="1">
      <alignment horizontal="left" vertical="center"/>
    </xf>
    <xf numFmtId="0" fontId="55" fillId="0" borderId="0" xfId="0" applyFont="1" applyBorder="1" applyAlignment="1" applyProtection="1">
      <alignment horizontal="left" vertical="center"/>
    </xf>
    <xf numFmtId="14" fontId="53" fillId="0" borderId="0" xfId="0" applyNumberFormat="1" applyFont="1" applyBorder="1" applyAlignment="1" applyProtection="1">
      <alignment horizontal="center" vertical="center"/>
    </xf>
    <xf numFmtId="14" fontId="63" fillId="0" borderId="78" xfId="0" applyNumberFormat="1" applyFont="1" applyBorder="1" applyAlignment="1" applyProtection="1">
      <alignment horizontal="center" vertical="center"/>
      <protection locked="0"/>
    </xf>
    <xf numFmtId="0" fontId="73" fillId="0" borderId="0" xfId="0" applyFont="1" applyAlignment="1">
      <alignment horizontal="left" vertical="center"/>
    </xf>
    <xf numFmtId="0" fontId="55" fillId="0" borderId="0" xfId="0" applyFont="1" applyAlignment="1">
      <alignment horizontal="left" vertical="center"/>
    </xf>
    <xf numFmtId="0" fontId="64" fillId="0" borderId="0" xfId="0" applyFont="1" applyBorder="1" applyAlignment="1" applyProtection="1">
      <alignment horizontal="left" vertical="center" wrapText="1"/>
    </xf>
    <xf numFmtId="0" fontId="52" fillId="0" borderId="0" xfId="0" applyFont="1" applyBorder="1" applyAlignment="1" applyProtection="1">
      <alignment horizontal="center" vertical="center" wrapText="1"/>
    </xf>
    <xf numFmtId="0" fontId="53" fillId="0" borderId="0" xfId="0" applyFont="1" applyBorder="1" applyAlignment="1" applyProtection="1">
      <alignment horizontal="left" vertical="top"/>
    </xf>
    <xf numFmtId="0" fontId="55" fillId="0" borderId="0" xfId="0" applyFont="1" applyBorder="1" applyAlignment="1">
      <alignment horizontal="left" vertical="top"/>
    </xf>
    <xf numFmtId="0" fontId="55" fillId="0" borderId="0" xfId="0" applyFont="1" applyBorder="1" applyAlignment="1">
      <alignment horizontal="center" vertical="top"/>
    </xf>
    <xf numFmtId="0" fontId="60" fillId="0" borderId="0" xfId="0" applyFont="1" applyAlignment="1">
      <alignment horizontal="left"/>
    </xf>
    <xf numFmtId="0" fontId="60" fillId="0" borderId="0" xfId="0" applyFont="1"/>
    <xf numFmtId="0" fontId="55" fillId="0" borderId="0" xfId="0" applyFont="1" applyBorder="1" applyAlignment="1" applyProtection="1">
      <alignment horizontal="right" vertical="center"/>
    </xf>
    <xf numFmtId="14" fontId="55" fillId="0" borderId="100" xfId="0" applyNumberFormat="1" applyFont="1" applyBorder="1" applyAlignment="1" applyProtection="1">
      <alignment vertical="center"/>
      <protection locked="0"/>
    </xf>
    <xf numFmtId="164" fontId="52" fillId="0" borderId="0" xfId="0" applyNumberFormat="1" applyFont="1" applyBorder="1" applyAlignment="1" applyProtection="1">
      <alignment horizontal="center" vertical="center"/>
    </xf>
    <xf numFmtId="0" fontId="74" fillId="10" borderId="101" xfId="0" applyFont="1" applyFill="1" applyBorder="1" applyAlignment="1">
      <alignment horizontal="center" vertical="center"/>
    </xf>
    <xf numFmtId="0" fontId="74" fillId="10" borderId="102" xfId="0" applyFont="1" applyFill="1" applyBorder="1" applyAlignment="1">
      <alignment horizontal="center" vertical="center"/>
    </xf>
    <xf numFmtId="0" fontId="52" fillId="18" borderId="122" xfId="0" applyFont="1" applyFill="1" applyBorder="1" applyAlignment="1" applyProtection="1">
      <alignment horizontal="left" vertical="center"/>
    </xf>
    <xf numFmtId="164" fontId="52" fillId="18" borderId="122" xfId="0" applyNumberFormat="1" applyFont="1" applyFill="1" applyBorder="1" applyAlignment="1" applyProtection="1">
      <alignment horizontal="center" vertical="center"/>
    </xf>
    <xf numFmtId="164" fontId="62" fillId="18" borderId="122" xfId="0" applyNumberFormat="1" applyFont="1" applyFill="1" applyBorder="1" applyAlignment="1" applyProtection="1">
      <alignment vertical="center"/>
    </xf>
    <xf numFmtId="0" fontId="75" fillId="11" borderId="123" xfId="0" applyFont="1" applyFill="1" applyBorder="1" applyAlignment="1">
      <alignment horizontal="left" vertical="center"/>
    </xf>
    <xf numFmtId="38" fontId="47" fillId="11" borderId="103" xfId="0" applyNumberFormat="1" applyFont="1" applyFill="1" applyBorder="1" applyAlignment="1">
      <alignment horizontal="right"/>
    </xf>
    <xf numFmtId="38" fontId="47" fillId="11" borderId="110" xfId="0" applyNumberFormat="1" applyFont="1" applyFill="1" applyBorder="1" applyAlignment="1">
      <alignment horizontal="right"/>
    </xf>
    <xf numFmtId="0" fontId="76" fillId="12" borderId="103" xfId="0" applyFont="1" applyFill="1" applyBorder="1" applyAlignment="1">
      <alignment vertical="center"/>
    </xf>
    <xf numFmtId="164" fontId="52" fillId="14" borderId="118" xfId="0" applyNumberFormat="1" applyFont="1" applyFill="1" applyBorder="1" applyAlignment="1" applyProtection="1">
      <alignment horizontal="center" vertical="center"/>
    </xf>
    <xf numFmtId="164" fontId="62" fillId="14" borderId="110" xfId="0" applyNumberFormat="1" applyFont="1" applyFill="1" applyBorder="1" applyAlignment="1" applyProtection="1">
      <alignment vertical="center"/>
    </xf>
    <xf numFmtId="0" fontId="55" fillId="14" borderId="103" xfId="0" applyFont="1" applyFill="1" applyBorder="1" applyAlignment="1" applyProtection="1">
      <alignment vertical="center"/>
    </xf>
    <xf numFmtId="38" fontId="47" fillId="12" borderId="121" xfId="0" applyNumberFormat="1" applyFont="1" applyFill="1" applyBorder="1" applyAlignment="1" applyProtection="1">
      <alignment horizontal="right"/>
      <protection locked="0"/>
    </xf>
    <xf numFmtId="38" fontId="47" fillId="12" borderId="103" xfId="0" applyNumberFormat="1" applyFont="1" applyFill="1" applyBorder="1" applyAlignment="1" applyProtection="1">
      <alignment horizontal="right"/>
      <protection locked="0"/>
    </xf>
    <xf numFmtId="38" fontId="47" fillId="12" borderId="110" xfId="0" applyNumberFormat="1" applyFont="1" applyFill="1" applyBorder="1" applyAlignment="1" applyProtection="1">
      <alignment horizontal="right"/>
      <protection locked="0"/>
    </xf>
    <xf numFmtId="0" fontId="52" fillId="18" borderId="110" xfId="0" applyFont="1" applyFill="1" applyBorder="1" applyAlignment="1" applyProtection="1">
      <alignment horizontal="center" vertical="center"/>
    </xf>
    <xf numFmtId="164" fontId="52" fillId="18" borderId="110" xfId="0" applyNumberFormat="1" applyFont="1" applyFill="1" applyBorder="1" applyAlignment="1" applyProtection="1">
      <alignment horizontal="center" vertical="center"/>
    </xf>
    <xf numFmtId="164" fontId="62" fillId="18" borderId="110" xfId="0" applyNumberFormat="1" applyFont="1" applyFill="1" applyBorder="1" applyAlignment="1" applyProtection="1">
      <alignment vertical="center"/>
    </xf>
    <xf numFmtId="0" fontId="75" fillId="11" borderId="103" xfId="0" applyFont="1" applyFill="1" applyBorder="1" applyAlignment="1">
      <alignment horizontal="left" vertical="center"/>
    </xf>
    <xf numFmtId="0" fontId="52" fillId="18" borderId="0" xfId="0" applyFont="1" applyFill="1" applyBorder="1" applyAlignment="1" applyProtection="1">
      <alignment horizontal="left" vertical="center"/>
    </xf>
    <xf numFmtId="164" fontId="52" fillId="18" borderId="0" xfId="0" applyNumberFormat="1" applyFont="1" applyFill="1" applyBorder="1" applyAlignment="1" applyProtection="1">
      <alignment horizontal="center" vertical="center"/>
    </xf>
    <xf numFmtId="164" fontId="62" fillId="18" borderId="0" xfId="0" applyNumberFormat="1" applyFont="1" applyFill="1" applyBorder="1" applyAlignment="1" applyProtection="1">
      <alignment vertical="center"/>
    </xf>
    <xf numFmtId="0" fontId="60" fillId="14" borderId="118" xfId="0" applyFont="1" applyFill="1" applyBorder="1" applyAlignment="1" applyProtection="1">
      <alignment horizontal="left" vertical="center"/>
    </xf>
    <xf numFmtId="164" fontId="52" fillId="14" borderId="110" xfId="0" applyNumberFormat="1" applyFont="1" applyFill="1" applyBorder="1" applyAlignment="1" applyProtection="1">
      <alignment horizontal="center" vertical="center"/>
    </xf>
    <xf numFmtId="164" fontId="60" fillId="14" borderId="110" xfId="0" applyNumberFormat="1" applyFont="1" applyFill="1" applyBorder="1" applyAlignment="1" applyProtection="1">
      <alignment vertical="center"/>
    </xf>
    <xf numFmtId="0" fontId="76" fillId="12" borderId="103" xfId="0" applyFont="1" applyFill="1" applyBorder="1" applyAlignment="1">
      <alignment horizontal="left" vertical="center"/>
    </xf>
    <xf numFmtId="0" fontId="52" fillId="14" borderId="119" xfId="0" applyFont="1" applyFill="1" applyBorder="1" applyAlignment="1" applyProtection="1">
      <alignment horizontal="center" vertical="center"/>
    </xf>
    <xf numFmtId="164" fontId="52" fillId="14" borderId="120" xfId="0" applyNumberFormat="1" applyFont="1" applyFill="1" applyBorder="1" applyAlignment="1" applyProtection="1">
      <alignment horizontal="center" vertical="center"/>
    </xf>
    <xf numFmtId="164" fontId="62" fillId="14" borderId="120" xfId="0" applyNumberFormat="1" applyFont="1" applyFill="1" applyBorder="1" applyAlignment="1" applyProtection="1">
      <alignment vertical="center"/>
    </xf>
    <xf numFmtId="38" fontId="47" fillId="12" borderId="110" xfId="0" applyNumberFormat="1" applyFont="1" applyFill="1" applyBorder="1" applyAlignment="1">
      <alignment horizontal="right"/>
    </xf>
    <xf numFmtId="0" fontId="75" fillId="11" borderId="104" xfId="0" applyFont="1" applyFill="1" applyBorder="1" applyAlignment="1">
      <alignment horizontal="left" vertical="center"/>
    </xf>
    <xf numFmtId="38" fontId="47" fillId="11" borderId="104" xfId="0" applyNumberFormat="1" applyFont="1" applyFill="1" applyBorder="1" applyAlignment="1">
      <alignment horizontal="right"/>
    </xf>
    <xf numFmtId="38" fontId="47" fillId="11" borderId="0" xfId="0" applyNumberFormat="1" applyFont="1" applyFill="1" applyBorder="1" applyAlignment="1" applyProtection="1">
      <alignment horizontal="right"/>
      <protection locked="0"/>
    </xf>
    <xf numFmtId="1" fontId="53" fillId="0" borderId="0" xfId="0" applyNumberFormat="1" applyFont="1" applyBorder="1" applyAlignment="1" applyProtection="1">
      <alignment horizontal="center" vertical="center"/>
    </xf>
    <xf numFmtId="0" fontId="55" fillId="0" borderId="0" xfId="0" applyFont="1" applyBorder="1" applyAlignment="1" applyProtection="1">
      <alignment horizontal="center" vertical="center"/>
    </xf>
    <xf numFmtId="164" fontId="53" fillId="0" borderId="0" xfId="0" applyNumberFormat="1" applyFont="1" applyBorder="1" applyAlignment="1" applyProtection="1">
      <alignment horizontal="left" vertical="center" indent="1"/>
    </xf>
    <xf numFmtId="0" fontId="64" fillId="0" borderId="0" xfId="3" applyFont="1" applyBorder="1" applyAlignment="1" applyProtection="1">
      <alignment horizontal="left" vertical="center"/>
    </xf>
    <xf numFmtId="0" fontId="73" fillId="0" borderId="0" xfId="3" applyFont="1" applyAlignment="1">
      <alignment horizontal="left" vertical="center"/>
    </xf>
    <xf numFmtId="0" fontId="62" fillId="0" borderId="0" xfId="3" applyFont="1" applyBorder="1" applyAlignment="1" applyProtection="1">
      <alignment horizontal="left" vertical="center"/>
    </xf>
    <xf numFmtId="0" fontId="55" fillId="0" borderId="0" xfId="3" applyFont="1" applyBorder="1" applyAlignment="1" applyProtection="1">
      <alignment horizontal="right" vertical="center"/>
    </xf>
    <xf numFmtId="1" fontId="53" fillId="0" borderId="0" xfId="3" applyNumberFormat="1" applyFont="1" applyBorder="1" applyAlignment="1" applyProtection="1">
      <alignment horizontal="center" vertical="center"/>
    </xf>
    <xf numFmtId="0" fontId="55" fillId="0" borderId="0" xfId="3" applyFont="1" applyBorder="1" applyAlignment="1" applyProtection="1">
      <alignment vertical="center"/>
    </xf>
    <xf numFmtId="0" fontId="55" fillId="0" borderId="0" xfId="3" applyFont="1" applyBorder="1" applyAlignment="1" applyProtection="1">
      <alignment horizontal="center" vertical="center"/>
    </xf>
    <xf numFmtId="0" fontId="55" fillId="0" borderId="0" xfId="3" applyNumberFormat="1" applyFont="1" applyBorder="1" applyAlignment="1" applyProtection="1">
      <alignment vertical="center"/>
    </xf>
    <xf numFmtId="0" fontId="60" fillId="0" borderId="0" xfId="3" applyFont="1" applyBorder="1" applyAlignment="1">
      <alignment horizontal="left" indent="1"/>
    </xf>
    <xf numFmtId="0" fontId="53" fillId="0" borderId="0" xfId="3" applyFont="1" applyBorder="1"/>
    <xf numFmtId="164" fontId="62" fillId="0" borderId="0" xfId="3" applyNumberFormat="1" applyFont="1" applyBorder="1" applyAlignment="1" applyProtection="1">
      <alignment vertical="center"/>
    </xf>
    <xf numFmtId="0" fontId="55" fillId="0" borderId="0" xfId="3" applyFont="1" applyBorder="1"/>
    <xf numFmtId="0" fontId="53" fillId="0" borderId="0" xfId="3" applyFont="1" applyBorder="1" applyAlignment="1" applyProtection="1">
      <alignment horizontal="left" vertical="top"/>
    </xf>
    <xf numFmtId="0" fontId="60" fillId="0" borderId="0" xfId="3" applyFont="1" applyBorder="1"/>
    <xf numFmtId="0" fontId="52" fillId="0" borderId="0" xfId="3" applyFont="1" applyBorder="1" applyAlignment="1" applyProtection="1">
      <alignment horizontal="center" vertical="center"/>
    </xf>
    <xf numFmtId="164" fontId="62" fillId="0" borderId="0" xfId="3" applyNumberFormat="1" applyFont="1" applyBorder="1" applyAlignment="1" applyProtection="1">
      <alignment horizontal="right" vertical="center"/>
    </xf>
    <xf numFmtId="0" fontId="77" fillId="0" borderId="0" xfId="3" applyFont="1" applyBorder="1"/>
    <xf numFmtId="0" fontId="55" fillId="0" borderId="0" xfId="3" applyFont="1"/>
    <xf numFmtId="0" fontId="55" fillId="0" borderId="0" xfId="3" applyFont="1" applyProtection="1"/>
    <xf numFmtId="0" fontId="71" fillId="0" borderId="0" xfId="3" applyFont="1" applyBorder="1"/>
    <xf numFmtId="0" fontId="71" fillId="0" borderId="0" xfId="3" applyFont="1" applyBorder="1" applyAlignment="1">
      <alignment horizontal="center" vertical="top"/>
    </xf>
    <xf numFmtId="171" fontId="55" fillId="0" borderId="0" xfId="3" applyNumberFormat="1" applyFont="1" applyBorder="1" applyAlignment="1" applyProtection="1">
      <alignment horizontal="center" vertical="center"/>
    </xf>
    <xf numFmtId="0" fontId="71" fillId="0" borderId="0" xfId="3" applyFont="1" applyBorder="1" applyAlignment="1">
      <alignment horizontal="center"/>
    </xf>
    <xf numFmtId="0" fontId="55" fillId="0" borderId="0" xfId="3" applyFont="1" applyBorder="1" applyProtection="1"/>
    <xf numFmtId="0" fontId="55" fillId="0" borderId="0" xfId="3" applyFont="1" applyProtection="1">
      <protection locked="0"/>
    </xf>
    <xf numFmtId="0" fontId="55" fillId="0" borderId="0" xfId="3" applyFont="1" applyBorder="1" applyProtection="1">
      <protection locked="0"/>
    </xf>
    <xf numFmtId="0" fontId="55" fillId="0" borderId="0" xfId="3" applyFont="1" applyBorder="1" applyAlignment="1">
      <alignment horizontal="center" vertical="center"/>
    </xf>
    <xf numFmtId="164" fontId="60" fillId="0" borderId="0" xfId="3" applyNumberFormat="1" applyFont="1" applyBorder="1"/>
    <xf numFmtId="0" fontId="71" fillId="0" borderId="15" xfId="3" applyFont="1" applyBorder="1" applyAlignment="1">
      <alignment horizontal="center"/>
    </xf>
    <xf numFmtId="0" fontId="53" fillId="0" borderId="0" xfId="3" applyFont="1" applyBorder="1" applyProtection="1"/>
    <xf numFmtId="0" fontId="55" fillId="0" borderId="0" xfId="0" applyFont="1"/>
    <xf numFmtId="0" fontId="71" fillId="0" borderId="0" xfId="0" applyFont="1" applyBorder="1"/>
    <xf numFmtId="0" fontId="71" fillId="0" borderId="0" xfId="0" applyFont="1" applyBorder="1" applyAlignment="1">
      <alignment horizontal="left" vertical="top" wrapText="1"/>
    </xf>
    <xf numFmtId="0" fontId="71" fillId="0" borderId="0" xfId="0" applyFont="1" applyBorder="1" applyAlignment="1">
      <alignment horizontal="center"/>
    </xf>
    <xf numFmtId="0" fontId="71" fillId="0" borderId="0" xfId="0" applyFont="1" applyBorder="1" applyAlignment="1" applyProtection="1">
      <alignment horizontal="center" vertical="top"/>
    </xf>
    <xf numFmtId="0" fontId="55" fillId="0" borderId="0" xfId="0" applyFont="1" applyBorder="1" applyAlignment="1">
      <alignment horizontal="center" vertical="center"/>
    </xf>
    <xf numFmtId="164" fontId="60" fillId="0" borderId="0" xfId="0" applyNumberFormat="1" applyFont="1" applyBorder="1"/>
    <xf numFmtId="0" fontId="52" fillId="0" borderId="0" xfId="0" applyFont="1" applyBorder="1" applyAlignment="1" applyProtection="1">
      <alignment horizontal="center"/>
    </xf>
    <xf numFmtId="0" fontId="71" fillId="0" borderId="0" xfId="0" applyFont="1" applyBorder="1" applyAlignment="1">
      <alignment horizontal="center" vertical="top"/>
    </xf>
    <xf numFmtId="171" fontId="55" fillId="0" borderId="0" xfId="0" applyNumberFormat="1" applyFont="1" applyBorder="1" applyAlignment="1" applyProtection="1">
      <alignment horizontal="center" vertical="center"/>
    </xf>
    <xf numFmtId="164" fontId="60" fillId="0" borderId="0" xfId="0" applyNumberFormat="1" applyFont="1" applyBorder="1" applyProtection="1"/>
    <xf numFmtId="0" fontId="78" fillId="0" borderId="0" xfId="0" applyFont="1" applyBorder="1" applyAlignment="1">
      <alignment horizontal="left" vertical="top" wrapText="1"/>
    </xf>
    <xf numFmtId="166" fontId="55" fillId="0" borderId="0" xfId="0" applyNumberFormat="1" applyFont="1" applyBorder="1" applyAlignment="1" applyProtection="1">
      <alignment horizontal="left" vertical="center"/>
    </xf>
    <xf numFmtId="164" fontId="60" fillId="0" borderId="0" xfId="0" applyNumberFormat="1" applyFont="1" applyBorder="1" applyAlignment="1" applyProtection="1">
      <alignment horizontal="left" vertical="center"/>
    </xf>
    <xf numFmtId="0" fontId="55" fillId="0" borderId="0" xfId="0" applyFont="1" applyAlignment="1">
      <alignment vertical="center"/>
    </xf>
    <xf numFmtId="0" fontId="62" fillId="0" borderId="0" xfId="0" applyFont="1" applyBorder="1" applyAlignment="1" applyProtection="1">
      <alignment vertical="center"/>
    </xf>
    <xf numFmtId="0" fontId="53" fillId="0" borderId="0" xfId="3" applyFont="1" applyBorder="1" applyAlignment="1">
      <alignment horizontal="left" indent="1"/>
    </xf>
    <xf numFmtId="0" fontId="58" fillId="0" borderId="0" xfId="0" applyFont="1" applyBorder="1" applyAlignment="1" applyProtection="1">
      <alignment horizontal="center" vertical="center"/>
    </xf>
    <xf numFmtId="0" fontId="53" fillId="0" borderId="0" xfId="0" applyFont="1" applyAlignment="1" applyProtection="1">
      <alignment vertical="center"/>
    </xf>
    <xf numFmtId="0" fontId="80" fillId="0" borderId="0" xfId="0" applyFont="1" applyBorder="1" applyAlignment="1" applyProtection="1">
      <alignment horizontal="left" vertical="center"/>
    </xf>
    <xf numFmtId="0" fontId="52" fillId="0" borderId="0" xfId="0" applyFont="1" applyBorder="1" applyAlignment="1" applyProtection="1">
      <alignment vertical="center"/>
    </xf>
    <xf numFmtId="0" fontId="81" fillId="0" borderId="0" xfId="0" applyFont="1" applyBorder="1" applyAlignment="1" applyProtection="1">
      <alignment vertical="center"/>
    </xf>
    <xf numFmtId="0" fontId="60" fillId="0" borderId="0" xfId="0" applyFont="1" applyBorder="1" applyAlignment="1" applyProtection="1">
      <alignment horizontal="left" vertical="center" indent="3"/>
    </xf>
    <xf numFmtId="38" fontId="55" fillId="0" borderId="2" xfId="0" applyNumberFormat="1" applyFont="1" applyBorder="1" applyAlignment="1" applyProtection="1">
      <alignment vertical="center"/>
      <protection locked="0"/>
    </xf>
    <xf numFmtId="0" fontId="62" fillId="0" borderId="0" xfId="0" applyFont="1" applyBorder="1" applyAlignment="1" applyProtection="1">
      <alignment horizontal="center" vertical="center"/>
    </xf>
    <xf numFmtId="0" fontId="62" fillId="0" borderId="0" xfId="0" applyFont="1" applyBorder="1" applyAlignment="1" applyProtection="1">
      <alignment horizontal="center" vertical="center" wrapText="1"/>
    </xf>
    <xf numFmtId="176" fontId="55" fillId="0" borderId="2" xfId="0" applyNumberFormat="1" applyFont="1" applyBorder="1" applyAlignment="1" applyProtection="1">
      <alignment vertical="center" wrapText="1"/>
      <protection locked="0"/>
    </xf>
    <xf numFmtId="0" fontId="53" fillId="0" borderId="0" xfId="0" applyFont="1" applyBorder="1" applyAlignment="1" applyProtection="1">
      <alignment horizontal="center" vertical="center"/>
    </xf>
    <xf numFmtId="0" fontId="83" fillId="0" borderId="0" xfId="0" applyFont="1" applyBorder="1" applyAlignment="1" applyProtection="1">
      <alignment horizontal="center" vertical="center" wrapText="1"/>
    </xf>
    <xf numFmtId="0" fontId="82" fillId="0" borderId="0" xfId="0" applyNumberFormat="1" applyFont="1" applyBorder="1" applyAlignment="1" applyProtection="1">
      <alignment horizontal="left" vertical="center" wrapText="1"/>
    </xf>
    <xf numFmtId="0" fontId="53" fillId="0" borderId="0" xfId="0" applyFont="1" applyAlignment="1">
      <alignment horizontal="left" vertical="center" wrapText="1"/>
    </xf>
    <xf numFmtId="0" fontId="62" fillId="0" borderId="0" xfId="0" applyFont="1" applyBorder="1" applyAlignment="1" applyProtection="1">
      <alignment horizontal="center"/>
    </xf>
    <xf numFmtId="0" fontId="53" fillId="0" borderId="0" xfId="0" applyFont="1" applyBorder="1" applyAlignment="1" applyProtection="1"/>
    <xf numFmtId="0" fontId="62" fillId="0" borderId="0" xfId="0" applyFont="1" applyBorder="1" applyAlignment="1" applyProtection="1">
      <alignment horizontal="center" wrapText="1"/>
    </xf>
    <xf numFmtId="0" fontId="53" fillId="0" borderId="0" xfId="0" applyFont="1" applyBorder="1" applyAlignment="1" applyProtection="1">
      <alignment horizontal="right" vertical="center"/>
    </xf>
    <xf numFmtId="0" fontId="79" fillId="0" borderId="0" xfId="0" applyFont="1" applyBorder="1" applyAlignment="1" applyProtection="1">
      <alignment vertical="center"/>
    </xf>
    <xf numFmtId="0" fontId="71" fillId="0" borderId="0" xfId="0" applyFont="1" applyBorder="1" applyAlignment="1" applyProtection="1">
      <alignment vertical="center"/>
    </xf>
    <xf numFmtId="38" fontId="52" fillId="0" borderId="2" xfId="0" applyNumberFormat="1" applyFont="1" applyBorder="1" applyAlignment="1" applyProtection="1">
      <alignment horizontal="center" vertical="center"/>
      <protection locked="0"/>
    </xf>
    <xf numFmtId="0" fontId="53" fillId="0" borderId="0" xfId="0" applyFont="1" applyAlignment="1" applyProtection="1">
      <alignment horizontal="right" vertical="center"/>
    </xf>
    <xf numFmtId="0" fontId="60" fillId="0" borderId="17" xfId="0" applyFont="1" applyFill="1" applyBorder="1" applyAlignment="1" applyProtection="1">
      <alignment vertical="center"/>
    </xf>
    <xf numFmtId="38" fontId="55" fillId="0" borderId="2" xfId="0" applyNumberFormat="1" applyFont="1" applyBorder="1" applyAlignment="1" applyProtection="1">
      <alignment horizontal="center" vertical="center"/>
      <protection locked="0"/>
    </xf>
    <xf numFmtId="0" fontId="53" fillId="0" borderId="17" xfId="0" applyFont="1" applyBorder="1" applyAlignment="1" applyProtection="1">
      <alignment horizontal="right" vertical="center"/>
    </xf>
    <xf numFmtId="40" fontId="60" fillId="0" borderId="0" xfId="0" applyNumberFormat="1" applyFont="1" applyBorder="1" applyAlignment="1" applyProtection="1">
      <alignment horizontal="center" vertical="center"/>
    </xf>
    <xf numFmtId="0" fontId="85" fillId="0" borderId="0" xfId="0" applyFont="1" applyBorder="1" applyAlignment="1" applyProtection="1">
      <alignment vertical="center"/>
    </xf>
    <xf numFmtId="0" fontId="53" fillId="0" borderId="20" xfId="0" applyFont="1" applyFill="1" applyBorder="1" applyAlignment="1" applyProtection="1">
      <alignment vertical="center"/>
    </xf>
    <xf numFmtId="0" fontId="60" fillId="0" borderId="0" xfId="0" applyFont="1" applyBorder="1" applyAlignment="1" applyProtection="1">
      <alignment horizontal="right" vertical="center"/>
    </xf>
    <xf numFmtId="0" fontId="60" fillId="0" borderId="2" xfId="0" applyFont="1" applyBorder="1" applyAlignment="1" applyProtection="1">
      <alignment vertical="center"/>
    </xf>
    <xf numFmtId="38" fontId="55" fillId="6" borderId="2" xfId="0" applyNumberFormat="1" applyFont="1" applyFill="1" applyBorder="1" applyAlignment="1" applyProtection="1">
      <alignment vertical="center"/>
    </xf>
    <xf numFmtId="0" fontId="53" fillId="3" borderId="2" xfId="0" applyFont="1" applyFill="1" applyBorder="1" applyAlignment="1" applyProtection="1">
      <alignment vertical="center"/>
    </xf>
    <xf numFmtId="0" fontId="63" fillId="0" borderId="2" xfId="0" applyNumberFormat="1" applyFont="1" applyBorder="1" applyAlignment="1" applyProtection="1">
      <alignment horizontal="center" vertical="center"/>
      <protection locked="0"/>
    </xf>
    <xf numFmtId="38" fontId="55" fillId="0" borderId="0" xfId="0" applyNumberFormat="1" applyFont="1" applyBorder="1" applyAlignment="1" applyProtection="1">
      <alignment horizontal="center" vertical="center"/>
    </xf>
    <xf numFmtId="0" fontId="55" fillId="0" borderId="0" xfId="0" applyFont="1" applyBorder="1" applyAlignment="1" applyProtection="1">
      <alignment horizontal="left" vertical="top"/>
    </xf>
    <xf numFmtId="0" fontId="79" fillId="0" borderId="0" xfId="0" applyFont="1" applyBorder="1" applyAlignment="1" applyProtection="1">
      <alignment horizontal="left"/>
    </xf>
    <xf numFmtId="0" fontId="79" fillId="0" borderId="0" xfId="0" applyFont="1" applyBorder="1" applyAlignment="1" applyProtection="1"/>
    <xf numFmtId="0" fontId="86" fillId="0" borderId="0" xfId="0" applyFont="1" applyBorder="1" applyAlignment="1" applyProtection="1">
      <alignment horizontal="right" vertical="center"/>
    </xf>
    <xf numFmtId="0" fontId="55" fillId="0" borderId="0" xfId="0" applyFont="1" applyProtection="1"/>
    <xf numFmtId="0" fontId="53" fillId="0" borderId="0" xfId="0" applyFont="1" applyProtection="1"/>
    <xf numFmtId="0" fontId="87" fillId="0" borderId="0" xfId="2" applyFont="1" applyAlignment="1" applyProtection="1">
      <alignment horizontal="centerContinuous" vertical="center"/>
    </xf>
    <xf numFmtId="0" fontId="55" fillId="0" borderId="0" xfId="0" applyFont="1" applyAlignment="1">
      <alignment horizontal="centerContinuous" vertical="center"/>
    </xf>
    <xf numFmtId="0" fontId="53" fillId="0" borderId="0" xfId="0" applyFont="1" applyAlignment="1" applyProtection="1">
      <alignment horizontal="centerContinuous" vertical="center"/>
    </xf>
    <xf numFmtId="0" fontId="63" fillId="0" borderId="0" xfId="0" applyFont="1"/>
    <xf numFmtId="0" fontId="53" fillId="0" borderId="0" xfId="0" applyNumberFormat="1" applyFont="1" applyAlignment="1">
      <alignment horizontal="left"/>
    </xf>
    <xf numFmtId="0" fontId="55" fillId="0" borderId="0" xfId="0" applyFont="1" applyAlignment="1">
      <alignment horizontal="left"/>
    </xf>
    <xf numFmtId="174" fontId="53" fillId="0" borderId="0" xfId="0" applyNumberFormat="1" applyFont="1" applyAlignment="1">
      <alignment horizontal="left"/>
    </xf>
    <xf numFmtId="174" fontId="55" fillId="0" borderId="0" xfId="0" applyNumberFormat="1" applyFont="1" applyAlignment="1">
      <alignment horizontal="left"/>
    </xf>
    <xf numFmtId="0" fontId="53" fillId="0" borderId="0" xfId="0" applyNumberFormat="1" applyFont="1" applyBorder="1" applyAlignment="1" applyProtection="1">
      <alignment horizontal="left"/>
    </xf>
    <xf numFmtId="0" fontId="53" fillId="0" borderId="0" xfId="0" applyFont="1" applyBorder="1" applyAlignment="1" applyProtection="1">
      <alignment horizontal="right"/>
    </xf>
    <xf numFmtId="49" fontId="53" fillId="0" borderId="0" xfId="0" applyNumberFormat="1" applyFont="1" applyBorder="1" applyAlignment="1" applyProtection="1">
      <alignment horizontal="left" vertical="center"/>
    </xf>
    <xf numFmtId="49" fontId="52" fillId="0" borderId="0" xfId="0" applyNumberFormat="1" applyFont="1" applyBorder="1" applyAlignment="1" applyProtection="1">
      <alignment horizontal="left" vertical="center"/>
    </xf>
    <xf numFmtId="0" fontId="52" fillId="0" borderId="0" xfId="0" applyFont="1" applyBorder="1" applyProtection="1"/>
    <xf numFmtId="0" fontId="52" fillId="0" borderId="0" xfId="0" applyFont="1" applyBorder="1" applyAlignment="1" applyProtection="1">
      <alignment horizontal="right"/>
    </xf>
    <xf numFmtId="0" fontId="55" fillId="0" borderId="0" xfId="5" applyNumberFormat="1" applyFont="1" applyBorder="1" applyAlignment="1" applyProtection="1">
      <alignment horizontal="right"/>
    </xf>
    <xf numFmtId="49" fontId="60" fillId="0" borderId="0" xfId="0" applyNumberFormat="1" applyFont="1" applyBorder="1" applyAlignment="1" applyProtection="1">
      <alignment horizontal="left" vertical="center"/>
    </xf>
    <xf numFmtId="0" fontId="60" fillId="0" borderId="0" xfId="0" applyFont="1" applyFill="1" applyBorder="1" applyProtection="1"/>
    <xf numFmtId="40" fontId="60" fillId="0" borderId="0" xfId="0" applyNumberFormat="1" applyFont="1" applyBorder="1" applyAlignment="1" applyProtection="1">
      <alignment horizontal="right"/>
    </xf>
    <xf numFmtId="37" fontId="60" fillId="0" borderId="0" xfId="0" applyNumberFormat="1" applyFont="1" applyBorder="1" applyProtection="1"/>
    <xf numFmtId="175" fontId="60" fillId="0" borderId="0" xfId="0" applyNumberFormat="1" applyFont="1" applyFill="1" applyBorder="1" applyAlignment="1" applyProtection="1">
      <alignment horizontal="right"/>
    </xf>
    <xf numFmtId="173" fontId="60" fillId="0" borderId="0" xfId="0" applyNumberFormat="1" applyFont="1" applyBorder="1" applyProtection="1"/>
    <xf numFmtId="0" fontId="60" fillId="0" borderId="0" xfId="5" applyNumberFormat="1" applyFont="1" applyBorder="1" applyAlignment="1" applyProtection="1">
      <alignment horizontal="right"/>
    </xf>
    <xf numFmtId="0" fontId="60" fillId="0" borderId="0" xfId="0" applyFont="1" applyProtection="1"/>
    <xf numFmtId="0" fontId="60" fillId="0" borderId="0" xfId="0" applyFont="1" applyBorder="1" applyAlignment="1" applyProtection="1">
      <alignment vertical="center" wrapText="1"/>
    </xf>
    <xf numFmtId="0" fontId="60" fillId="0" borderId="0" xfId="0" applyFont="1" applyBorder="1" applyAlignment="1" applyProtection="1">
      <alignment horizontal="right"/>
    </xf>
    <xf numFmtId="2" fontId="60" fillId="0" borderId="0" xfId="0" applyNumberFormat="1" applyFont="1" applyBorder="1" applyAlignment="1" applyProtection="1">
      <alignment horizontal="right"/>
    </xf>
    <xf numFmtId="0" fontId="88" fillId="0" borderId="0" xfId="0" applyFont="1" applyAlignment="1" applyProtection="1">
      <alignment horizontal="left"/>
    </xf>
    <xf numFmtId="0" fontId="60" fillId="0" borderId="0" xfId="0" applyFont="1" applyAlignment="1">
      <alignment wrapText="1"/>
    </xf>
    <xf numFmtId="0" fontId="53" fillId="0" borderId="0" xfId="0" applyFont="1" applyFill="1" applyBorder="1" applyProtection="1"/>
    <xf numFmtId="0" fontId="53" fillId="0" borderId="0" xfId="0" applyFont="1" applyBorder="1" applyAlignment="1" applyProtection="1">
      <alignment horizontal="center"/>
    </xf>
    <xf numFmtId="175" fontId="60" fillId="0" borderId="0" xfId="0" quotePrefix="1" applyNumberFormat="1" applyFont="1" applyBorder="1" applyAlignment="1" applyProtection="1">
      <alignment horizontal="right"/>
    </xf>
    <xf numFmtId="0" fontId="62" fillId="0" borderId="0" xfId="0" applyFont="1" applyProtection="1"/>
    <xf numFmtId="0" fontId="60" fillId="0" borderId="0" xfId="5" quotePrefix="1" applyNumberFormat="1" applyFont="1" applyBorder="1" applyAlignment="1" applyProtection="1">
      <alignment horizontal="right"/>
    </xf>
    <xf numFmtId="0" fontId="60" fillId="0" borderId="0" xfId="0" applyFont="1" applyBorder="1" applyAlignment="1" applyProtection="1">
      <alignment vertical="top" wrapText="1"/>
    </xf>
    <xf numFmtId="37" fontId="60" fillId="0" borderId="0" xfId="0" applyNumberFormat="1" applyFont="1" applyBorder="1" applyAlignment="1" applyProtection="1">
      <alignment horizontal="right"/>
    </xf>
    <xf numFmtId="175" fontId="60" fillId="8" borderId="0" xfId="0" quotePrefix="1" applyNumberFormat="1" applyFont="1" applyFill="1" applyBorder="1" applyAlignment="1" applyProtection="1">
      <alignment horizontal="right"/>
    </xf>
    <xf numFmtId="38" fontId="60" fillId="0" borderId="0" xfId="0" applyNumberFormat="1" applyFont="1" applyBorder="1" applyProtection="1"/>
    <xf numFmtId="40" fontId="60" fillId="0" borderId="0" xfId="0" applyNumberFormat="1" applyFont="1" applyFill="1" applyBorder="1" applyAlignment="1" applyProtection="1">
      <alignment horizontal="right"/>
    </xf>
    <xf numFmtId="1" fontId="60" fillId="0" borderId="0" xfId="0" applyNumberFormat="1" applyFont="1" applyBorder="1" applyProtection="1"/>
    <xf numFmtId="39" fontId="60" fillId="0" borderId="0" xfId="0" applyNumberFormat="1" applyFont="1" applyBorder="1" applyProtection="1"/>
    <xf numFmtId="1" fontId="55" fillId="0" borderId="0" xfId="5" applyNumberFormat="1" applyFont="1" applyBorder="1" applyAlignment="1" applyProtection="1">
      <alignment horizontal="right"/>
    </xf>
    <xf numFmtId="40" fontId="60" fillId="0" borderId="0" xfId="0" applyNumberFormat="1" applyFont="1" applyBorder="1" applyAlignment="1" applyProtection="1">
      <alignment horizontal="right" vertical="center"/>
    </xf>
    <xf numFmtId="3" fontId="60" fillId="0" borderId="0" xfId="0" applyNumberFormat="1" applyFont="1" applyBorder="1" applyAlignment="1" applyProtection="1">
      <alignment horizontal="right" vertical="center"/>
    </xf>
    <xf numFmtId="173" fontId="60" fillId="0" borderId="0" xfId="0" applyNumberFormat="1" applyFont="1" applyBorder="1" applyAlignment="1" applyProtection="1">
      <alignment horizontal="right"/>
    </xf>
    <xf numFmtId="2" fontId="60" fillId="0" borderId="0" xfId="0" applyNumberFormat="1" applyFont="1" applyBorder="1" applyAlignment="1" applyProtection="1">
      <alignment horizontal="right" vertical="center"/>
    </xf>
    <xf numFmtId="40" fontId="60" fillId="0" borderId="0" xfId="0" applyNumberFormat="1" applyFont="1" applyFill="1" applyBorder="1" applyAlignment="1" applyProtection="1">
      <alignment horizontal="right" vertical="center"/>
    </xf>
    <xf numFmtId="49" fontId="60" fillId="0" borderId="0" xfId="0" applyNumberFormat="1" applyFont="1" applyBorder="1" applyProtection="1"/>
    <xf numFmtId="0" fontId="60" fillId="0" borderId="0" xfId="0" applyFont="1" applyBorder="1" applyAlignment="1" applyProtection="1">
      <alignment horizontal="center"/>
    </xf>
    <xf numFmtId="172" fontId="60" fillId="0" borderId="0" xfId="0" applyNumberFormat="1" applyFont="1" applyBorder="1" applyAlignment="1" applyProtection="1">
      <alignment horizontal="right"/>
    </xf>
    <xf numFmtId="0" fontId="62" fillId="0" borderId="0" xfId="0" applyFont="1" applyFill="1" applyBorder="1" applyAlignment="1" applyProtection="1">
      <alignment horizontal="center"/>
    </xf>
    <xf numFmtId="0" fontId="53" fillId="0" borderId="0" xfId="0" applyFont="1" applyFill="1" applyBorder="1" applyAlignment="1" applyProtection="1">
      <alignment horizontal="right"/>
    </xf>
    <xf numFmtId="0" fontId="52" fillId="0" borderId="0" xfId="0" applyFont="1" applyFill="1" applyBorder="1" applyAlignment="1" applyProtection="1">
      <alignment horizontal="left"/>
    </xf>
    <xf numFmtId="0" fontId="63" fillId="0" borderId="0" xfId="0" applyFont="1" applyFill="1" applyBorder="1" applyAlignment="1" applyProtection="1">
      <alignment horizontal="right"/>
    </xf>
    <xf numFmtId="2" fontId="63" fillId="0" borderId="0" xfId="0" applyNumberFormat="1" applyFont="1" applyFill="1" applyBorder="1" applyAlignment="1" applyProtection="1">
      <alignment horizontal="right"/>
    </xf>
    <xf numFmtId="0" fontId="86" fillId="0" borderId="0" xfId="0" applyFont="1" applyProtection="1"/>
    <xf numFmtId="0" fontId="53" fillId="0" borderId="0" xfId="0" applyFont="1" applyFill="1" applyBorder="1" applyAlignment="1" applyProtection="1">
      <alignment horizontal="center"/>
    </xf>
    <xf numFmtId="0" fontId="64" fillId="0" borderId="0" xfId="5" applyNumberFormat="1" applyFont="1" applyFill="1" applyBorder="1" applyAlignment="1" applyProtection="1">
      <alignment horizontal="right"/>
    </xf>
    <xf numFmtId="49" fontId="86" fillId="0" borderId="0" xfId="0" applyNumberFormat="1" applyFont="1" applyAlignment="1" applyProtection="1">
      <alignment horizontal="right" vertical="top"/>
    </xf>
    <xf numFmtId="0" fontId="60" fillId="0" borderId="0" xfId="0" applyFont="1" applyBorder="1" applyAlignment="1" applyProtection="1">
      <alignment horizontal="left"/>
    </xf>
    <xf numFmtId="49" fontId="53" fillId="0" borderId="0" xfId="0" applyNumberFormat="1" applyFont="1" applyBorder="1" applyAlignment="1" applyProtection="1">
      <alignment horizontal="left" vertical="top"/>
    </xf>
    <xf numFmtId="0" fontId="60" fillId="0" borderId="0" xfId="0" applyFont="1" applyAlignment="1" applyProtection="1">
      <alignment horizontal="left"/>
    </xf>
    <xf numFmtId="49" fontId="53" fillId="0" borderId="0" xfId="0" applyNumberFormat="1" applyFont="1" applyAlignment="1" applyProtection="1">
      <alignment horizontal="left" vertical="center"/>
    </xf>
    <xf numFmtId="49" fontId="53" fillId="0" borderId="0" xfId="0" applyNumberFormat="1" applyFont="1" applyAlignment="1" applyProtection="1">
      <alignment horizontal="left" vertical="top"/>
    </xf>
    <xf numFmtId="0" fontId="53" fillId="0" borderId="0" xfId="0" applyFont="1" applyAlignment="1" applyProtection="1">
      <alignment horizontal="right"/>
    </xf>
    <xf numFmtId="0" fontId="60" fillId="0" borderId="0" xfId="0" applyFont="1" applyAlignment="1" applyProtection="1">
      <alignment horizontal="right"/>
    </xf>
    <xf numFmtId="49" fontId="84" fillId="0" borderId="0" xfId="0" applyNumberFormat="1" applyFont="1" applyAlignment="1" applyProtection="1">
      <alignment horizontal="right" vertical="top"/>
    </xf>
    <xf numFmtId="0" fontId="60" fillId="0" borderId="3" xfId="0" applyFont="1" applyBorder="1" applyAlignment="1" applyProtection="1">
      <alignment horizontal="center" vertical="center"/>
    </xf>
    <xf numFmtId="49" fontId="52" fillId="0" borderId="3" xfId="0" applyNumberFormat="1" applyFont="1" applyBorder="1" applyAlignment="1" applyProtection="1">
      <alignment horizontal="center" vertical="center"/>
    </xf>
    <xf numFmtId="49" fontId="55" fillId="0" borderId="3" xfId="0" applyNumberFormat="1" applyFont="1" applyBorder="1" applyAlignment="1" applyProtection="1">
      <alignment horizontal="center" vertical="center"/>
    </xf>
    <xf numFmtId="49" fontId="63" fillId="0" borderId="12" xfId="0" applyNumberFormat="1" applyFont="1" applyBorder="1" applyAlignment="1" applyProtection="1">
      <alignment horizontal="centerContinuous" vertical="center"/>
    </xf>
    <xf numFmtId="49" fontId="55" fillId="0" borderId="10" xfId="0" applyNumberFormat="1" applyFont="1" applyBorder="1" applyAlignment="1" applyProtection="1">
      <alignment horizontal="centerContinuous" vertical="center"/>
    </xf>
    <xf numFmtId="0" fontId="55" fillId="0" borderId="0" xfId="0" applyFont="1" applyAlignment="1" applyProtection="1">
      <alignment vertical="center"/>
    </xf>
    <xf numFmtId="1" fontId="62" fillId="0" borderId="4" xfId="0" applyNumberFormat="1" applyFont="1" applyBorder="1" applyAlignment="1" applyProtection="1">
      <alignment horizontal="center" vertical="center" wrapText="1"/>
    </xf>
    <xf numFmtId="3" fontId="62" fillId="0" borderId="4" xfId="0" applyNumberFormat="1" applyFont="1" applyBorder="1" applyAlignment="1" applyProtection="1">
      <alignment horizontal="center" vertical="center" wrapText="1"/>
    </xf>
    <xf numFmtId="0" fontId="62" fillId="0" borderId="4" xfId="0" applyFont="1" applyBorder="1" applyAlignment="1" applyProtection="1">
      <alignment horizontal="center" vertical="center" wrapText="1"/>
    </xf>
    <xf numFmtId="43" fontId="62" fillId="0" borderId="2" xfId="1" applyFont="1" applyBorder="1" applyAlignment="1" applyProtection="1">
      <alignment horizontal="center" vertical="center" wrapText="1"/>
    </xf>
    <xf numFmtId="0" fontId="62" fillId="0" borderId="2" xfId="0" applyFont="1" applyBorder="1" applyAlignment="1" applyProtection="1">
      <alignment horizontal="center" vertical="center" wrapText="1"/>
    </xf>
    <xf numFmtId="0" fontId="60" fillId="0" borderId="21" xfId="0" applyFont="1" applyBorder="1" applyAlignment="1" applyProtection="1">
      <alignment horizontal="left" vertical="center" indent="1"/>
    </xf>
    <xf numFmtId="0" fontId="60" fillId="0" borderId="14" xfId="0" applyFont="1" applyBorder="1" applyAlignment="1" applyProtection="1">
      <alignment horizontal="center" vertical="center"/>
    </xf>
    <xf numFmtId="38" fontId="53" fillId="0" borderId="14" xfId="0" applyNumberFormat="1" applyFont="1" applyBorder="1" applyAlignment="1" applyProtection="1">
      <alignment horizontal="right"/>
      <protection locked="0"/>
    </xf>
    <xf numFmtId="38" fontId="53" fillId="0" borderId="2" xfId="0" applyNumberFormat="1" applyFont="1" applyBorder="1" applyAlignment="1" applyProtection="1">
      <alignment horizontal="right"/>
      <protection locked="0"/>
    </xf>
    <xf numFmtId="38" fontId="53" fillId="0" borderId="2" xfId="0" applyNumberFormat="1" applyFont="1" applyFill="1" applyBorder="1" applyAlignment="1" applyProtection="1">
      <alignment horizontal="right"/>
      <protection locked="0"/>
    </xf>
    <xf numFmtId="38" fontId="53" fillId="3" borderId="26" xfId="0" applyNumberFormat="1" applyFont="1" applyFill="1" applyBorder="1" applyAlignment="1" applyProtection="1">
      <alignment horizontal="right"/>
    </xf>
    <xf numFmtId="38" fontId="53" fillId="3" borderId="18" xfId="0" applyNumberFormat="1" applyFont="1" applyFill="1" applyBorder="1" applyAlignment="1" applyProtection="1">
      <alignment horizontal="right"/>
    </xf>
    <xf numFmtId="0" fontId="60" fillId="0" borderId="2" xfId="0" applyFont="1" applyBorder="1" applyAlignment="1" applyProtection="1">
      <alignment horizontal="center" vertical="center"/>
    </xf>
    <xf numFmtId="38" fontId="53" fillId="0" borderId="3" xfId="0" applyNumberFormat="1" applyFont="1" applyBorder="1" applyAlignment="1" applyProtection="1">
      <alignment horizontal="right"/>
      <protection locked="0"/>
    </xf>
    <xf numFmtId="38" fontId="53" fillId="0" borderId="0" xfId="0" applyNumberFormat="1" applyFont="1" applyBorder="1" applyAlignment="1" applyProtection="1">
      <alignment horizontal="right"/>
      <protection locked="0"/>
    </xf>
    <xf numFmtId="0" fontId="60" fillId="0" borderId="14" xfId="0" applyFont="1" applyBorder="1" applyAlignment="1" applyProtection="1">
      <alignment horizontal="left" vertical="center" indent="1"/>
    </xf>
    <xf numFmtId="38" fontId="53" fillId="0" borderId="3" xfId="0" applyNumberFormat="1" applyFont="1" applyFill="1" applyBorder="1" applyAlignment="1" applyProtection="1">
      <alignment horizontal="right"/>
      <protection locked="0"/>
    </xf>
    <xf numFmtId="38" fontId="53" fillId="6" borderId="3" xfId="0" applyNumberFormat="1" applyFont="1" applyFill="1" applyBorder="1" applyAlignment="1" applyProtection="1">
      <alignment horizontal="right"/>
    </xf>
    <xf numFmtId="38" fontId="53" fillId="0" borderId="14" xfId="0" applyNumberFormat="1" applyFont="1" applyFill="1" applyBorder="1" applyAlignment="1" applyProtection="1">
      <alignment horizontal="right"/>
      <protection locked="0"/>
    </xf>
    <xf numFmtId="38" fontId="53" fillId="6" borderId="26" xfId="0" applyNumberFormat="1" applyFont="1" applyFill="1" applyBorder="1" applyAlignment="1" applyProtection="1">
      <alignment horizontal="right"/>
    </xf>
    <xf numFmtId="38" fontId="53" fillId="0" borderId="4" xfId="0" applyNumberFormat="1" applyFont="1" applyFill="1" applyBorder="1" applyAlignment="1" applyProtection="1">
      <alignment horizontal="right"/>
      <protection locked="0"/>
    </xf>
    <xf numFmtId="38" fontId="53" fillId="0" borderId="26" xfId="0" applyNumberFormat="1" applyFont="1" applyFill="1" applyBorder="1" applyAlignment="1" applyProtection="1">
      <alignment horizontal="right"/>
      <protection locked="0"/>
    </xf>
    <xf numFmtId="38" fontId="53" fillId="6" borderId="4" xfId="0" applyNumberFormat="1" applyFont="1" applyFill="1" applyBorder="1" applyAlignment="1" applyProtection="1">
      <alignment horizontal="right"/>
    </xf>
    <xf numFmtId="38" fontId="53" fillId="0" borderId="4" xfId="0" applyNumberFormat="1" applyFont="1" applyBorder="1" applyAlignment="1" applyProtection="1">
      <alignment horizontal="right"/>
      <protection locked="0"/>
    </xf>
    <xf numFmtId="164" fontId="60" fillId="0" borderId="2" xfId="0" applyNumberFormat="1" applyFont="1" applyFill="1" applyBorder="1" applyAlignment="1" applyProtection="1">
      <alignment horizontal="left" vertical="center"/>
    </xf>
    <xf numFmtId="0" fontId="60" fillId="0" borderId="2" xfId="0" applyFont="1" applyFill="1" applyBorder="1" applyAlignment="1" applyProtection="1">
      <alignment horizontal="center" vertical="center"/>
    </xf>
    <xf numFmtId="38" fontId="53" fillId="6" borderId="18" xfId="0" applyNumberFormat="1" applyFont="1" applyFill="1" applyBorder="1" applyAlignment="1" applyProtection="1">
      <alignment horizontal="right"/>
    </xf>
    <xf numFmtId="0" fontId="55" fillId="0" borderId="0" xfId="0" applyFont="1" applyFill="1" applyAlignment="1" applyProtection="1">
      <alignment vertical="center"/>
    </xf>
    <xf numFmtId="38" fontId="53" fillId="6" borderId="0" xfId="0" applyNumberFormat="1" applyFont="1" applyFill="1" applyBorder="1" applyAlignment="1" applyProtection="1">
      <alignment horizontal="right"/>
    </xf>
    <xf numFmtId="38" fontId="53" fillId="0" borderId="2" xfId="0" applyNumberFormat="1" applyFont="1" applyFill="1" applyBorder="1" applyAlignment="1" applyProtection="1">
      <alignment horizontal="right"/>
    </xf>
    <xf numFmtId="38" fontId="53" fillId="0" borderId="12" xfId="0" applyNumberFormat="1" applyFont="1" applyFill="1" applyBorder="1" applyAlignment="1" applyProtection="1">
      <alignment horizontal="right"/>
      <protection locked="0"/>
    </xf>
    <xf numFmtId="38" fontId="53" fillId="0" borderId="13" xfId="0" applyNumberFormat="1" applyFont="1" applyFill="1" applyBorder="1" applyAlignment="1" applyProtection="1">
      <alignment horizontal="right"/>
      <protection locked="0"/>
    </xf>
    <xf numFmtId="0" fontId="60" fillId="0" borderId="11" xfId="0" applyFont="1" applyBorder="1" applyAlignment="1" applyProtection="1">
      <alignment horizontal="left" vertical="center" indent="1"/>
    </xf>
    <xf numFmtId="0" fontId="60" fillId="0" borderId="4" xfId="0" applyFont="1" applyBorder="1" applyAlignment="1" applyProtection="1">
      <alignment horizontal="center" vertical="center"/>
    </xf>
    <xf numFmtId="38" fontId="53" fillId="0" borderId="26" xfId="0" applyNumberFormat="1" applyFont="1" applyBorder="1" applyAlignment="1" applyProtection="1">
      <alignment horizontal="right"/>
      <protection locked="0"/>
    </xf>
    <xf numFmtId="0" fontId="60" fillId="0" borderId="20" xfId="0" applyFont="1" applyBorder="1" applyAlignment="1" applyProtection="1">
      <alignment horizontal="left" vertical="center" indent="1"/>
    </xf>
    <xf numFmtId="0" fontId="60" fillId="0" borderId="14" xfId="0" applyFont="1" applyBorder="1" applyAlignment="1" applyProtection="1">
      <alignment horizontal="left" vertical="center" wrapText="1" indent="1"/>
    </xf>
    <xf numFmtId="38" fontId="53" fillId="0" borderId="4" xfId="0" applyNumberFormat="1" applyFont="1" applyBorder="1" applyAlignment="1" applyProtection="1">
      <alignment horizontal="right"/>
    </xf>
    <xf numFmtId="0" fontId="60" fillId="0" borderId="2" xfId="0" applyFont="1" applyFill="1" applyBorder="1" applyAlignment="1" applyProtection="1">
      <alignment horizontal="left" vertical="center" indent="1"/>
    </xf>
    <xf numFmtId="38" fontId="55" fillId="6" borderId="26" xfId="0" applyNumberFormat="1" applyFont="1" applyFill="1" applyBorder="1" applyAlignment="1">
      <alignment horizontal="right"/>
    </xf>
    <xf numFmtId="0" fontId="60" fillId="0" borderId="16" xfId="0" applyFont="1" applyFill="1" applyBorder="1" applyAlignment="1" applyProtection="1">
      <alignment horizontal="left" vertical="center" indent="1"/>
    </xf>
    <xf numFmtId="0" fontId="60" fillId="0" borderId="10" xfId="0" applyFont="1" applyFill="1" applyBorder="1" applyAlignment="1" applyProtection="1">
      <alignment horizontal="center" vertical="center"/>
    </xf>
    <xf numFmtId="38" fontId="53" fillId="6" borderId="3" xfId="0" applyNumberFormat="1" applyFont="1" applyFill="1" applyBorder="1" applyAlignment="1">
      <alignment horizontal="right"/>
    </xf>
    <xf numFmtId="0" fontId="60" fillId="0" borderId="0" xfId="0" applyFont="1" applyAlignment="1" applyProtection="1">
      <alignment vertical="center"/>
    </xf>
    <xf numFmtId="0" fontId="60" fillId="0" borderId="0" xfId="0" applyFont="1" applyAlignment="1" applyProtection="1">
      <alignment horizontal="center" vertical="center"/>
    </xf>
    <xf numFmtId="38" fontId="55" fillId="0" borderId="0" xfId="0" applyNumberFormat="1" applyFont="1" applyAlignment="1" applyProtection="1">
      <alignment vertical="center"/>
    </xf>
    <xf numFmtId="49" fontId="62" fillId="0" borderId="3" xfId="0" applyNumberFormat="1" applyFont="1" applyBorder="1" applyAlignment="1" applyProtection="1">
      <alignment horizontal="center" vertical="center"/>
    </xf>
    <xf numFmtId="0" fontId="55" fillId="0" borderId="0" xfId="0" applyFont="1" applyAlignment="1" applyProtection="1">
      <alignment horizontal="center" vertical="center"/>
    </xf>
    <xf numFmtId="0" fontId="53" fillId="0" borderId="0" xfId="0" applyFont="1" applyFill="1" applyAlignment="1" applyProtection="1">
      <alignment horizontal="center" vertical="center"/>
    </xf>
    <xf numFmtId="0" fontId="55" fillId="0" borderId="0" xfId="0" applyFont="1" applyFill="1" applyAlignment="1" applyProtection="1">
      <alignment horizontal="center" vertical="center"/>
    </xf>
    <xf numFmtId="38" fontId="53" fillId="3" borderId="21" xfId="0" applyNumberFormat="1" applyFont="1" applyFill="1" applyBorder="1" applyAlignment="1" applyProtection="1">
      <alignment horizontal="right"/>
    </xf>
    <xf numFmtId="38" fontId="53" fillId="3" borderId="0" xfId="0" applyNumberFormat="1" applyFont="1" applyFill="1" applyBorder="1" applyAlignment="1" applyProtection="1">
      <alignment horizontal="right"/>
    </xf>
    <xf numFmtId="38" fontId="53" fillId="3" borderId="3" xfId="0" applyNumberFormat="1" applyFont="1" applyFill="1" applyBorder="1" applyAlignment="1" applyProtection="1">
      <alignment horizontal="right"/>
    </xf>
    <xf numFmtId="38" fontId="53" fillId="3" borderId="13" xfId="0" applyNumberFormat="1" applyFont="1" applyFill="1" applyBorder="1" applyAlignment="1" applyProtection="1">
      <alignment horizontal="right"/>
    </xf>
    <xf numFmtId="38" fontId="53" fillId="3" borderId="2" xfId="0" applyNumberFormat="1" applyFont="1" applyFill="1" applyBorder="1" applyAlignment="1" applyProtection="1">
      <alignment horizontal="right"/>
    </xf>
    <xf numFmtId="3" fontId="55" fillId="0" borderId="0" xfId="0" applyNumberFormat="1" applyFont="1" applyAlignment="1" applyProtection="1">
      <alignment vertical="center"/>
    </xf>
    <xf numFmtId="0" fontId="71" fillId="0" borderId="20" xfId="0" applyFont="1" applyBorder="1" applyAlignment="1" applyProtection="1">
      <alignment horizontal="left" indent="2"/>
    </xf>
    <xf numFmtId="0" fontId="60" fillId="0" borderId="11" xfId="0" applyFont="1" applyBorder="1" applyAlignment="1" applyProtection="1">
      <alignment horizontal="center" vertical="center"/>
    </xf>
    <xf numFmtId="38" fontId="53" fillId="0" borderId="19" xfId="0" applyNumberFormat="1" applyFont="1" applyBorder="1" applyAlignment="1" applyProtection="1">
      <alignment horizontal="right"/>
      <protection locked="0"/>
    </xf>
    <xf numFmtId="38" fontId="53" fillId="0" borderId="11" xfId="0" applyNumberFormat="1" applyFont="1" applyBorder="1" applyAlignment="1" applyProtection="1">
      <alignment horizontal="right"/>
      <protection locked="0"/>
    </xf>
    <xf numFmtId="0" fontId="52" fillId="0" borderId="0" xfId="0" applyFont="1" applyAlignment="1" applyProtection="1">
      <alignment vertical="center"/>
    </xf>
    <xf numFmtId="0" fontId="63" fillId="0" borderId="0" xfId="0" applyFont="1" applyAlignment="1" applyProtection="1">
      <alignment vertical="center"/>
    </xf>
    <xf numFmtId="38" fontId="53" fillId="3" borderId="11" xfId="0" applyNumberFormat="1" applyFont="1" applyFill="1" applyBorder="1" applyAlignment="1" applyProtection="1">
      <alignment horizontal="right"/>
    </xf>
    <xf numFmtId="38" fontId="53" fillId="3" borderId="4" xfId="0" applyNumberFormat="1" applyFont="1" applyFill="1" applyBorder="1" applyAlignment="1" applyProtection="1">
      <alignment horizontal="right"/>
    </xf>
    <xf numFmtId="38" fontId="53" fillId="3" borderId="19" xfId="0" applyNumberFormat="1" applyFont="1" applyFill="1" applyBorder="1" applyAlignment="1" applyProtection="1">
      <alignment horizontal="right"/>
    </xf>
    <xf numFmtId="38" fontId="53" fillId="3" borderId="14" xfId="0" applyNumberFormat="1" applyFont="1" applyFill="1" applyBorder="1" applyAlignment="1" applyProtection="1">
      <alignment horizontal="right"/>
    </xf>
    <xf numFmtId="0" fontId="53" fillId="0" borderId="0" xfId="0" applyFont="1" applyFill="1" applyAlignment="1" applyProtection="1">
      <alignment vertical="center"/>
    </xf>
    <xf numFmtId="0" fontId="60" fillId="0" borderId="4" xfId="0" applyFont="1" applyFill="1" applyBorder="1" applyAlignment="1" applyProtection="1">
      <alignment horizontal="center" vertical="center"/>
    </xf>
    <xf numFmtId="38" fontId="53" fillId="6" borderId="2" xfId="0" applyNumberFormat="1" applyFont="1" applyFill="1" applyBorder="1" applyAlignment="1" applyProtection="1">
      <alignment horizontal="right"/>
    </xf>
    <xf numFmtId="0" fontId="60" fillId="0" borderId="2" xfId="0" applyFont="1" applyFill="1" applyBorder="1" applyAlignment="1" applyProtection="1">
      <alignment horizontal="center" vertical="top"/>
    </xf>
    <xf numFmtId="38" fontId="53" fillId="6" borderId="28" xfId="0" applyNumberFormat="1" applyFont="1" applyFill="1" applyBorder="1" applyAlignment="1" applyProtection="1">
      <alignment horizontal="right"/>
    </xf>
    <xf numFmtId="0" fontId="53" fillId="0" borderId="0" xfId="0" applyFont="1" applyFill="1" applyBorder="1" applyAlignment="1" applyProtection="1">
      <alignment vertical="center"/>
    </xf>
    <xf numFmtId="38" fontId="53" fillId="0" borderId="27" xfId="0" applyNumberFormat="1" applyFont="1" applyFill="1" applyBorder="1" applyAlignment="1" applyProtection="1">
      <alignment horizontal="right"/>
      <protection locked="0"/>
    </xf>
    <xf numFmtId="38" fontId="53" fillId="0" borderId="33" xfId="0" applyNumberFormat="1" applyFont="1" applyFill="1" applyBorder="1" applyAlignment="1" applyProtection="1">
      <alignment horizontal="right"/>
      <protection locked="0"/>
    </xf>
    <xf numFmtId="38" fontId="53" fillId="0" borderId="32" xfId="0" applyNumberFormat="1" applyFont="1" applyFill="1" applyBorder="1" applyAlignment="1" applyProtection="1">
      <alignment horizontal="right"/>
      <protection locked="0"/>
    </xf>
    <xf numFmtId="38" fontId="53" fillId="0" borderId="0" xfId="0" applyNumberFormat="1" applyFont="1" applyAlignment="1" applyProtection="1"/>
    <xf numFmtId="0" fontId="60" fillId="0" borderId="11" xfId="0" applyFont="1" applyFill="1" applyBorder="1" applyAlignment="1" applyProtection="1">
      <alignment horizontal="center" vertical="center"/>
    </xf>
    <xf numFmtId="38" fontId="53" fillId="0" borderId="29" xfId="0" applyNumberFormat="1" applyFont="1" applyFill="1" applyBorder="1" applyAlignment="1" applyProtection="1">
      <alignment horizontal="right"/>
      <protection locked="0"/>
    </xf>
    <xf numFmtId="0" fontId="60" fillId="0" borderId="49" xfId="0" applyFont="1" applyBorder="1" applyAlignment="1" applyProtection="1">
      <alignment horizontal="left" vertical="center" indent="4"/>
    </xf>
    <xf numFmtId="0" fontId="60" fillId="0" borderId="31" xfId="0" applyFont="1" applyBorder="1" applyAlignment="1" applyProtection="1">
      <alignment horizontal="center" vertical="center"/>
    </xf>
    <xf numFmtId="40" fontId="53" fillId="7" borderId="33" xfId="0" applyNumberFormat="1" applyFont="1" applyFill="1" applyBorder="1" applyAlignment="1" applyProtection="1">
      <alignment horizontal="right" vertical="center"/>
    </xf>
    <xf numFmtId="0" fontId="60" fillId="0" borderId="13" xfId="0" applyFont="1" applyBorder="1" applyAlignment="1" applyProtection="1">
      <alignment horizontal="left" vertical="center" indent="4"/>
    </xf>
    <xf numFmtId="9" fontId="53" fillId="7" borderId="33" xfId="0" applyNumberFormat="1" applyFont="1" applyFill="1" applyBorder="1" applyAlignment="1" applyProtection="1">
      <alignment horizontal="right" vertical="center"/>
    </xf>
    <xf numFmtId="1" fontId="52" fillId="0" borderId="4" xfId="0" applyNumberFormat="1" applyFont="1" applyBorder="1" applyAlignment="1" applyProtection="1">
      <alignment horizontal="center" vertical="center" wrapText="1"/>
    </xf>
    <xf numFmtId="3" fontId="52" fillId="0" borderId="4" xfId="0" applyNumberFormat="1" applyFont="1" applyBorder="1" applyAlignment="1" applyProtection="1">
      <alignment horizontal="center" vertical="center" wrapText="1"/>
    </xf>
    <xf numFmtId="3" fontId="53" fillId="3" borderId="4" xfId="0" applyNumberFormat="1" applyFont="1" applyFill="1" applyBorder="1" applyAlignment="1" applyProtection="1">
      <alignment horizontal="center"/>
    </xf>
    <xf numFmtId="3" fontId="55" fillId="3" borderId="11" xfId="0" applyNumberFormat="1" applyFont="1" applyFill="1" applyBorder="1" applyAlignment="1" applyProtection="1">
      <alignment horizontal="center"/>
    </xf>
    <xf numFmtId="38" fontId="55" fillId="3" borderId="4" xfId="0" applyNumberFormat="1" applyFont="1" applyFill="1" applyBorder="1" applyAlignment="1" applyProtection="1">
      <alignment horizontal="center"/>
    </xf>
    <xf numFmtId="3" fontId="55" fillId="3" borderId="4" xfId="0" applyNumberFormat="1" applyFont="1" applyFill="1" applyBorder="1" applyAlignment="1" applyProtection="1">
      <alignment horizontal="center"/>
    </xf>
    <xf numFmtId="0" fontId="60" fillId="0" borderId="14" xfId="0" applyFont="1" applyBorder="1" applyAlignment="1" applyProtection="1">
      <alignment horizontal="center"/>
    </xf>
    <xf numFmtId="38" fontId="53" fillId="0" borderId="0" xfId="0" applyNumberFormat="1" applyFont="1" applyAlignment="1" applyProtection="1">
      <alignment horizontal="right"/>
      <protection locked="0"/>
    </xf>
    <xf numFmtId="0" fontId="60" fillId="0" borderId="2" xfId="0" applyFont="1" applyBorder="1" applyAlignment="1" applyProtection="1">
      <alignment horizontal="center"/>
    </xf>
    <xf numFmtId="0" fontId="60" fillId="0" borderId="2" xfId="0" applyFont="1" applyBorder="1" applyAlignment="1" applyProtection="1">
      <alignment horizontal="center" vertical="center" wrapText="1"/>
    </xf>
    <xf numFmtId="38" fontId="53" fillId="0" borderId="13" xfId="0" applyNumberFormat="1" applyFont="1" applyBorder="1" applyAlignment="1" applyProtection="1">
      <alignment horizontal="right"/>
      <protection locked="0"/>
    </xf>
    <xf numFmtId="38" fontId="55" fillId="0" borderId="0" xfId="0" applyNumberFormat="1" applyFont="1" applyProtection="1"/>
    <xf numFmtId="38" fontId="53" fillId="3" borderId="17" xfId="0" applyNumberFormat="1" applyFont="1" applyFill="1" applyBorder="1" applyAlignment="1" applyProtection="1">
      <alignment horizontal="right"/>
    </xf>
    <xf numFmtId="37" fontId="53" fillId="3" borderId="17" xfId="0" applyNumberFormat="1" applyFont="1" applyFill="1" applyBorder="1" applyAlignment="1" applyProtection="1">
      <alignment horizontal="right"/>
    </xf>
    <xf numFmtId="37" fontId="53" fillId="3" borderId="26" xfId="0" applyNumberFormat="1" applyFont="1" applyFill="1" applyBorder="1" applyAlignment="1" applyProtection="1">
      <alignment horizontal="right"/>
    </xf>
    <xf numFmtId="0" fontId="60" fillId="0" borderId="26" xfId="0" applyFont="1" applyFill="1" applyBorder="1" applyAlignment="1" applyProtection="1">
      <alignment horizontal="center" vertical="center"/>
    </xf>
    <xf numFmtId="0" fontId="60" fillId="0" borderId="2" xfId="0" applyFont="1" applyBorder="1" applyAlignment="1" applyProtection="1">
      <alignment horizontal="center" vertical="top"/>
    </xf>
    <xf numFmtId="0" fontId="60" fillId="0" borderId="26" xfId="0" applyFont="1" applyFill="1" applyBorder="1" applyAlignment="1" applyProtection="1">
      <alignment horizontal="center" vertical="top"/>
    </xf>
    <xf numFmtId="0" fontId="60" fillId="0" borderId="18" xfId="0" applyFont="1" applyFill="1" applyBorder="1" applyAlignment="1" applyProtection="1">
      <alignment horizontal="center" vertical="center"/>
    </xf>
    <xf numFmtId="38" fontId="53" fillId="0" borderId="19" xfId="0" applyNumberFormat="1" applyFont="1" applyFill="1" applyBorder="1" applyAlignment="1" applyProtection="1">
      <alignment horizontal="right"/>
      <protection locked="0"/>
    </xf>
    <xf numFmtId="38" fontId="53" fillId="3" borderId="0" xfId="0" applyNumberFormat="1" applyFont="1" applyFill="1" applyAlignment="1" applyProtection="1">
      <alignment horizontal="right"/>
    </xf>
    <xf numFmtId="1" fontId="60" fillId="0" borderId="2" xfId="0" applyNumberFormat="1" applyFont="1" applyBorder="1" applyAlignment="1" applyProtection="1">
      <alignment horizontal="center" vertical="center"/>
    </xf>
    <xf numFmtId="0" fontId="60" fillId="0" borderId="21" xfId="0" applyFont="1" applyBorder="1" applyAlignment="1" applyProtection="1">
      <alignment horizontal="left" vertical="top" wrapText="1" indent="1"/>
    </xf>
    <xf numFmtId="1" fontId="60" fillId="0" borderId="2" xfId="0" applyNumberFormat="1" applyFont="1" applyBorder="1" applyAlignment="1" applyProtection="1">
      <alignment horizontal="center" vertical="top"/>
    </xf>
    <xf numFmtId="38" fontId="53" fillId="3" borderId="38" xfId="0" applyNumberFormat="1" applyFont="1" applyFill="1" applyBorder="1" applyAlignment="1" applyProtection="1">
      <alignment horizontal="right"/>
    </xf>
    <xf numFmtId="38" fontId="53" fillId="3" borderId="28" xfId="0" applyNumberFormat="1" applyFont="1" applyFill="1" applyBorder="1" applyAlignment="1" applyProtection="1">
      <alignment horizontal="right"/>
    </xf>
    <xf numFmtId="1" fontId="60" fillId="0" borderId="4" xfId="0" applyNumberFormat="1" applyFont="1" applyBorder="1" applyAlignment="1" applyProtection="1">
      <alignment horizontal="center" vertical="center"/>
    </xf>
    <xf numFmtId="1" fontId="60" fillId="0" borderId="128" xfId="0" applyNumberFormat="1" applyFont="1" applyBorder="1" applyAlignment="1" applyProtection="1">
      <alignment horizontal="center" vertical="center"/>
    </xf>
    <xf numFmtId="38" fontId="53" fillId="0" borderId="128" xfId="0" applyNumberFormat="1" applyFont="1" applyBorder="1" applyAlignment="1" applyProtection="1">
      <alignment horizontal="right"/>
      <protection locked="0"/>
    </xf>
    <xf numFmtId="38" fontId="53" fillId="3" borderId="128" xfId="0" applyNumberFormat="1" applyFont="1" applyFill="1" applyBorder="1" applyAlignment="1" applyProtection="1">
      <alignment horizontal="right"/>
    </xf>
    <xf numFmtId="38" fontId="53" fillId="3" borderId="29" xfId="0" applyNumberFormat="1" applyFont="1" applyFill="1" applyBorder="1" applyAlignment="1" applyProtection="1">
      <alignment horizontal="right"/>
    </xf>
    <xf numFmtId="1" fontId="60" fillId="0" borderId="32" xfId="0" applyNumberFormat="1" applyFont="1" applyBorder="1" applyAlignment="1" applyProtection="1">
      <alignment horizontal="center" vertical="center"/>
    </xf>
    <xf numFmtId="38" fontId="53" fillId="0" borderId="32" xfId="0" applyNumberFormat="1" applyFont="1" applyBorder="1" applyAlignment="1" applyProtection="1">
      <alignment horizontal="right"/>
      <protection locked="0"/>
    </xf>
    <xf numFmtId="1" fontId="60" fillId="0" borderId="33" xfId="0" applyNumberFormat="1" applyFont="1" applyBorder="1" applyAlignment="1" applyProtection="1">
      <alignment horizontal="center" vertical="center"/>
    </xf>
    <xf numFmtId="38" fontId="53" fillId="0" borderId="37" xfId="0" applyNumberFormat="1" applyFont="1" applyBorder="1" applyAlignment="1" applyProtection="1">
      <alignment horizontal="right"/>
      <protection locked="0"/>
    </xf>
    <xf numFmtId="38" fontId="53" fillId="0" borderId="33" xfId="0" applyNumberFormat="1" applyFont="1" applyBorder="1" applyAlignment="1" applyProtection="1">
      <alignment horizontal="right"/>
      <protection locked="0"/>
    </xf>
    <xf numFmtId="38" fontId="53" fillId="0" borderId="36" xfId="0" applyNumberFormat="1" applyFont="1" applyFill="1" applyBorder="1" applyAlignment="1" applyProtection="1">
      <alignment horizontal="right"/>
      <protection locked="0"/>
    </xf>
    <xf numFmtId="38" fontId="53" fillId="0" borderId="27" xfId="0" applyNumberFormat="1" applyFont="1" applyBorder="1" applyAlignment="1" applyProtection="1">
      <alignment horizontal="right"/>
      <protection locked="0"/>
    </xf>
    <xf numFmtId="38" fontId="53" fillId="0" borderId="55" xfId="0" applyNumberFormat="1" applyFont="1" applyBorder="1" applyAlignment="1" applyProtection="1">
      <alignment horizontal="right" vertical="center"/>
      <protection locked="0"/>
    </xf>
    <xf numFmtId="38" fontId="53" fillId="0" borderId="32" xfId="0" applyNumberFormat="1" applyFont="1" applyBorder="1" applyAlignment="1" applyProtection="1">
      <alignment horizontal="right" vertical="center"/>
      <protection locked="0"/>
    </xf>
    <xf numFmtId="38" fontId="53" fillId="0" borderId="27" xfId="0" applyNumberFormat="1" applyFont="1" applyFill="1" applyBorder="1" applyAlignment="1" applyProtection="1">
      <alignment horizontal="right" vertical="center"/>
      <protection locked="0"/>
    </xf>
    <xf numFmtId="38" fontId="53" fillId="0" borderId="32" xfId="0" applyNumberFormat="1" applyFont="1" applyFill="1" applyBorder="1" applyAlignment="1" applyProtection="1">
      <alignment horizontal="right" vertical="center"/>
      <protection locked="0"/>
    </xf>
    <xf numFmtId="0" fontId="60" fillId="0" borderId="2" xfId="0" applyFont="1" applyBorder="1" applyAlignment="1" applyProtection="1">
      <alignment horizontal="center" vertical="top" wrapText="1"/>
    </xf>
    <xf numFmtId="38" fontId="53" fillId="3" borderId="39" xfId="0" applyNumberFormat="1" applyFont="1" applyFill="1" applyBorder="1" applyAlignment="1" applyProtection="1">
      <alignment horizontal="right"/>
    </xf>
    <xf numFmtId="38" fontId="53" fillId="0" borderId="2" xfId="0" applyNumberFormat="1" applyFont="1" applyFill="1" applyBorder="1" applyAlignment="1" applyProtection="1">
      <alignment horizontal="right" vertical="center"/>
      <protection locked="0"/>
    </xf>
    <xf numFmtId="38" fontId="53" fillId="6" borderId="2" xfId="0" applyNumberFormat="1" applyFont="1" applyFill="1" applyBorder="1" applyAlignment="1" applyProtection="1">
      <alignment horizontal="right" vertical="center"/>
    </xf>
    <xf numFmtId="0" fontId="60" fillId="0" borderId="26" xfId="0" applyFont="1" applyBorder="1" applyAlignment="1" applyProtection="1">
      <alignment horizontal="center" vertical="center"/>
    </xf>
    <xf numFmtId="0" fontId="60" fillId="0" borderId="131" xfId="0" applyFont="1" applyFill="1" applyBorder="1" applyAlignment="1" applyProtection="1">
      <alignment horizontal="center" vertical="center"/>
    </xf>
    <xf numFmtId="38" fontId="53" fillId="0" borderId="125" xfId="0" applyNumberFormat="1" applyFont="1" applyFill="1" applyBorder="1" applyAlignment="1" applyProtection="1">
      <alignment horizontal="right"/>
      <protection locked="0"/>
    </xf>
    <xf numFmtId="0" fontId="60" fillId="0" borderId="100" xfId="0" applyFont="1" applyFill="1" applyBorder="1" applyAlignment="1" applyProtection="1">
      <alignment horizontal="center" vertical="center"/>
    </xf>
    <xf numFmtId="38" fontId="53" fillId="0" borderId="124" xfId="0" applyNumberFormat="1" applyFont="1" applyFill="1" applyBorder="1" applyAlignment="1" applyProtection="1">
      <alignment horizontal="right"/>
      <protection locked="0"/>
    </xf>
    <xf numFmtId="38" fontId="53" fillId="0" borderId="112" xfId="0" applyNumberFormat="1" applyFont="1" applyFill="1" applyBorder="1" applyAlignment="1" applyProtection="1">
      <alignment horizontal="right"/>
      <protection locked="0"/>
    </xf>
    <xf numFmtId="38" fontId="53" fillId="0" borderId="55" xfId="0" applyNumberFormat="1" applyFont="1" applyFill="1" applyBorder="1" applyAlignment="1" applyProtection="1">
      <alignment horizontal="right"/>
      <protection locked="0"/>
    </xf>
    <xf numFmtId="0" fontId="55" fillId="0" borderId="0" xfId="0" applyFont="1" applyAlignment="1" applyProtection="1"/>
    <xf numFmtId="0" fontId="60" fillId="0" borderId="0" xfId="0" applyFont="1" applyAlignment="1" applyProtection="1">
      <alignment horizontal="left" vertical="center" wrapText="1"/>
    </xf>
    <xf numFmtId="0" fontId="60" fillId="0" borderId="0" xfId="0" applyFont="1" applyAlignment="1" applyProtection="1">
      <alignment horizontal="center" vertical="center" wrapText="1"/>
    </xf>
    <xf numFmtId="0" fontId="55" fillId="0" borderId="0" xfId="0" applyFont="1" applyAlignment="1" applyProtection="1">
      <alignment wrapText="1"/>
    </xf>
    <xf numFmtId="0" fontId="55" fillId="0" borderId="0" xfId="0" applyFont="1" applyAlignment="1"/>
    <xf numFmtId="38" fontId="53" fillId="3" borderId="31" xfId="0" applyNumberFormat="1" applyFont="1" applyFill="1" applyBorder="1" applyAlignment="1" applyProtection="1">
      <alignment horizontal="right" vertical="center"/>
    </xf>
    <xf numFmtId="38" fontId="53" fillId="3" borderId="28" xfId="0" applyNumberFormat="1" applyFont="1" applyFill="1" applyBorder="1" applyAlignment="1" applyProtection="1">
      <alignment horizontal="right" vertical="center"/>
    </xf>
    <xf numFmtId="38" fontId="53" fillId="3" borderId="0" xfId="0" applyNumberFormat="1" applyFont="1" applyFill="1" applyAlignment="1" applyProtection="1">
      <alignment horizontal="right" vertical="center"/>
    </xf>
    <xf numFmtId="38" fontId="53" fillId="3" borderId="26" xfId="0" applyNumberFormat="1" applyFont="1" applyFill="1" applyBorder="1" applyAlignment="1" applyProtection="1">
      <alignment horizontal="right" vertical="center"/>
    </xf>
    <xf numFmtId="49" fontId="60" fillId="0" borderId="3" xfId="0" applyNumberFormat="1" applyFont="1" applyBorder="1" applyAlignment="1">
      <alignment horizontal="center" vertical="center"/>
    </xf>
    <xf numFmtId="49" fontId="52" fillId="0" borderId="3" xfId="0" applyNumberFormat="1" applyFont="1" applyBorder="1" applyAlignment="1">
      <alignment horizontal="center" vertical="center"/>
    </xf>
    <xf numFmtId="49" fontId="53" fillId="0" borderId="3" xfId="0" applyNumberFormat="1" applyFont="1" applyBorder="1" applyAlignment="1">
      <alignment horizontal="center" vertical="center"/>
    </xf>
    <xf numFmtId="49" fontId="62" fillId="0" borderId="26" xfId="0" applyNumberFormat="1" applyFont="1" applyBorder="1" applyAlignment="1">
      <alignment horizontal="center" vertical="center" wrapText="1"/>
    </xf>
    <xf numFmtId="3" fontId="52" fillId="0" borderId="26" xfId="0" applyNumberFormat="1" applyFont="1" applyBorder="1" applyAlignment="1">
      <alignment horizontal="center" vertical="center"/>
    </xf>
    <xf numFmtId="3" fontId="52" fillId="0" borderId="26" xfId="0" applyNumberFormat="1" applyFont="1" applyBorder="1" applyAlignment="1">
      <alignment horizontal="center" vertical="center" wrapText="1"/>
    </xf>
    <xf numFmtId="0" fontId="55" fillId="0" borderId="0" xfId="0" applyFont="1" applyAlignment="1">
      <alignment horizontal="center" vertical="top" wrapText="1"/>
    </xf>
    <xf numFmtId="0" fontId="55" fillId="0" borderId="0" xfId="0" applyFont="1" applyBorder="1" applyAlignment="1">
      <alignment vertical="center"/>
    </xf>
    <xf numFmtId="3" fontId="53" fillId="3" borderId="128" xfId="0" applyNumberFormat="1" applyFont="1" applyFill="1" applyBorder="1" applyAlignment="1">
      <alignment horizontal="center"/>
    </xf>
    <xf numFmtId="3" fontId="53" fillId="3" borderId="26" xfId="0" applyNumberFormat="1" applyFont="1" applyFill="1" applyBorder="1" applyAlignment="1">
      <alignment horizontal="center"/>
    </xf>
    <xf numFmtId="3" fontId="53" fillId="3" borderId="128" xfId="0" applyNumberFormat="1" applyFont="1" applyFill="1" applyBorder="1" applyAlignment="1">
      <alignment horizontal="right"/>
    </xf>
    <xf numFmtId="0" fontId="60" fillId="0" borderId="0" xfId="0" applyFont="1" applyBorder="1" applyAlignment="1"/>
    <xf numFmtId="49" fontId="60" fillId="0" borderId="2" xfId="0" applyNumberFormat="1" applyFont="1" applyBorder="1" applyAlignment="1">
      <alignment horizontal="center" vertical="center"/>
    </xf>
    <xf numFmtId="38" fontId="53" fillId="2" borderId="2" xfId="0" applyNumberFormat="1" applyFont="1" applyFill="1" applyBorder="1" applyAlignment="1">
      <alignment horizontal="right"/>
    </xf>
    <xf numFmtId="38" fontId="53" fillId="3" borderId="26" xfId="0" applyNumberFormat="1" applyFont="1" applyFill="1" applyBorder="1" applyAlignment="1">
      <alignment horizontal="right"/>
    </xf>
    <xf numFmtId="49" fontId="62" fillId="2" borderId="27" xfId="0" applyNumberFormat="1" applyFont="1" applyFill="1" applyBorder="1" applyAlignment="1">
      <alignment horizontal="center" vertical="center"/>
    </xf>
    <xf numFmtId="38" fontId="53" fillId="3" borderId="28" xfId="0" applyNumberFormat="1" applyFont="1" applyFill="1" applyBorder="1" applyAlignment="1">
      <alignment horizontal="right"/>
    </xf>
    <xf numFmtId="0" fontId="60" fillId="0" borderId="0" xfId="0" applyFont="1" applyFill="1" applyBorder="1" applyAlignment="1"/>
    <xf numFmtId="0" fontId="60" fillId="0" borderId="0" xfId="0" applyFont="1" applyFill="1"/>
    <xf numFmtId="3" fontId="62" fillId="3" borderId="13" xfId="0" applyNumberFormat="1" applyFont="1" applyFill="1" applyBorder="1" applyAlignment="1">
      <alignment horizontal="left" vertical="center" wrapText="1" indent="1"/>
    </xf>
    <xf numFmtId="49" fontId="62" fillId="3" borderId="14" xfId="0" applyNumberFormat="1" applyFont="1" applyFill="1" applyBorder="1" applyAlignment="1">
      <alignment horizontal="center" vertical="center"/>
    </xf>
    <xf numFmtId="38" fontId="53" fillId="3" borderId="4" xfId="0" applyNumberFormat="1" applyFont="1" applyFill="1" applyBorder="1" applyAlignment="1">
      <alignment horizontal="right"/>
    </xf>
    <xf numFmtId="164" fontId="62" fillId="3" borderId="126" xfId="0" applyNumberFormat="1" applyFont="1" applyFill="1" applyBorder="1" applyAlignment="1">
      <alignment horizontal="left" vertical="center" wrapText="1" indent="1"/>
    </xf>
    <xf numFmtId="49" fontId="62" fillId="3" borderId="31" xfId="0" applyNumberFormat="1" applyFont="1" applyFill="1" applyBorder="1" applyAlignment="1">
      <alignment horizontal="center" vertical="center"/>
    </xf>
    <xf numFmtId="38" fontId="53" fillId="3" borderId="29" xfId="0" applyNumberFormat="1" applyFont="1" applyFill="1" applyBorder="1" applyAlignment="1">
      <alignment horizontal="right"/>
    </xf>
    <xf numFmtId="49" fontId="60" fillId="0" borderId="3" xfId="0" applyNumberFormat="1" applyFont="1" applyBorder="1" applyAlignment="1">
      <alignment horizontal="center" vertical="center" wrapText="1"/>
    </xf>
    <xf numFmtId="49" fontId="60" fillId="0" borderId="2" xfId="0" applyNumberFormat="1" applyFont="1" applyBorder="1" applyAlignment="1">
      <alignment horizontal="center" vertical="top"/>
    </xf>
    <xf numFmtId="38" fontId="53" fillId="3" borderId="31" xfId="0" applyNumberFormat="1" applyFont="1" applyFill="1" applyBorder="1" applyAlignment="1">
      <alignment horizontal="right"/>
    </xf>
    <xf numFmtId="49" fontId="60" fillId="0" borderId="4" xfId="0" applyNumberFormat="1" applyFont="1" applyBorder="1" applyAlignment="1">
      <alignment horizontal="center" vertical="center"/>
    </xf>
    <xf numFmtId="49" fontId="62" fillId="3" borderId="11" xfId="0" applyNumberFormat="1" applyFont="1" applyFill="1" applyBorder="1" applyAlignment="1">
      <alignment horizontal="center" vertical="center"/>
    </xf>
    <xf numFmtId="49" fontId="60" fillId="0" borderId="33" xfId="0" applyNumberFormat="1" applyFont="1" applyFill="1" applyBorder="1" applyAlignment="1">
      <alignment horizontal="center" vertical="center"/>
    </xf>
    <xf numFmtId="0" fontId="60" fillId="0" borderId="0" xfId="0" applyFont="1" applyAlignment="1">
      <alignment vertical="center"/>
    </xf>
    <xf numFmtId="38" fontId="53" fillId="5" borderId="4" xfId="0" applyNumberFormat="1" applyFont="1" applyFill="1" applyBorder="1" applyAlignment="1" applyProtection="1">
      <alignment horizontal="right"/>
      <protection locked="0"/>
    </xf>
    <xf numFmtId="0" fontId="60" fillId="0" borderId="29" xfId="0" applyFont="1" applyFill="1" applyBorder="1" applyAlignment="1">
      <alignment horizontal="center" vertical="center"/>
    </xf>
    <xf numFmtId="38" fontId="53" fillId="6" borderId="28" xfId="0" applyNumberFormat="1" applyFont="1" applyFill="1" applyBorder="1" applyAlignment="1">
      <alignment horizontal="right"/>
    </xf>
    <xf numFmtId="0" fontId="60" fillId="0" borderId="4" xfId="0" applyFont="1" applyFill="1" applyBorder="1" applyAlignment="1">
      <alignment horizontal="center" vertical="center"/>
    </xf>
    <xf numFmtId="38" fontId="53" fillId="6" borderId="26" xfId="0" applyNumberFormat="1" applyFont="1" applyFill="1" applyBorder="1" applyAlignment="1">
      <alignment horizontal="right"/>
    </xf>
    <xf numFmtId="0" fontId="60" fillId="0" borderId="2" xfId="0" applyFont="1" applyFill="1" applyBorder="1" applyAlignment="1">
      <alignment horizontal="center" vertical="center"/>
    </xf>
    <xf numFmtId="0" fontId="60" fillId="0" borderId="128" xfId="0" applyFont="1" applyFill="1" applyBorder="1" applyAlignment="1">
      <alignment horizontal="center" vertical="center"/>
    </xf>
    <xf numFmtId="38" fontId="53" fillId="0" borderId="128" xfId="0" applyNumberFormat="1" applyFont="1" applyFill="1" applyBorder="1" applyAlignment="1" applyProtection="1">
      <alignment horizontal="right"/>
      <protection locked="0"/>
    </xf>
    <xf numFmtId="38" fontId="53" fillId="6" borderId="4" xfId="0" applyNumberFormat="1" applyFont="1" applyFill="1" applyBorder="1" applyAlignment="1">
      <alignment horizontal="right"/>
    </xf>
    <xf numFmtId="49" fontId="60" fillId="0" borderId="4" xfId="0" applyNumberFormat="1" applyFont="1" applyFill="1" applyBorder="1" applyAlignment="1">
      <alignment horizontal="center" vertical="center"/>
    </xf>
    <xf numFmtId="164" fontId="62" fillId="6" borderId="13" xfId="0" applyNumberFormat="1" applyFont="1" applyFill="1" applyBorder="1" applyAlignment="1">
      <alignment horizontal="left" vertical="center" wrapText="1" indent="1"/>
    </xf>
    <xf numFmtId="49" fontId="62" fillId="6" borderId="14" xfId="0" applyNumberFormat="1" applyFont="1" applyFill="1" applyBorder="1" applyAlignment="1">
      <alignment horizontal="center" vertical="center"/>
    </xf>
    <xf numFmtId="0" fontId="60" fillId="0" borderId="0" xfId="0" applyFont="1" applyAlignment="1"/>
    <xf numFmtId="49" fontId="62" fillId="0" borderId="29" xfId="0" applyNumberFormat="1" applyFont="1" applyFill="1" applyBorder="1" applyAlignment="1">
      <alignment horizontal="center" vertical="center"/>
    </xf>
    <xf numFmtId="3" fontId="62" fillId="0" borderId="13" xfId="0" applyNumberFormat="1" applyFont="1" applyBorder="1" applyAlignment="1">
      <alignment horizontal="left" vertical="top" wrapText="1" indent="2"/>
    </xf>
    <xf numFmtId="49" fontId="60" fillId="0" borderId="21" xfId="0" applyNumberFormat="1" applyFont="1" applyFill="1" applyBorder="1" applyAlignment="1">
      <alignment horizontal="left" vertical="top" indent="1"/>
    </xf>
    <xf numFmtId="38" fontId="53" fillId="0" borderId="21" xfId="0" applyNumberFormat="1" applyFont="1" applyFill="1" applyBorder="1" applyAlignment="1">
      <alignment horizontal="right"/>
    </xf>
    <xf numFmtId="0" fontId="53" fillId="0" borderId="0" xfId="0" applyFont="1" applyAlignment="1">
      <alignment vertical="center"/>
    </xf>
    <xf numFmtId="3" fontId="62" fillId="3" borderId="12" xfId="0" applyNumberFormat="1" applyFont="1" applyFill="1" applyBorder="1" applyAlignment="1">
      <alignment horizontal="left" vertical="center" wrapText="1" indent="1"/>
    </xf>
    <xf numFmtId="164" fontId="62" fillId="3" borderId="13" xfId="0" applyNumberFormat="1" applyFont="1" applyFill="1" applyBorder="1" applyAlignment="1">
      <alignment horizontal="left" vertical="center" wrapText="1" indent="1"/>
    </xf>
    <xf numFmtId="38" fontId="53" fillId="3" borderId="2" xfId="0" applyNumberFormat="1" applyFont="1" applyFill="1" applyBorder="1" applyAlignment="1">
      <alignment horizontal="right"/>
    </xf>
    <xf numFmtId="49" fontId="60" fillId="0" borderId="29" xfId="0" applyNumberFormat="1" applyFont="1" applyFill="1" applyBorder="1" applyAlignment="1">
      <alignment horizontal="center" vertical="center"/>
    </xf>
    <xf numFmtId="38" fontId="53" fillId="0" borderId="29" xfId="0" applyNumberFormat="1" applyFont="1" applyBorder="1" applyAlignment="1" applyProtection="1">
      <alignment horizontal="right"/>
      <protection locked="0"/>
    </xf>
    <xf numFmtId="164" fontId="62" fillId="3" borderId="13" xfId="0" applyNumberFormat="1" applyFont="1" applyFill="1" applyBorder="1" applyAlignment="1" applyProtection="1">
      <alignment horizontal="left" vertical="center" wrapText="1" indent="1"/>
    </xf>
    <xf numFmtId="49" fontId="62" fillId="3" borderId="14" xfId="0" applyNumberFormat="1" applyFont="1" applyFill="1" applyBorder="1" applyAlignment="1" applyProtection="1">
      <alignment horizontal="center" vertical="center"/>
    </xf>
    <xf numFmtId="49" fontId="62" fillId="7" borderId="27" xfId="0" applyNumberFormat="1" applyFont="1" applyFill="1" applyBorder="1" applyAlignment="1">
      <alignment horizontal="center" vertical="center"/>
    </xf>
    <xf numFmtId="3" fontId="62" fillId="6" borderId="17" xfId="0" applyNumberFormat="1" applyFont="1" applyFill="1" applyBorder="1" applyAlignment="1">
      <alignment horizontal="left" vertical="center" wrapText="1" indent="1"/>
    </xf>
    <xf numFmtId="49" fontId="62" fillId="6" borderId="26" xfId="0" applyNumberFormat="1" applyFont="1" applyFill="1" applyBorder="1" applyAlignment="1">
      <alignment horizontal="center" vertical="center"/>
    </xf>
    <xf numFmtId="38" fontId="53" fillId="6" borderId="29" xfId="0" applyNumberFormat="1" applyFont="1" applyFill="1" applyBorder="1" applyAlignment="1">
      <alignment horizontal="right"/>
    </xf>
    <xf numFmtId="3" fontId="62" fillId="0" borderId="13" xfId="0" applyNumberFormat="1" applyFont="1" applyFill="1" applyBorder="1" applyAlignment="1">
      <alignment horizontal="left" vertical="top" wrapText="1" indent="2"/>
    </xf>
    <xf numFmtId="0" fontId="55" fillId="0" borderId="21" xfId="0" applyFont="1" applyFill="1" applyBorder="1" applyAlignment="1">
      <alignment horizontal="left" vertical="top" wrapText="1" indent="2"/>
    </xf>
    <xf numFmtId="0" fontId="55" fillId="0" borderId="0" xfId="0" applyFont="1" applyFill="1" applyBorder="1" applyAlignment="1"/>
    <xf numFmtId="0" fontId="55" fillId="0" borderId="0" xfId="0" applyFont="1" applyFill="1" applyBorder="1"/>
    <xf numFmtId="0" fontId="53" fillId="0" borderId="0" xfId="0" applyFont="1" applyBorder="1" applyAlignment="1"/>
    <xf numFmtId="0" fontId="53" fillId="0" borderId="0" xfId="0" applyFont="1"/>
    <xf numFmtId="3" fontId="62" fillId="3" borderId="126" xfId="0" applyNumberFormat="1" applyFont="1" applyFill="1" applyBorder="1" applyAlignment="1">
      <alignment horizontal="left" vertical="center" wrapText="1" indent="1"/>
    </xf>
    <xf numFmtId="49" fontId="62" fillId="3" borderId="29" xfId="0" applyNumberFormat="1" applyFont="1" applyFill="1" applyBorder="1" applyAlignment="1">
      <alignment horizontal="center" vertical="center"/>
    </xf>
    <xf numFmtId="49" fontId="62" fillId="3" borderId="4" xfId="0" applyNumberFormat="1" applyFont="1" applyFill="1" applyBorder="1" applyAlignment="1">
      <alignment horizontal="center" vertical="top"/>
    </xf>
    <xf numFmtId="49" fontId="62" fillId="3" borderId="2" xfId="0" applyNumberFormat="1" applyFont="1" applyFill="1" applyBorder="1" applyAlignment="1">
      <alignment horizontal="center" vertical="top"/>
    </xf>
    <xf numFmtId="49" fontId="60" fillId="0" borderId="21" xfId="0" applyNumberFormat="1" applyFont="1" applyFill="1" applyBorder="1" applyAlignment="1">
      <alignment horizontal="center" vertical="top"/>
    </xf>
    <xf numFmtId="0" fontId="55" fillId="0" borderId="0" xfId="0" applyFont="1" applyFill="1"/>
    <xf numFmtId="0" fontId="62" fillId="3" borderId="13" xfId="0" applyFont="1" applyFill="1" applyBorder="1" applyAlignment="1">
      <alignment horizontal="left" vertical="center" wrapText="1" indent="1"/>
    </xf>
    <xf numFmtId="49" fontId="62" fillId="3" borderId="127" xfId="0" applyNumberFormat="1" applyFont="1" applyFill="1" applyBorder="1" applyAlignment="1">
      <alignment horizontal="center" vertical="center"/>
    </xf>
    <xf numFmtId="49" fontId="60" fillId="0" borderId="128" xfId="0" applyNumberFormat="1" applyFont="1" applyBorder="1" applyAlignment="1">
      <alignment horizontal="center" vertical="center"/>
    </xf>
    <xf numFmtId="49" fontId="62" fillId="3" borderId="4" xfId="0" applyNumberFormat="1" applyFont="1" applyFill="1" applyBorder="1" applyAlignment="1">
      <alignment horizontal="center" vertical="center"/>
    </xf>
    <xf numFmtId="3" fontId="62" fillId="6" borderId="29" xfId="0" applyNumberFormat="1" applyFont="1" applyFill="1" applyBorder="1" applyAlignment="1">
      <alignment horizontal="left" vertical="center" wrapText="1" indent="1"/>
    </xf>
    <xf numFmtId="49" fontId="62" fillId="6" borderId="29" xfId="0" applyNumberFormat="1" applyFont="1" applyFill="1" applyBorder="1" applyAlignment="1">
      <alignment horizontal="center" vertical="center"/>
    </xf>
    <xf numFmtId="3" fontId="62" fillId="3" borderId="2" xfId="0" applyNumberFormat="1" applyFont="1" applyFill="1" applyBorder="1" applyAlignment="1">
      <alignment horizontal="left" vertical="center" wrapText="1" indent="1"/>
    </xf>
    <xf numFmtId="49" fontId="62" fillId="3" borderId="11" xfId="0" applyNumberFormat="1" applyFont="1" applyFill="1" applyBorder="1" applyAlignment="1">
      <alignment horizontal="center" vertical="center" wrapText="1"/>
    </xf>
    <xf numFmtId="49" fontId="60" fillId="0" borderId="3" xfId="0" applyNumberFormat="1" applyFont="1" applyBorder="1" applyAlignment="1">
      <alignment horizontal="center" vertical="top"/>
    </xf>
    <xf numFmtId="49" fontId="62" fillId="3" borderId="31" xfId="0" applyNumberFormat="1" applyFont="1" applyFill="1" applyBorder="1" applyAlignment="1">
      <alignment horizontal="center" vertical="center" wrapText="1"/>
    </xf>
    <xf numFmtId="49" fontId="60" fillId="0" borderId="2" xfId="0" applyNumberFormat="1" applyFont="1" applyBorder="1" applyAlignment="1">
      <alignment horizontal="center" vertical="center" wrapText="1"/>
    </xf>
    <xf numFmtId="38" fontId="53" fillId="3" borderId="128" xfId="0" applyNumberFormat="1" applyFont="1" applyFill="1" applyBorder="1" applyAlignment="1">
      <alignment horizontal="right"/>
    </xf>
    <xf numFmtId="38" fontId="53" fillId="3" borderId="3" xfId="0" applyNumberFormat="1" applyFont="1" applyFill="1" applyBorder="1" applyAlignment="1">
      <alignment horizontal="right"/>
    </xf>
    <xf numFmtId="164" fontId="62" fillId="3" borderId="17" xfId="0" applyNumberFormat="1" applyFont="1" applyFill="1" applyBorder="1" applyAlignment="1">
      <alignment horizontal="left" vertical="center" wrapText="1" indent="1"/>
    </xf>
    <xf numFmtId="0" fontId="60" fillId="0" borderId="2" xfId="0" applyFont="1" applyBorder="1" applyAlignment="1">
      <alignment horizontal="center" vertical="center"/>
    </xf>
    <xf numFmtId="49" fontId="60" fillId="0" borderId="2" xfId="0" applyNumberFormat="1" applyFont="1" applyFill="1" applyBorder="1" applyAlignment="1">
      <alignment horizontal="center" vertical="center"/>
    </xf>
    <xf numFmtId="3" fontId="62" fillId="0" borderId="126" xfId="0" applyNumberFormat="1" applyFont="1" applyFill="1" applyBorder="1" applyAlignment="1">
      <alignment horizontal="left" vertical="top" wrapText="1" indent="1"/>
    </xf>
    <xf numFmtId="0" fontId="55" fillId="0" borderId="20" xfId="0" applyFont="1" applyFill="1" applyBorder="1" applyAlignment="1">
      <alignment horizontal="left" vertical="top" wrapText="1"/>
    </xf>
    <xf numFmtId="38" fontId="53" fillId="0" borderId="20" xfId="0" applyNumberFormat="1" applyFont="1" applyFill="1" applyBorder="1" applyAlignment="1">
      <alignment horizontal="right"/>
    </xf>
    <xf numFmtId="38" fontId="53" fillId="0" borderId="0" xfId="0" applyNumberFormat="1" applyFont="1" applyFill="1" applyBorder="1" applyAlignment="1">
      <alignment horizontal="right"/>
    </xf>
    <xf numFmtId="0" fontId="62" fillId="6" borderId="12" xfId="0" applyFont="1" applyFill="1" applyBorder="1" applyAlignment="1">
      <alignment horizontal="left" vertical="center" wrapText="1" indent="1"/>
    </xf>
    <xf numFmtId="49" fontId="60" fillId="6" borderId="14" xfId="0" applyNumberFormat="1" applyFont="1" applyFill="1" applyBorder="1" applyAlignment="1">
      <alignment horizontal="center" vertical="center"/>
    </xf>
    <xf numFmtId="49" fontId="60" fillId="0" borderId="14" xfId="0" applyNumberFormat="1" applyFont="1" applyFill="1" applyBorder="1" applyAlignment="1">
      <alignment horizontal="center" vertical="center"/>
    </xf>
    <xf numFmtId="49" fontId="60" fillId="0" borderId="14" xfId="0" applyNumberFormat="1" applyFont="1" applyFill="1" applyBorder="1" applyAlignment="1">
      <alignment horizontal="center" vertical="top"/>
    </xf>
    <xf numFmtId="164" fontId="62" fillId="3" borderId="13" xfId="0" applyNumberFormat="1" applyFont="1" applyFill="1" applyBorder="1" applyAlignment="1">
      <alignment horizontal="left" vertical="top" wrapText="1" indent="1"/>
    </xf>
    <xf numFmtId="49" fontId="62" fillId="3" borderId="14" xfId="0" applyNumberFormat="1" applyFont="1" applyFill="1" applyBorder="1" applyAlignment="1">
      <alignment horizontal="center" vertical="top"/>
    </xf>
    <xf numFmtId="0" fontId="55" fillId="6" borderId="0" xfId="0" applyFont="1" applyFill="1" applyAlignment="1">
      <alignment vertical="center"/>
    </xf>
    <xf numFmtId="49" fontId="62" fillId="6" borderId="2" xfId="7" applyNumberFormat="1" applyFont="1" applyFill="1" applyBorder="1" applyAlignment="1">
      <alignment horizontal="left" vertical="center" wrapText="1" indent="1"/>
    </xf>
    <xf numFmtId="0" fontId="62" fillId="6" borderId="2" xfId="8" applyNumberFormat="1" applyFont="1" applyFill="1" applyBorder="1" applyAlignment="1">
      <alignment horizontal="center" vertical="top"/>
    </xf>
    <xf numFmtId="38" fontId="53" fillId="6" borderId="0" xfId="8" applyNumberFormat="1" applyFont="1" applyFill="1" applyBorder="1" applyAlignment="1" applyProtection="1">
      <alignment horizontal="right"/>
    </xf>
    <xf numFmtId="38" fontId="53" fillId="6" borderId="26" xfId="8" applyNumberFormat="1" applyFont="1" applyFill="1" applyBorder="1" applyAlignment="1" applyProtection="1">
      <alignment horizontal="right"/>
    </xf>
    <xf numFmtId="38" fontId="53" fillId="0" borderId="2" xfId="8" applyNumberFormat="1" applyFont="1" applyFill="1" applyBorder="1" applyAlignment="1" applyProtection="1">
      <alignment horizontal="right"/>
      <protection locked="0"/>
    </xf>
    <xf numFmtId="38" fontId="53" fillId="0" borderId="2" xfId="6" applyNumberFormat="1" applyFont="1" applyBorder="1" applyProtection="1">
      <protection locked="0"/>
    </xf>
    <xf numFmtId="0" fontId="79" fillId="0" borderId="0" xfId="6" applyFont="1"/>
    <xf numFmtId="0" fontId="60" fillId="0" borderId="17" xfId="0" applyFont="1" applyBorder="1" applyAlignment="1">
      <alignment horizontal="left" vertical="center" wrapText="1"/>
    </xf>
    <xf numFmtId="49" fontId="60" fillId="0" borderId="0" xfId="0" applyNumberFormat="1" applyFont="1" applyAlignment="1">
      <alignment horizontal="center" vertical="center"/>
    </xf>
    <xf numFmtId="0" fontId="55" fillId="0" borderId="0" xfId="0" applyFont="1" applyAlignment="1">
      <alignment horizontal="right" vertical="center"/>
    </xf>
    <xf numFmtId="38" fontId="55" fillId="0" borderId="0" xfId="0" applyNumberFormat="1" applyFont="1" applyAlignment="1">
      <alignment horizontal="right" vertical="center"/>
    </xf>
    <xf numFmtId="38" fontId="55" fillId="0" borderId="0" xfId="0" applyNumberFormat="1" applyFont="1" applyFill="1" applyAlignment="1">
      <alignment horizontal="right" vertical="center"/>
    </xf>
    <xf numFmtId="38" fontId="62" fillId="6" borderId="3" xfId="0" applyNumberFormat="1" applyFont="1" applyFill="1" applyBorder="1" applyAlignment="1">
      <alignment horizontal="center" vertical="center" wrapText="1"/>
    </xf>
    <xf numFmtId="0" fontId="60" fillId="0" borderId="2" xfId="0" applyFont="1" applyBorder="1" applyAlignment="1">
      <alignment horizontal="left" vertical="center" wrapText="1" indent="1"/>
    </xf>
    <xf numFmtId="38" fontId="55" fillId="0" borderId="0" xfId="0" applyNumberFormat="1" applyFont="1"/>
    <xf numFmtId="0" fontId="71" fillId="0" borderId="0" xfId="0" applyFont="1" applyAlignment="1">
      <alignment horizontal="left" indent="2"/>
    </xf>
    <xf numFmtId="0" fontId="71" fillId="0" borderId="0" xfId="0" applyFont="1" applyAlignment="1">
      <alignment horizontal="left"/>
    </xf>
    <xf numFmtId="0" fontId="71" fillId="0" borderId="0" xfId="0" applyFont="1" applyAlignment="1">
      <alignment horizontal="left" vertical="top" indent="2"/>
    </xf>
    <xf numFmtId="0" fontId="71" fillId="0" borderId="0" xfId="0" applyFont="1" applyAlignment="1">
      <alignment horizontal="left" vertical="top"/>
    </xf>
    <xf numFmtId="49" fontId="60" fillId="0" borderId="0" xfId="0" applyNumberFormat="1" applyFont="1" applyFill="1" applyBorder="1" applyAlignment="1" applyProtection="1">
      <alignment horizontal="left" vertical="center"/>
    </xf>
    <xf numFmtId="49" fontId="60" fillId="0" borderId="0" xfId="0" applyNumberFormat="1" applyFont="1" applyAlignment="1" applyProtection="1">
      <alignment horizontal="left" vertical="center"/>
    </xf>
    <xf numFmtId="49" fontId="62" fillId="0" borderId="2" xfId="0" applyNumberFormat="1" applyFont="1" applyFill="1" applyBorder="1" applyAlignment="1" applyProtection="1">
      <alignment horizontal="center" vertical="center" wrapText="1"/>
    </xf>
    <xf numFmtId="49" fontId="60" fillId="0" borderId="13" xfId="0" applyNumberFormat="1" applyFont="1" applyBorder="1" applyAlignment="1" applyProtection="1">
      <alignment horizontal="left" vertical="center" indent="1"/>
    </xf>
    <xf numFmtId="49" fontId="60" fillId="0" borderId="21" xfId="0" applyNumberFormat="1" applyFont="1" applyBorder="1" applyAlignment="1" applyProtection="1">
      <alignment horizontal="left" vertical="center"/>
    </xf>
    <xf numFmtId="38" fontId="53" fillId="0" borderId="2" xfId="0" applyNumberFormat="1" applyFont="1" applyBorder="1" applyAlignment="1" applyProtection="1">
      <alignment horizontal="right" vertical="center"/>
      <protection locked="0"/>
    </xf>
    <xf numFmtId="38" fontId="53" fillId="3" borderId="0" xfId="0" applyNumberFormat="1" applyFont="1" applyFill="1" applyBorder="1" applyAlignment="1" applyProtection="1">
      <alignment horizontal="right" vertical="center"/>
    </xf>
    <xf numFmtId="38" fontId="53" fillId="3" borderId="18" xfId="0" applyNumberFormat="1" applyFont="1" applyFill="1" applyBorder="1" applyAlignment="1" applyProtection="1">
      <alignment horizontal="right" vertical="center"/>
    </xf>
    <xf numFmtId="0" fontId="79" fillId="0" borderId="0" xfId="9" applyFont="1" applyFill="1"/>
    <xf numFmtId="49" fontId="62" fillId="0" borderId="2" xfId="9" applyNumberFormat="1" applyFont="1" applyFill="1" applyBorder="1" applyAlignment="1">
      <alignment horizontal="center" vertical="center" wrapText="1"/>
    </xf>
    <xf numFmtId="0" fontId="55" fillId="0" borderId="0" xfId="9" applyFont="1" applyFill="1"/>
    <xf numFmtId="164" fontId="60" fillId="0" borderId="2" xfId="9" applyNumberFormat="1" applyFont="1" applyFill="1" applyBorder="1" applyAlignment="1" applyProtection="1">
      <alignment horizontal="left" vertical="center"/>
      <protection locked="0"/>
    </xf>
    <xf numFmtId="177" fontId="60" fillId="0" borderId="2" xfId="9" applyNumberFormat="1" applyFont="1" applyFill="1" applyBorder="1" applyAlignment="1" applyProtection="1">
      <alignment horizontal="right"/>
      <protection locked="0"/>
    </xf>
    <xf numFmtId="38" fontId="53" fillId="0" borderId="2" xfId="9" applyNumberFormat="1" applyFont="1" applyFill="1" applyBorder="1" applyAlignment="1" applyProtection="1">
      <alignment horizontal="right"/>
      <protection locked="0"/>
    </xf>
    <xf numFmtId="3" fontId="53" fillId="0" borderId="2" xfId="9" applyNumberFormat="1" applyFont="1" applyFill="1" applyBorder="1" applyAlignment="1" applyProtection="1">
      <alignment horizontal="right" vertical="center"/>
      <protection locked="0"/>
    </xf>
    <xf numFmtId="0" fontId="55" fillId="0" borderId="0" xfId="9" applyFont="1" applyFill="1" applyAlignment="1"/>
    <xf numFmtId="0" fontId="60" fillId="0" borderId="0" xfId="9" applyFont="1" applyFill="1" applyAlignment="1"/>
    <xf numFmtId="38" fontId="53" fillId="0" borderId="2" xfId="9" applyNumberFormat="1" applyFont="1" applyFill="1" applyBorder="1" applyAlignment="1" applyProtection="1">
      <alignment horizontal="right" vertical="center"/>
      <protection locked="0"/>
    </xf>
    <xf numFmtId="0" fontId="79" fillId="0" borderId="0" xfId="9" applyFont="1" applyFill="1" applyAlignment="1">
      <alignment vertical="top"/>
    </xf>
    <xf numFmtId="0" fontId="53" fillId="0" borderId="2" xfId="0" applyFont="1" applyFill="1" applyBorder="1" applyAlignment="1" applyProtection="1">
      <alignment horizontal="right"/>
      <protection locked="0"/>
    </xf>
    <xf numFmtId="0" fontId="53" fillId="0" borderId="2" xfId="9" applyFont="1" applyFill="1" applyBorder="1" applyAlignment="1" applyProtection="1">
      <alignment horizontal="right" vertical="top"/>
      <protection locked="0"/>
    </xf>
    <xf numFmtId="38" fontId="53" fillId="0" borderId="2" xfId="9" applyNumberFormat="1" applyFont="1" applyFill="1" applyBorder="1" applyAlignment="1" applyProtection="1">
      <alignment horizontal="right" vertical="top"/>
      <protection locked="0"/>
    </xf>
    <xf numFmtId="38" fontId="53" fillId="0" borderId="2" xfId="9" quotePrefix="1" applyNumberFormat="1" applyFont="1" applyFill="1" applyBorder="1" applyAlignment="1" applyProtection="1">
      <alignment horizontal="right"/>
      <protection locked="0"/>
    </xf>
    <xf numFmtId="0" fontId="60" fillId="0" borderId="0" xfId="9" applyFont="1" applyFill="1" applyBorder="1" applyAlignment="1"/>
    <xf numFmtId="38" fontId="53" fillId="6" borderId="2" xfId="9" applyNumberFormat="1" applyFont="1" applyFill="1" applyBorder="1" applyAlignment="1" applyProtection="1">
      <alignment horizontal="right"/>
    </xf>
    <xf numFmtId="0" fontId="79" fillId="0" borderId="0" xfId="9" applyFont="1" applyFill="1" applyAlignment="1"/>
    <xf numFmtId="0" fontId="60" fillId="0" borderId="0" xfId="9" applyFont="1" applyFill="1" applyAlignment="1">
      <alignment vertical="top"/>
    </xf>
    <xf numFmtId="0" fontId="60" fillId="0" borderId="0" xfId="9" applyFont="1" applyFill="1" applyAlignment="1">
      <alignment horizontal="left" indent="1"/>
    </xf>
    <xf numFmtId="49" fontId="60" fillId="0" borderId="0" xfId="9" applyNumberFormat="1" applyFont="1" applyFill="1" applyAlignment="1">
      <alignment horizontal="right" vertical="center"/>
    </xf>
    <xf numFmtId="0" fontId="60" fillId="0" borderId="0" xfId="9" applyFont="1" applyFill="1" applyAlignment="1">
      <alignment horizontal="left" vertical="center" indent="1"/>
    </xf>
    <xf numFmtId="0" fontId="60" fillId="0" borderId="0" xfId="9" applyFont="1" applyFill="1" applyAlignment="1">
      <alignment vertical="center"/>
    </xf>
    <xf numFmtId="0" fontId="60" fillId="0" borderId="0" xfId="9" applyFont="1" applyFill="1" applyAlignment="1">
      <alignment horizontal="left" vertical="top" indent="1"/>
    </xf>
    <xf numFmtId="0" fontId="60" fillId="0" borderId="0" xfId="9" applyFont="1" applyFill="1" applyAlignment="1">
      <alignment horizontal="left"/>
    </xf>
    <xf numFmtId="0" fontId="79" fillId="0" borderId="0" xfId="9" applyFont="1" applyFill="1" applyBorder="1" applyAlignment="1">
      <alignment horizontal="left" vertical="center"/>
    </xf>
    <xf numFmtId="0" fontId="60" fillId="0" borderId="0" xfId="9" applyFont="1" applyFill="1" applyBorder="1" applyAlignment="1">
      <alignment horizontal="left"/>
    </xf>
    <xf numFmtId="49" fontId="60" fillId="0" borderId="0" xfId="9" applyNumberFormat="1" applyFont="1" applyFill="1" applyBorder="1" applyAlignment="1">
      <alignment horizontal="right"/>
    </xf>
    <xf numFmtId="0" fontId="55" fillId="0" borderId="15" xfId="9" applyFont="1" applyFill="1" applyBorder="1" applyAlignment="1" applyProtection="1">
      <protection locked="0"/>
    </xf>
    <xf numFmtId="49" fontId="60" fillId="0" borderId="0" xfId="9" applyNumberFormat="1" applyFont="1" applyFill="1" applyAlignment="1">
      <alignment horizontal="left" vertical="center"/>
    </xf>
    <xf numFmtId="49" fontId="71" fillId="0" borderId="0" xfId="9" applyNumberFormat="1" applyFont="1" applyFill="1" applyAlignment="1">
      <alignment horizontal="left" vertical="center"/>
    </xf>
    <xf numFmtId="0" fontId="62" fillId="0" borderId="9" xfId="0" applyFont="1" applyBorder="1" applyAlignment="1" applyProtection="1">
      <alignment horizontal="center" vertical="center" wrapText="1"/>
    </xf>
    <xf numFmtId="0" fontId="62" fillId="0" borderId="22" xfId="0" applyFont="1" applyFill="1" applyBorder="1" applyAlignment="1" applyProtection="1">
      <alignment horizontal="center" vertical="center"/>
    </xf>
    <xf numFmtId="0" fontId="62" fillId="0" borderId="22" xfId="0" applyFont="1" applyFill="1" applyBorder="1" applyAlignment="1" applyProtection="1">
      <alignment horizontal="center" vertical="center" wrapText="1"/>
    </xf>
    <xf numFmtId="0" fontId="55" fillId="0" borderId="7" xfId="0" applyFont="1" applyBorder="1" applyAlignment="1" applyProtection="1">
      <alignment vertical="center"/>
    </xf>
    <xf numFmtId="38" fontId="53" fillId="0" borderId="22" xfId="0" applyNumberFormat="1" applyFont="1" applyBorder="1" applyAlignment="1" applyProtection="1">
      <alignment vertical="center"/>
      <protection locked="0"/>
    </xf>
    <xf numFmtId="38" fontId="53" fillId="0" borderId="22" xfId="0" applyNumberFormat="1" applyFont="1" applyFill="1" applyBorder="1" applyAlignment="1" applyProtection="1">
      <alignment horizontal="right" vertical="center"/>
      <protection locked="0"/>
    </xf>
    <xf numFmtId="0" fontId="55" fillId="6" borderId="7" xfId="0" applyFont="1" applyFill="1" applyBorder="1" applyAlignment="1" applyProtection="1">
      <alignment vertical="center"/>
    </xf>
    <xf numFmtId="38" fontId="53" fillId="6" borderId="45" xfId="0" applyNumberFormat="1" applyFont="1" applyFill="1" applyBorder="1" applyAlignment="1" applyProtection="1">
      <alignment vertical="center"/>
    </xf>
    <xf numFmtId="38" fontId="53" fillId="6" borderId="22" xfId="0" applyNumberFormat="1" applyFont="1" applyFill="1" applyBorder="1" applyAlignment="1" applyProtection="1">
      <alignment vertical="center"/>
    </xf>
    <xf numFmtId="38" fontId="53" fillId="6" borderId="45" xfId="0" applyNumberFormat="1" applyFont="1" applyFill="1" applyBorder="1" applyAlignment="1" applyProtection="1">
      <alignment horizontal="right" vertical="center"/>
    </xf>
    <xf numFmtId="49" fontId="60" fillId="0" borderId="7" xfId="0" applyNumberFormat="1" applyFont="1" applyBorder="1" applyAlignment="1" applyProtection="1">
      <alignment horizontal="center" vertical="center" wrapText="1"/>
    </xf>
    <xf numFmtId="38" fontId="53" fillId="6" borderId="8" xfId="0" applyNumberFormat="1" applyFont="1" applyFill="1" applyBorder="1" applyAlignment="1" applyProtection="1">
      <alignment vertical="center"/>
    </xf>
    <xf numFmtId="38" fontId="53" fillId="0" borderId="22" xfId="0" applyNumberFormat="1" applyFont="1" applyFill="1" applyBorder="1" applyAlignment="1" applyProtection="1">
      <alignment vertical="center"/>
      <protection locked="0"/>
    </xf>
    <xf numFmtId="38" fontId="53" fillId="6" borderId="8" xfId="0" applyNumberFormat="1" applyFont="1" applyFill="1" applyBorder="1" applyAlignment="1" applyProtection="1">
      <alignment horizontal="right" vertical="center"/>
    </xf>
    <xf numFmtId="0" fontId="60" fillId="0" borderId="46" xfId="0" applyFont="1" applyBorder="1" applyAlignment="1" applyProtection="1">
      <alignment horizontal="left" indent="1"/>
    </xf>
    <xf numFmtId="0" fontId="60" fillId="0" borderId="6" xfId="0" applyFont="1" applyBorder="1" applyAlignment="1" applyProtection="1">
      <alignment horizontal="left" indent="1"/>
    </xf>
    <xf numFmtId="0" fontId="55" fillId="0" borderId="7" xfId="0" applyFont="1" applyBorder="1" applyAlignment="1">
      <alignment horizontal="left" indent="1"/>
    </xf>
    <xf numFmtId="49" fontId="60" fillId="0" borderId="7" xfId="0" applyNumberFormat="1" applyFont="1" applyBorder="1" applyAlignment="1" applyProtection="1">
      <alignment horizontal="center" vertical="center"/>
    </xf>
    <xf numFmtId="0" fontId="60" fillId="0" borderId="46" xfId="0" applyFont="1" applyBorder="1" applyAlignment="1" applyProtection="1">
      <alignment horizontal="left" vertical="center" indent="1"/>
    </xf>
    <xf numFmtId="0" fontId="60" fillId="0" borderId="6" xfId="0" applyFont="1" applyBorder="1" applyAlignment="1" applyProtection="1">
      <alignment horizontal="left" vertical="center" wrapText="1" indent="1"/>
    </xf>
    <xf numFmtId="0" fontId="55" fillId="0" borderId="7" xfId="0" applyFont="1" applyBorder="1" applyAlignment="1">
      <alignment horizontal="left" wrapText="1" indent="1"/>
    </xf>
    <xf numFmtId="38" fontId="53" fillId="6" borderId="22" xfId="0" applyNumberFormat="1" applyFont="1" applyFill="1" applyBorder="1" applyAlignment="1" applyProtection="1">
      <alignment horizontal="right" vertical="center"/>
    </xf>
    <xf numFmtId="38" fontId="53" fillId="6" borderId="44" xfId="0" applyNumberFormat="1" applyFont="1" applyFill="1" applyBorder="1" applyAlignment="1" applyProtection="1">
      <alignment vertical="center"/>
    </xf>
    <xf numFmtId="49" fontId="60" fillId="0" borderId="6" xfId="0" applyNumberFormat="1" applyFont="1" applyBorder="1" applyAlignment="1" applyProtection="1">
      <alignment horizontal="center" vertical="center"/>
    </xf>
    <xf numFmtId="38" fontId="53" fillId="0" borderId="7" xfId="0" applyNumberFormat="1" applyFont="1" applyBorder="1" applyAlignment="1" applyProtection="1">
      <alignment vertical="center"/>
      <protection locked="0"/>
    </xf>
    <xf numFmtId="49" fontId="60" fillId="6" borderId="59" xfId="0" applyNumberFormat="1" applyFont="1" applyFill="1" applyBorder="1" applyAlignment="1" applyProtection="1">
      <alignment horizontal="center" vertical="center"/>
    </xf>
    <xf numFmtId="0" fontId="53" fillId="6" borderId="42" xfId="0" applyFont="1" applyFill="1" applyBorder="1" applyAlignment="1" applyProtection="1">
      <alignment horizontal="right" vertical="center"/>
    </xf>
    <xf numFmtId="0" fontId="53" fillId="6" borderId="43" xfId="0" applyFont="1" applyFill="1" applyBorder="1" applyAlignment="1" applyProtection="1">
      <alignment horizontal="right" vertical="center"/>
    </xf>
    <xf numFmtId="0" fontId="53" fillId="6" borderId="40" xfId="0" applyFont="1" applyFill="1" applyBorder="1" applyAlignment="1" applyProtection="1">
      <alignment horizontal="right" vertical="center"/>
    </xf>
    <xf numFmtId="49" fontId="60" fillId="0" borderId="22" xfId="0" applyNumberFormat="1" applyFont="1" applyBorder="1" applyAlignment="1" applyProtection="1">
      <alignment horizontal="center" vertical="center"/>
    </xf>
    <xf numFmtId="49" fontId="60" fillId="3" borderId="22" xfId="0" applyNumberFormat="1" applyFont="1" applyFill="1" applyBorder="1" applyAlignment="1" applyProtection="1">
      <alignment horizontal="center" vertical="center"/>
    </xf>
    <xf numFmtId="38" fontId="53" fillId="3" borderId="45" xfId="0" applyNumberFormat="1" applyFont="1" applyFill="1" applyBorder="1" applyAlignment="1" applyProtection="1">
      <alignment vertical="center"/>
    </xf>
    <xf numFmtId="38" fontId="53" fillId="3" borderId="44" xfId="0" applyNumberFormat="1" applyFont="1" applyFill="1" applyBorder="1" applyAlignment="1" applyProtection="1">
      <alignment vertical="center"/>
    </xf>
    <xf numFmtId="38" fontId="53" fillId="3" borderId="8" xfId="0" applyNumberFormat="1" applyFont="1" applyFill="1" applyBorder="1" applyAlignment="1" applyProtection="1">
      <alignment horizontal="right" vertical="center"/>
    </xf>
    <xf numFmtId="38" fontId="53" fillId="3" borderId="44" xfId="0" applyNumberFormat="1" applyFont="1" applyFill="1" applyBorder="1" applyAlignment="1" applyProtection="1">
      <alignment horizontal="right" vertical="center"/>
    </xf>
    <xf numFmtId="38" fontId="53" fillId="6" borderId="44" xfId="0" applyNumberFormat="1" applyFont="1" applyFill="1" applyBorder="1" applyAlignment="1" applyProtection="1">
      <alignment horizontal="right" vertical="center"/>
    </xf>
    <xf numFmtId="38" fontId="53" fillId="3" borderId="8" xfId="0" applyNumberFormat="1" applyFont="1" applyFill="1" applyBorder="1" applyAlignment="1" applyProtection="1">
      <alignment vertical="center"/>
    </xf>
    <xf numFmtId="38" fontId="53" fillId="0" borderId="8" xfId="0" applyNumberFormat="1" applyFont="1" applyFill="1" applyBorder="1" applyAlignment="1" applyProtection="1">
      <alignment horizontal="right" vertical="center"/>
      <protection locked="0"/>
    </xf>
    <xf numFmtId="0" fontId="62" fillId="0" borderId="46" xfId="0" applyFont="1" applyFill="1" applyBorder="1" applyAlignment="1">
      <alignment horizontal="left" indent="2"/>
    </xf>
    <xf numFmtId="0" fontId="62" fillId="0" borderId="6" xfId="0" applyFont="1" applyFill="1" applyBorder="1" applyAlignment="1" applyProtection="1">
      <alignment horizontal="left" vertical="center"/>
    </xf>
    <xf numFmtId="0" fontId="55" fillId="0" borderId="7" xfId="0" applyFont="1" applyBorder="1" applyAlignment="1" applyProtection="1"/>
    <xf numFmtId="0" fontId="60" fillId="0" borderId="22" xfId="0" applyFont="1" applyFill="1" applyBorder="1" applyAlignment="1">
      <alignment horizontal="center" wrapText="1"/>
    </xf>
    <xf numFmtId="38" fontId="53" fillId="0" borderId="8" xfId="0" applyNumberFormat="1" applyFont="1" applyFill="1" applyBorder="1" applyAlignment="1" applyProtection="1">
      <alignment vertical="center"/>
      <protection locked="0"/>
    </xf>
    <xf numFmtId="0" fontId="53" fillId="0" borderId="50" xfId="0" applyFont="1" applyBorder="1" applyAlignment="1" applyProtection="1">
      <alignment vertical="center"/>
    </xf>
    <xf numFmtId="0" fontId="55" fillId="0" borderId="9" xfId="0" applyFont="1" applyBorder="1" applyProtection="1"/>
    <xf numFmtId="0" fontId="55" fillId="0" borderId="40" xfId="0" applyFont="1" applyBorder="1" applyProtection="1"/>
    <xf numFmtId="0" fontId="63" fillId="0" borderId="0" xfId="0" applyFont="1" applyBorder="1" applyAlignment="1" applyProtection="1">
      <alignment horizontal="center"/>
    </xf>
    <xf numFmtId="0" fontId="63" fillId="0" borderId="22" xfId="0" applyFont="1" applyBorder="1" applyAlignment="1" applyProtection="1">
      <alignment horizontal="center"/>
      <protection locked="0"/>
    </xf>
    <xf numFmtId="0" fontId="60" fillId="0" borderId="0" xfId="0" applyFont="1" applyAlignment="1" applyProtection="1">
      <alignment horizontal="left" vertical="center" indent="1"/>
    </xf>
    <xf numFmtId="0" fontId="60" fillId="0" borderId="5" xfId="0" applyFont="1" applyBorder="1" applyAlignment="1" applyProtection="1">
      <alignment vertical="center"/>
    </xf>
    <xf numFmtId="0" fontId="60" fillId="0" borderId="0" xfId="0" applyFont="1" applyAlignment="1" applyProtection="1">
      <alignment horizontal="left" indent="1"/>
    </xf>
    <xf numFmtId="0" fontId="60" fillId="0" borderId="22" xfId="0" applyFont="1" applyBorder="1" applyAlignment="1" applyProtection="1">
      <alignment horizontal="left" vertical="center"/>
    </xf>
    <xf numFmtId="0" fontId="71" fillId="0" borderId="5" xfId="0" applyFont="1" applyBorder="1" applyAlignment="1" applyProtection="1"/>
    <xf numFmtId="0" fontId="53" fillId="0" borderId="40" xfId="0" applyFont="1" applyBorder="1" applyAlignment="1" applyProtection="1">
      <alignment vertical="center"/>
    </xf>
    <xf numFmtId="0" fontId="71" fillId="0" borderId="5" xfId="0" applyFont="1" applyBorder="1" applyAlignment="1" applyProtection="1">
      <alignment vertical="top"/>
    </xf>
    <xf numFmtId="0" fontId="55" fillId="6" borderId="6" xfId="0" applyFont="1" applyFill="1" applyBorder="1" applyProtection="1"/>
    <xf numFmtId="0" fontId="53" fillId="6" borderId="22" xfId="0" applyFont="1" applyFill="1" applyBorder="1" applyAlignment="1" applyProtection="1">
      <alignment vertical="center"/>
    </xf>
    <xf numFmtId="0" fontId="92" fillId="0" borderId="0" xfId="0" applyFont="1" applyAlignment="1" applyProtection="1">
      <alignment horizontal="left" indent="2"/>
    </xf>
    <xf numFmtId="0" fontId="60" fillId="0" borderId="6" xfId="0" applyFont="1" applyBorder="1" applyAlignment="1" applyProtection="1">
      <alignment vertical="center"/>
    </xf>
    <xf numFmtId="0" fontId="60" fillId="0" borderId="7" xfId="0" applyFont="1" applyBorder="1" applyAlignment="1" applyProtection="1">
      <alignment vertical="center"/>
    </xf>
    <xf numFmtId="0" fontId="60" fillId="0" borderId="6" xfId="0" applyFont="1" applyBorder="1" applyAlignment="1" applyProtection="1">
      <alignment horizontal="left" vertical="center" indent="1"/>
    </xf>
    <xf numFmtId="0" fontId="92" fillId="0" borderId="0" xfId="0" applyFont="1" applyAlignment="1" applyProtection="1">
      <alignment horizontal="left" vertical="top"/>
    </xf>
    <xf numFmtId="0" fontId="60" fillId="0" borderId="0" xfId="0" applyFont="1" applyAlignment="1" applyProtection="1">
      <alignment vertical="top"/>
    </xf>
    <xf numFmtId="0" fontId="55" fillId="0" borderId="0" xfId="0" applyFont="1" applyAlignment="1" applyProtection="1">
      <alignment vertical="top"/>
    </xf>
    <xf numFmtId="0" fontId="55" fillId="0" borderId="0" xfId="0" applyFont="1" applyBorder="1" applyAlignment="1" applyProtection="1">
      <alignment vertical="top"/>
    </xf>
    <xf numFmtId="0" fontId="62" fillId="6" borderId="46" xfId="0" applyFont="1" applyFill="1" applyBorder="1" applyAlignment="1" applyProtection="1">
      <alignment vertical="center"/>
    </xf>
    <xf numFmtId="0" fontId="77" fillId="0" borderId="50" xfId="0" applyFont="1" applyFill="1" applyBorder="1" applyAlignment="1" applyProtection="1">
      <alignment horizontal="left" indent="2"/>
    </xf>
    <xf numFmtId="0" fontId="55" fillId="0" borderId="9" xfId="0" applyFont="1" applyBorder="1" applyAlignment="1">
      <alignment horizontal="left" vertical="center"/>
    </xf>
    <xf numFmtId="0" fontId="55" fillId="0" borderId="9" xfId="0" applyFont="1" applyFill="1" applyBorder="1" applyAlignment="1" applyProtection="1">
      <alignment vertical="center"/>
    </xf>
    <xf numFmtId="0" fontId="52" fillId="0" borderId="9" xfId="0" applyFont="1" applyFill="1" applyBorder="1" applyAlignment="1" applyProtection="1">
      <alignment horizontal="left" vertical="center"/>
    </xf>
    <xf numFmtId="0" fontId="55" fillId="0" borderId="9" xfId="0" applyFont="1" applyFill="1" applyBorder="1" applyAlignment="1">
      <alignment horizontal="left" vertical="center"/>
    </xf>
    <xf numFmtId="0" fontId="62" fillId="0" borderId="50" xfId="0" applyFont="1" applyBorder="1" applyAlignment="1" applyProtection="1">
      <alignment horizontal="center" vertical="center" wrapText="1"/>
    </xf>
    <xf numFmtId="0" fontId="62" fillId="0" borderId="8" xfId="0" applyFont="1" applyBorder="1" applyAlignment="1" applyProtection="1">
      <alignment horizontal="center" vertical="center" wrapText="1"/>
    </xf>
    <xf numFmtId="0" fontId="52" fillId="0" borderId="8" xfId="0" applyFont="1" applyBorder="1" applyAlignment="1" applyProtection="1">
      <alignment horizontal="center" vertical="center" wrapText="1"/>
    </xf>
    <xf numFmtId="0" fontId="55" fillId="0" borderId="0" xfId="0" applyFont="1" applyAlignment="1" applyProtection="1">
      <alignment horizontal="center" vertical="center" wrapText="1"/>
    </xf>
    <xf numFmtId="38" fontId="53" fillId="0" borderId="44" xfId="0" applyNumberFormat="1" applyFont="1" applyFill="1" applyBorder="1" applyAlignment="1" applyProtection="1">
      <alignment horizontal="right" vertical="center"/>
      <protection locked="0"/>
    </xf>
    <xf numFmtId="0" fontId="62" fillId="6" borderId="44" xfId="0" applyFont="1" applyFill="1" applyBorder="1" applyAlignment="1" applyProtection="1">
      <alignment horizontal="center" vertical="center" wrapText="1"/>
    </xf>
    <xf numFmtId="38" fontId="62" fillId="6" borderId="44" xfId="0" quotePrefix="1" applyNumberFormat="1" applyFont="1" applyFill="1" applyBorder="1" applyAlignment="1" applyProtection="1">
      <alignment horizontal="center" vertical="center"/>
    </xf>
    <xf numFmtId="49" fontId="53" fillId="6" borderId="45" xfId="0" applyNumberFormat="1" applyFont="1" applyFill="1" applyBorder="1" applyAlignment="1" applyProtection="1">
      <alignment horizontal="right" vertical="center"/>
    </xf>
    <xf numFmtId="49" fontId="53" fillId="6" borderId="44" xfId="0" applyNumberFormat="1" applyFont="1" applyFill="1" applyBorder="1" applyAlignment="1" applyProtection="1">
      <alignment horizontal="right" vertical="center"/>
    </xf>
    <xf numFmtId="0" fontId="60" fillId="0" borderId="22" xfId="0" applyFont="1" applyBorder="1" applyAlignment="1" applyProtection="1">
      <alignment horizontal="center" vertical="center"/>
    </xf>
    <xf numFmtId="38" fontId="53" fillId="0" borderId="8" xfId="0" applyNumberFormat="1" applyFont="1" applyBorder="1" applyAlignment="1" applyProtection="1">
      <alignment horizontal="right" vertical="center"/>
      <protection locked="0"/>
    </xf>
    <xf numFmtId="49" fontId="53" fillId="3" borderId="8" xfId="0" applyNumberFormat="1" applyFont="1" applyFill="1" applyBorder="1" applyAlignment="1" applyProtection="1">
      <alignment horizontal="right" vertical="center"/>
    </xf>
    <xf numFmtId="38" fontId="62" fillId="6" borderId="44" xfId="0" applyNumberFormat="1" applyFont="1" applyFill="1" applyBorder="1" applyAlignment="1" applyProtection="1">
      <alignment horizontal="center" vertical="center"/>
    </xf>
    <xf numFmtId="38" fontId="53" fillId="0" borderId="22" xfId="0" applyNumberFormat="1" applyFont="1" applyBorder="1" applyAlignment="1" applyProtection="1">
      <alignment horizontal="right" vertical="center"/>
      <protection locked="0"/>
    </xf>
    <xf numFmtId="0" fontId="60" fillId="0" borderId="46" xfId="0" applyFont="1" applyBorder="1" applyAlignment="1" applyProtection="1">
      <alignment horizontal="left" vertical="center" wrapText="1" indent="1"/>
    </xf>
    <xf numFmtId="38" fontId="53" fillId="0" borderId="22" xfId="0" applyNumberFormat="1" applyFont="1" applyBorder="1" applyAlignment="1" applyProtection="1">
      <alignment horizontal="right"/>
      <protection locked="0"/>
    </xf>
    <xf numFmtId="38" fontId="53" fillId="0" borderId="22" xfId="0" applyNumberFormat="1" applyFont="1" applyFill="1" applyBorder="1" applyAlignment="1" applyProtection="1">
      <alignment horizontal="right"/>
      <protection locked="0"/>
    </xf>
    <xf numFmtId="0" fontId="60" fillId="0" borderId="46" xfId="0" applyFont="1" applyBorder="1" applyAlignment="1" applyProtection="1">
      <alignment horizontal="left" vertical="center" wrapText="1" indent="2"/>
    </xf>
    <xf numFmtId="49" fontId="62" fillId="6" borderId="44" xfId="0" applyNumberFormat="1" applyFont="1" applyFill="1" applyBorder="1" applyAlignment="1" applyProtection="1">
      <alignment horizontal="center" vertical="center"/>
    </xf>
    <xf numFmtId="38" fontId="53" fillId="6" borderId="43" xfId="0" applyNumberFormat="1" applyFont="1" applyFill="1" applyBorder="1" applyAlignment="1" applyProtection="1">
      <alignment horizontal="right" vertical="center"/>
    </xf>
    <xf numFmtId="0" fontId="55" fillId="6" borderId="8" xfId="0" applyFont="1" applyFill="1" applyBorder="1" applyAlignment="1" applyProtection="1">
      <alignment vertical="center"/>
    </xf>
    <xf numFmtId="0" fontId="55" fillId="0" borderId="0" xfId="0" applyFont="1" applyAlignment="1" applyProtection="1">
      <alignment horizontal="right" vertical="center" indent="1"/>
    </xf>
    <xf numFmtId="0" fontId="60" fillId="0" borderId="0" xfId="0" applyFont="1" applyAlignment="1" applyProtection="1">
      <alignment horizontal="right" vertical="center" indent="1"/>
    </xf>
    <xf numFmtId="0" fontId="60" fillId="0" borderId="0" xfId="0" applyFont="1" applyBorder="1" applyAlignment="1" applyProtection="1">
      <alignment horizontal="right" vertical="center" indent="1"/>
    </xf>
    <xf numFmtId="0" fontId="60" fillId="0" borderId="56" xfId="10" applyFont="1" applyFill="1" applyBorder="1" applyAlignment="1">
      <alignment vertical="center"/>
    </xf>
    <xf numFmtId="0" fontId="60" fillId="0" borderId="0" xfId="10" applyFont="1" applyAlignment="1">
      <alignment vertical="center"/>
    </xf>
    <xf numFmtId="0" fontId="60" fillId="0" borderId="56" xfId="10" applyFont="1" applyFill="1" applyBorder="1" applyAlignment="1">
      <alignment horizontal="centerContinuous" vertical="center"/>
    </xf>
    <xf numFmtId="0" fontId="94" fillId="0" borderId="0" xfId="10" applyFont="1" applyBorder="1" applyAlignment="1">
      <alignment vertical="top"/>
    </xf>
    <xf numFmtId="0" fontId="60" fillId="0" borderId="0" xfId="10" applyFont="1" applyBorder="1" applyAlignment="1">
      <alignment vertical="center"/>
    </xf>
    <xf numFmtId="0" fontId="60" fillId="0" borderId="0" xfId="10" applyFont="1" applyBorder="1" applyAlignment="1">
      <alignment horizontal="right" vertical="center"/>
    </xf>
    <xf numFmtId="0" fontId="66" fillId="0" borderId="0" xfId="10" applyFont="1" applyFill="1" applyAlignment="1">
      <alignment horizontal="left" vertical="center" indent="1"/>
    </xf>
    <xf numFmtId="0" fontId="66" fillId="0" borderId="0" xfId="10" applyFont="1" applyAlignment="1">
      <alignment horizontal="center" vertical="center"/>
    </xf>
    <xf numFmtId="0" fontId="60" fillId="0" borderId="0" xfId="10" applyFont="1" applyAlignment="1">
      <alignment horizontal="right" vertical="center"/>
    </xf>
    <xf numFmtId="0" fontId="66" fillId="0" borderId="0" xfId="10" applyFont="1" applyAlignment="1">
      <alignment vertical="center"/>
    </xf>
    <xf numFmtId="0" fontId="60" fillId="0" borderId="0" xfId="10" applyFont="1" applyFill="1" applyAlignment="1">
      <alignment vertical="center"/>
    </xf>
    <xf numFmtId="0" fontId="62" fillId="0" borderId="0" xfId="10" applyFont="1" applyFill="1" applyBorder="1" applyAlignment="1">
      <alignment horizontal="left"/>
    </xf>
    <xf numFmtId="0" fontId="60" fillId="0" borderId="0" xfId="10" applyFont="1" applyFill="1" applyBorder="1" applyAlignment="1">
      <alignment vertical="center"/>
    </xf>
    <xf numFmtId="0" fontId="60" fillId="0" borderId="0" xfId="10" applyFont="1" applyFill="1" applyBorder="1" applyAlignment="1">
      <alignment horizontal="right" vertical="center"/>
    </xf>
    <xf numFmtId="0" fontId="60" fillId="0" borderId="0" xfId="10" applyFont="1" applyFill="1" applyAlignment="1">
      <alignment horizontal="left" vertical="center"/>
    </xf>
    <xf numFmtId="49" fontId="60" fillId="0" borderId="0" xfId="10" applyNumberFormat="1" applyFont="1" applyFill="1" applyAlignment="1">
      <alignment horizontal="left" vertical="center"/>
    </xf>
    <xf numFmtId="0" fontId="60" fillId="0" borderId="0" xfId="10" applyFont="1" applyFill="1" applyAlignment="1">
      <alignment horizontal="right" vertical="center"/>
    </xf>
    <xf numFmtId="3" fontId="60" fillId="0" borderId="0" xfId="10" applyNumberFormat="1" applyFont="1" applyFill="1" applyAlignment="1">
      <alignment vertical="center"/>
    </xf>
    <xf numFmtId="3" fontId="60" fillId="0" borderId="0" xfId="10" applyNumberFormat="1" applyFont="1" applyFill="1" applyBorder="1" applyAlignment="1">
      <alignment vertical="center"/>
    </xf>
    <xf numFmtId="0" fontId="62" fillId="0" borderId="0" xfId="10" applyFont="1" applyFill="1" applyBorder="1" applyAlignment="1">
      <alignment horizontal="left" vertical="center"/>
    </xf>
    <xf numFmtId="0" fontId="60" fillId="0" borderId="0" xfId="10" applyFont="1" applyFill="1" applyAlignment="1">
      <alignment horizontal="center" vertical="center"/>
    </xf>
    <xf numFmtId="0" fontId="60" fillId="0" borderId="0" xfId="10" applyFont="1" applyFill="1" applyAlignment="1">
      <alignment vertical="center" wrapText="1"/>
    </xf>
    <xf numFmtId="0" fontId="60" fillId="0" borderId="0" xfId="10" applyFont="1" applyFill="1" applyAlignment="1">
      <alignment horizontal="center" vertical="top"/>
    </xf>
    <xf numFmtId="0" fontId="60" fillId="0" borderId="0" xfId="10" applyFont="1" applyFill="1" applyAlignment="1">
      <alignment vertical="top" wrapText="1"/>
    </xf>
    <xf numFmtId="0" fontId="60" fillId="0" borderId="0" xfId="10" applyFont="1" applyFill="1" applyBorder="1" applyAlignment="1">
      <alignment horizontal="right" vertical="top"/>
    </xf>
    <xf numFmtId="1" fontId="60" fillId="0" borderId="0" xfId="10" applyNumberFormat="1" applyFont="1" applyFill="1" applyAlignment="1">
      <alignment horizontal="center" vertical="center"/>
    </xf>
    <xf numFmtId="1" fontId="60" fillId="0" borderId="0" xfId="10" applyNumberFormat="1" applyFont="1" applyFill="1" applyAlignment="1">
      <alignment horizontal="left" vertical="center"/>
    </xf>
    <xf numFmtId="38" fontId="60" fillId="0" borderId="0" xfId="10" applyNumberFormat="1" applyFont="1" applyFill="1" applyAlignment="1">
      <alignment horizontal="right"/>
    </xf>
    <xf numFmtId="0" fontId="60" fillId="0" borderId="0" xfId="10" quotePrefix="1" applyFont="1" applyFill="1" applyAlignment="1">
      <alignment horizontal="left" vertical="center" wrapText="1"/>
    </xf>
    <xf numFmtId="167" fontId="60" fillId="0" borderId="0" xfId="10" applyNumberFormat="1" applyFont="1" applyFill="1" applyBorder="1" applyAlignment="1" applyProtection="1">
      <alignment horizontal="right" vertical="center"/>
    </xf>
    <xf numFmtId="0" fontId="60" fillId="0" borderId="0" xfId="10" applyFont="1" applyFill="1" applyAlignment="1">
      <alignment horizontal="left" vertical="center" wrapText="1"/>
    </xf>
    <xf numFmtId="49" fontId="60" fillId="0" borderId="0" xfId="10" applyNumberFormat="1" applyFont="1" applyFill="1" applyAlignment="1">
      <alignment horizontal="center" vertical="center"/>
    </xf>
    <xf numFmtId="3" fontId="60" fillId="0" borderId="0" xfId="10" quotePrefix="1" applyNumberFormat="1" applyFont="1" applyFill="1" applyAlignment="1">
      <alignment horizontal="left" vertical="center" wrapText="1"/>
    </xf>
    <xf numFmtId="3" fontId="60" fillId="0" borderId="0" xfId="10" applyNumberFormat="1" applyFont="1" applyFill="1" applyAlignment="1">
      <alignment vertical="center" wrapText="1"/>
    </xf>
    <xf numFmtId="0" fontId="60" fillId="0" borderId="0" xfId="10" applyNumberFormat="1" applyFont="1" applyFill="1" applyAlignment="1">
      <alignment horizontal="center" vertical="center"/>
    </xf>
    <xf numFmtId="3" fontId="60" fillId="0" borderId="0" xfId="10" applyNumberFormat="1" applyFont="1" applyFill="1" applyAlignment="1">
      <alignment horizontal="center" vertical="center" wrapText="1"/>
    </xf>
    <xf numFmtId="3" fontId="60" fillId="0" borderId="0" xfId="10" applyNumberFormat="1" applyFont="1" applyAlignment="1">
      <alignment vertical="center"/>
    </xf>
    <xf numFmtId="3" fontId="60" fillId="0" borderId="0" xfId="10" applyNumberFormat="1" applyFont="1" applyFill="1" applyAlignment="1">
      <alignment horizontal="left" vertical="center" wrapText="1"/>
    </xf>
    <xf numFmtId="0" fontId="60" fillId="0" borderId="0" xfId="10" applyFont="1" applyAlignment="1">
      <alignment horizontal="left" vertical="center"/>
    </xf>
    <xf numFmtId="0" fontId="60" fillId="0" borderId="0" xfId="10" applyFont="1" applyAlignment="1">
      <alignment horizontal="center" vertical="center"/>
    </xf>
    <xf numFmtId="0" fontId="60" fillId="0" borderId="0" xfId="10" applyFont="1" applyFill="1" applyAlignment="1">
      <alignment horizontal="left" vertical="top"/>
    </xf>
    <xf numFmtId="49" fontId="60" fillId="0" borderId="0" xfId="10" applyNumberFormat="1" applyFont="1" applyFill="1" applyAlignment="1">
      <alignment horizontal="center" vertical="top"/>
    </xf>
    <xf numFmtId="3" fontId="60" fillId="0" borderId="0" xfId="10" applyNumberFormat="1" applyFont="1" applyFill="1" applyAlignment="1">
      <alignment horizontal="left" vertical="top" wrapText="1"/>
    </xf>
    <xf numFmtId="40" fontId="60" fillId="0" borderId="9" xfId="10" applyNumberFormat="1" applyFont="1" applyFill="1" applyBorder="1" applyAlignment="1" applyProtection="1">
      <alignment horizontal="right"/>
      <protection locked="0"/>
    </xf>
    <xf numFmtId="0" fontId="60" fillId="0" borderId="0" xfId="10" applyFont="1" applyFill="1" applyBorder="1" applyAlignment="1">
      <alignment horizontal="left" vertical="center"/>
    </xf>
    <xf numFmtId="0" fontId="62" fillId="0" borderId="0" xfId="10" quotePrefix="1" applyFont="1" applyFill="1" applyAlignment="1">
      <alignment horizontal="left" vertical="center"/>
    </xf>
    <xf numFmtId="0" fontId="62" fillId="0" borderId="0" xfId="10" applyFont="1" applyFill="1" applyAlignment="1">
      <alignment horizontal="right" vertical="center"/>
    </xf>
    <xf numFmtId="4" fontId="62" fillId="0" borderId="0" xfId="10" applyNumberFormat="1" applyFont="1" applyFill="1" applyBorder="1" applyAlignment="1" applyProtection="1">
      <alignment vertical="center"/>
    </xf>
    <xf numFmtId="0" fontId="60" fillId="0" borderId="0" xfId="10" applyFont="1" applyFill="1" applyAlignment="1" applyProtection="1">
      <alignment horizontal="left" vertical="center"/>
    </xf>
    <xf numFmtId="0" fontId="62" fillId="0" borderId="0" xfId="11" applyFont="1" applyFill="1" applyBorder="1" applyAlignment="1">
      <alignment vertical="center"/>
    </xf>
    <xf numFmtId="0" fontId="60" fillId="0" borderId="0" xfId="11" applyFont="1" applyFill="1" applyBorder="1" applyAlignment="1">
      <alignment vertical="center"/>
    </xf>
    <xf numFmtId="0" fontId="60" fillId="0" borderId="0" xfId="11" applyFont="1" applyFill="1" applyBorder="1" applyAlignment="1">
      <alignment horizontal="right" vertical="center"/>
    </xf>
    <xf numFmtId="0" fontId="83" fillId="0" borderId="0" xfId="0" quotePrefix="1" applyFont="1" applyFill="1" applyBorder="1" applyAlignment="1">
      <alignment horizontal="left" vertical="center"/>
    </xf>
    <xf numFmtId="0" fontId="60" fillId="0" borderId="0" xfId="11" applyFont="1" applyFill="1" applyAlignment="1">
      <alignment horizontal="left" vertical="center"/>
    </xf>
    <xf numFmtId="49" fontId="60" fillId="0" borderId="0" xfId="11" applyNumberFormat="1" applyFont="1" applyFill="1" applyAlignment="1">
      <alignment horizontal="left" vertical="center"/>
    </xf>
    <xf numFmtId="0" fontId="60" fillId="0" borderId="0" xfId="11" applyFont="1" applyFill="1" applyAlignment="1">
      <alignment horizontal="center" vertical="center"/>
    </xf>
    <xf numFmtId="0" fontId="60" fillId="0" borderId="0" xfId="11" applyFont="1" applyFill="1" applyAlignment="1">
      <alignment vertical="center" wrapText="1"/>
    </xf>
    <xf numFmtId="0" fontId="60" fillId="0" borderId="0" xfId="11" applyFont="1" applyFill="1" applyAlignment="1">
      <alignment vertical="center"/>
    </xf>
    <xf numFmtId="0" fontId="60" fillId="0" borderId="0" xfId="11" applyNumberFormat="1" applyFont="1" applyFill="1" applyAlignment="1">
      <alignment horizontal="center" vertical="center"/>
    </xf>
    <xf numFmtId="3" fontId="60" fillId="0" borderId="0" xfId="11" applyNumberFormat="1" applyFont="1" applyFill="1" applyAlignment="1">
      <alignment vertical="center"/>
    </xf>
    <xf numFmtId="0" fontId="60" fillId="0" borderId="0" xfId="11" applyFont="1" applyFill="1" applyAlignment="1">
      <alignment horizontal="center" vertical="top"/>
    </xf>
    <xf numFmtId="3" fontId="60" fillId="0" borderId="0" xfId="11" applyNumberFormat="1" applyFont="1" applyFill="1" applyBorder="1" applyAlignment="1">
      <alignment vertical="center"/>
    </xf>
    <xf numFmtId="38" fontId="60" fillId="0" borderId="0" xfId="11" applyNumberFormat="1" applyFont="1" applyFill="1" applyAlignment="1">
      <alignment horizontal="left" vertical="center" wrapText="1"/>
    </xf>
    <xf numFmtId="0" fontId="60" fillId="0" borderId="0" xfId="11" applyFont="1" applyFill="1" applyAlignment="1">
      <alignment horizontal="left" vertical="center" wrapText="1"/>
    </xf>
    <xf numFmtId="0" fontId="60" fillId="0" borderId="0" xfId="11" quotePrefix="1" applyFont="1" applyFill="1" applyAlignment="1">
      <alignment horizontal="left" vertical="center" wrapText="1"/>
    </xf>
    <xf numFmtId="1" fontId="60" fillId="0" borderId="0" xfId="11" applyNumberFormat="1" applyFont="1" applyFill="1" applyAlignment="1">
      <alignment horizontal="center" vertical="center"/>
    </xf>
    <xf numFmtId="0" fontId="60" fillId="0" borderId="0" xfId="11" quotePrefix="1" applyFont="1" applyFill="1" applyAlignment="1">
      <alignment horizontal="left" vertical="center"/>
    </xf>
    <xf numFmtId="1" fontId="60" fillId="0" borderId="0" xfId="11" quotePrefix="1" applyNumberFormat="1" applyFont="1" applyFill="1" applyAlignment="1">
      <alignment horizontal="center" vertical="center"/>
    </xf>
    <xf numFmtId="0" fontId="60" fillId="0" borderId="0" xfId="11" applyFont="1" applyFill="1" applyAlignment="1">
      <alignment horizontal="left" vertical="top"/>
    </xf>
    <xf numFmtId="1" fontId="60" fillId="0" borderId="0" xfId="11" applyNumberFormat="1" applyFont="1" applyFill="1" applyAlignment="1">
      <alignment horizontal="center" vertical="top"/>
    </xf>
    <xf numFmtId="0" fontId="60" fillId="0" borderId="0" xfId="11" applyFont="1" applyFill="1" applyAlignment="1">
      <alignment vertical="top" wrapText="1"/>
    </xf>
    <xf numFmtId="0" fontId="60" fillId="0" borderId="0" xfId="11" applyFont="1" applyFill="1" applyBorder="1" applyAlignment="1">
      <alignment horizontal="right" vertical="top"/>
    </xf>
    <xf numFmtId="0" fontId="60" fillId="0" borderId="0" xfId="11" applyFont="1" applyAlignment="1">
      <alignment horizontal="left" vertical="center"/>
    </xf>
    <xf numFmtId="1" fontId="60" fillId="0" borderId="0" xfId="11" applyNumberFormat="1" applyFont="1" applyAlignment="1">
      <alignment horizontal="center" vertical="center"/>
    </xf>
    <xf numFmtId="0" fontId="60" fillId="0" borderId="0" xfId="11" applyFont="1" applyAlignment="1">
      <alignment vertical="center" wrapText="1"/>
    </xf>
    <xf numFmtId="0" fontId="60" fillId="0" borderId="0" xfId="11" applyFont="1" applyAlignment="1">
      <alignment vertical="center"/>
    </xf>
    <xf numFmtId="167" fontId="60" fillId="0" borderId="0" xfId="11" applyNumberFormat="1" applyFont="1" applyFill="1" applyBorder="1" applyAlignment="1" applyProtection="1">
      <alignment horizontal="right" vertical="center"/>
    </xf>
    <xf numFmtId="0" fontId="60" fillId="0" borderId="0" xfId="11" applyFont="1" applyAlignment="1">
      <alignment horizontal="center" vertical="center"/>
    </xf>
    <xf numFmtId="0" fontId="60" fillId="0" borderId="0" xfId="11" applyFont="1" applyAlignment="1">
      <alignment horizontal="left" vertical="center" wrapText="1"/>
    </xf>
    <xf numFmtId="49" fontId="60" fillId="4" borderId="0" xfId="11" applyNumberFormat="1" applyFont="1" applyFill="1" applyBorder="1" applyAlignment="1">
      <alignment horizontal="left" vertical="center"/>
    </xf>
    <xf numFmtId="49" fontId="60" fillId="4" borderId="0" xfId="11" applyNumberFormat="1" applyFont="1" applyFill="1" applyBorder="1" applyAlignment="1">
      <alignment horizontal="center" vertical="center"/>
    </xf>
    <xf numFmtId="0" fontId="60" fillId="4" borderId="0" xfId="11" applyNumberFormat="1" applyFont="1" applyFill="1" applyBorder="1" applyAlignment="1">
      <alignment vertical="center" wrapText="1"/>
    </xf>
    <xf numFmtId="49" fontId="60" fillId="4" borderId="0" xfId="11" applyNumberFormat="1" applyFont="1" applyFill="1" applyBorder="1" applyAlignment="1">
      <alignment horizontal="right" vertical="center"/>
    </xf>
    <xf numFmtId="49" fontId="60" fillId="0" borderId="0" xfId="11" applyNumberFormat="1" applyFont="1" applyFill="1" applyBorder="1" applyAlignment="1">
      <alignment horizontal="left" vertical="center"/>
    </xf>
    <xf numFmtId="49" fontId="60" fillId="0" borderId="0" xfId="11" applyNumberFormat="1" applyFont="1" applyFill="1" applyBorder="1" applyAlignment="1">
      <alignment horizontal="left" vertical="center" wrapText="1"/>
    </xf>
    <xf numFmtId="49" fontId="60" fillId="0" borderId="0" xfId="11" applyNumberFormat="1" applyFont="1" applyFill="1" applyBorder="1" applyAlignment="1">
      <alignment horizontal="center" vertical="center"/>
    </xf>
    <xf numFmtId="0" fontId="60" fillId="0" borderId="0" xfId="11" applyNumberFormat="1" applyFont="1" applyFill="1" applyBorder="1" applyAlignment="1">
      <alignment vertical="center" wrapText="1"/>
    </xf>
    <xf numFmtId="49" fontId="60" fillId="0" borderId="0" xfId="11" applyNumberFormat="1" applyFont="1" applyFill="1" applyBorder="1" applyAlignment="1">
      <alignment horizontal="right" vertical="center"/>
    </xf>
    <xf numFmtId="0" fontId="60" fillId="0" borderId="0" xfId="11" applyFont="1" applyBorder="1" applyAlignment="1">
      <alignment vertical="center"/>
    </xf>
    <xf numFmtId="0" fontId="60" fillId="0" borderId="0" xfId="11" applyFont="1" applyAlignment="1">
      <alignment horizontal="left" vertical="top"/>
    </xf>
    <xf numFmtId="0" fontId="60" fillId="0" borderId="0" xfId="11" applyFont="1" applyAlignment="1">
      <alignment horizontal="center" vertical="top"/>
    </xf>
    <xf numFmtId="0" fontId="60" fillId="0" borderId="0" xfId="11" applyFont="1" applyAlignment="1">
      <alignment horizontal="left" vertical="top" wrapText="1"/>
    </xf>
    <xf numFmtId="0" fontId="60" fillId="0" borderId="0" xfId="11" applyFont="1" applyBorder="1" applyAlignment="1">
      <alignment horizontal="left" vertical="center"/>
    </xf>
    <xf numFmtId="0" fontId="60" fillId="0" borderId="0" xfId="11" quotePrefix="1" applyFont="1" applyAlignment="1">
      <alignment horizontal="left" vertical="top"/>
    </xf>
    <xf numFmtId="0" fontId="60" fillId="0" borderId="0" xfId="11" applyFont="1" applyAlignment="1">
      <alignment horizontal="right" vertical="center"/>
    </xf>
    <xf numFmtId="38" fontId="60" fillId="0" borderId="0" xfId="11" applyNumberFormat="1" applyFont="1" applyFill="1" applyAlignment="1">
      <alignment horizontal="right"/>
    </xf>
    <xf numFmtId="0" fontId="60" fillId="0" borderId="0" xfId="11" applyFont="1" applyAlignment="1" applyProtection="1">
      <alignment vertical="center"/>
    </xf>
    <xf numFmtId="0" fontId="52" fillId="6" borderId="12" xfId="0" applyFont="1" applyFill="1" applyBorder="1" applyAlignment="1">
      <alignment horizontal="left"/>
    </xf>
    <xf numFmtId="0" fontId="52" fillId="6" borderId="16" xfId="0" applyFont="1" applyFill="1" applyBorder="1"/>
    <xf numFmtId="0" fontId="55" fillId="6" borderId="16" xfId="0" applyFont="1" applyFill="1" applyBorder="1"/>
    <xf numFmtId="0" fontId="55" fillId="6" borderId="10" xfId="0" applyFont="1" applyFill="1" applyBorder="1"/>
    <xf numFmtId="0" fontId="52" fillId="6" borderId="0" xfId="0" applyFont="1" applyFill="1" applyBorder="1" applyAlignment="1"/>
    <xf numFmtId="0" fontId="52" fillId="6" borderId="0" xfId="0" applyFont="1" applyFill="1" applyBorder="1"/>
    <xf numFmtId="0" fontId="55" fillId="6" borderId="0" xfId="0" applyFont="1" applyFill="1" applyBorder="1"/>
    <xf numFmtId="0" fontId="55" fillId="6" borderId="18" xfId="0" applyFont="1" applyFill="1" applyBorder="1"/>
    <xf numFmtId="0" fontId="85" fillId="6" borderId="0" xfId="0" applyFont="1" applyFill="1" applyAlignment="1">
      <alignment horizontal="left"/>
    </xf>
    <xf numFmtId="0" fontId="55" fillId="6" borderId="0" xfId="0" applyFont="1" applyFill="1" applyAlignment="1"/>
    <xf numFmtId="0" fontId="55" fillId="6" borderId="0" xfId="0" applyFont="1" applyFill="1" applyBorder="1" applyAlignment="1">
      <alignment vertical="center"/>
    </xf>
    <xf numFmtId="0" fontId="55" fillId="6" borderId="0" xfId="0" applyFont="1" applyFill="1" applyBorder="1" applyAlignment="1">
      <alignment horizontal="left" vertical="center"/>
    </xf>
    <xf numFmtId="0" fontId="55" fillId="6" borderId="18" xfId="0" applyFont="1" applyFill="1" applyBorder="1" applyAlignment="1">
      <alignment horizontal="left" vertical="center"/>
    </xf>
    <xf numFmtId="0" fontId="52" fillId="6" borderId="12" xfId="0" applyFont="1" applyFill="1" applyBorder="1" applyAlignment="1" applyProtection="1">
      <alignment vertical="center"/>
    </xf>
    <xf numFmtId="0" fontId="62" fillId="6" borderId="16" xfId="0" applyFont="1" applyFill="1" applyBorder="1" applyAlignment="1" applyProtection="1">
      <alignment vertical="center"/>
    </xf>
    <xf numFmtId="0" fontId="55" fillId="6" borderId="16" xfId="0" applyFont="1" applyFill="1" applyBorder="1" applyAlignment="1" applyProtection="1">
      <alignment vertical="center"/>
    </xf>
    <xf numFmtId="0" fontId="55" fillId="0" borderId="17" xfId="0" applyFont="1" applyFill="1" applyBorder="1" applyAlignment="1" applyProtection="1">
      <alignment vertical="center"/>
    </xf>
    <xf numFmtId="0" fontId="55" fillId="0" borderId="18" xfId="0" applyFont="1" applyFill="1" applyBorder="1" applyAlignment="1" applyProtection="1">
      <alignment vertical="center"/>
    </xf>
    <xf numFmtId="0" fontId="60" fillId="0" borderId="13" xfId="0" applyFont="1" applyBorder="1" applyAlignment="1" applyProtection="1">
      <alignment horizontal="left" vertical="center" indent="1"/>
    </xf>
    <xf numFmtId="0" fontId="55" fillId="0" borderId="21" xfId="0" applyFont="1" applyBorder="1" applyAlignment="1" applyProtection="1">
      <alignment vertical="center"/>
    </xf>
    <xf numFmtId="0" fontId="60" fillId="0" borderId="14" xfId="0" applyFont="1" applyBorder="1" applyAlignment="1" applyProtection="1">
      <alignment horizontal="right" vertical="center"/>
    </xf>
    <xf numFmtId="38" fontId="53" fillId="0" borderId="13" xfId="0" applyNumberFormat="1" applyFont="1" applyBorder="1" applyAlignment="1" applyProtection="1">
      <alignment vertical="center"/>
      <protection locked="0"/>
    </xf>
    <xf numFmtId="0" fontId="60" fillId="0" borderId="17" xfId="0" applyFont="1" applyFill="1" applyBorder="1" applyAlignment="1" applyProtection="1">
      <alignment horizontal="center" vertical="center"/>
    </xf>
    <xf numFmtId="38" fontId="53" fillId="0" borderId="18" xfId="0" applyNumberFormat="1" applyFont="1" applyFill="1" applyBorder="1" applyAlignment="1" applyProtection="1">
      <alignment vertical="center"/>
    </xf>
    <xf numFmtId="0" fontId="71" fillId="0" borderId="21" xfId="0" applyFont="1" applyBorder="1" applyAlignment="1" applyProtection="1">
      <alignment vertical="center"/>
    </xf>
    <xf numFmtId="38" fontId="53" fillId="20" borderId="13" xfId="0" applyNumberFormat="1" applyFont="1" applyFill="1" applyBorder="1" applyAlignment="1" applyProtection="1">
      <protection locked="0"/>
    </xf>
    <xf numFmtId="38" fontId="53" fillId="0" borderId="18" xfId="0" applyNumberFormat="1" applyFont="1" applyFill="1" applyBorder="1" applyAlignment="1" applyProtection="1"/>
    <xf numFmtId="0" fontId="60" fillId="0" borderId="19" xfId="0" applyFont="1" applyFill="1" applyBorder="1" applyAlignment="1" applyProtection="1">
      <alignment horizontal="center" vertical="center"/>
    </xf>
    <xf numFmtId="38" fontId="53" fillId="0" borderId="11" xfId="0" applyNumberFormat="1" applyFont="1" applyFill="1" applyBorder="1" applyAlignment="1" applyProtection="1">
      <alignment vertical="center"/>
    </xf>
    <xf numFmtId="0" fontId="55" fillId="6" borderId="10" xfId="0" applyFont="1" applyFill="1" applyBorder="1" applyAlignment="1" applyProtection="1">
      <alignment vertical="center"/>
    </xf>
    <xf numFmtId="0" fontId="52" fillId="6" borderId="19" xfId="0" applyFont="1" applyFill="1" applyBorder="1" applyAlignment="1">
      <alignment vertical="center"/>
    </xf>
    <xf numFmtId="0" fontId="63" fillId="6" borderId="20" xfId="0" applyFont="1" applyFill="1" applyBorder="1" applyAlignment="1">
      <alignment horizontal="left" vertical="center" indent="1"/>
    </xf>
    <xf numFmtId="0" fontId="55" fillId="6" borderId="20" xfId="0" applyFont="1" applyFill="1" applyBorder="1" applyAlignment="1">
      <alignment horizontal="left" vertical="center"/>
    </xf>
    <xf numFmtId="0" fontId="55" fillId="0" borderId="17" xfId="0" applyFont="1" applyBorder="1"/>
    <xf numFmtId="0" fontId="53" fillId="0" borderId="0" xfId="0" applyNumberFormat="1" applyFont="1" applyFill="1" applyBorder="1" applyAlignment="1">
      <alignment horizontal="left" vertical="center"/>
    </xf>
    <xf numFmtId="0" fontId="53" fillId="0" borderId="17" xfId="0" applyFont="1" applyBorder="1"/>
    <xf numFmtId="0" fontId="60" fillId="0" borderId="17" xfId="0" applyFont="1" applyBorder="1"/>
    <xf numFmtId="0" fontId="62" fillId="0" borderId="0" xfId="0" applyFont="1" applyBorder="1" applyAlignment="1">
      <alignment horizontal="center"/>
    </xf>
    <xf numFmtId="0" fontId="62" fillId="0" borderId="13" xfId="0" applyFont="1" applyBorder="1" applyAlignment="1">
      <alignment horizontal="left"/>
    </xf>
    <xf numFmtId="0" fontId="62" fillId="0" borderId="14" xfId="0" applyFont="1" applyBorder="1" applyAlignment="1">
      <alignment horizontal="left" indent="1"/>
    </xf>
    <xf numFmtId="49" fontId="60" fillId="0" borderId="2" xfId="0" applyNumberFormat="1" applyFont="1" applyBorder="1" applyAlignment="1">
      <alignment horizontal="center"/>
    </xf>
    <xf numFmtId="0" fontId="60" fillId="0" borderId="2" xfId="0" applyFont="1" applyBorder="1" applyAlignment="1">
      <alignment horizontal="center"/>
    </xf>
    <xf numFmtId="0" fontId="60" fillId="0" borderId="13" xfId="0" applyFont="1" applyBorder="1" applyAlignment="1">
      <alignment horizontal="left" indent="1"/>
    </xf>
    <xf numFmtId="0" fontId="60" fillId="0" borderId="14" xfId="0" applyFont="1" applyBorder="1" applyAlignment="1">
      <alignment horizontal="left" indent="2"/>
    </xf>
    <xf numFmtId="0" fontId="62" fillId="0" borderId="14" xfId="0" applyFont="1" applyBorder="1" applyAlignment="1">
      <alignment horizontal="left" indent="2"/>
    </xf>
    <xf numFmtId="0" fontId="60" fillId="0" borderId="14" xfId="0" applyFont="1" applyBorder="1" applyAlignment="1">
      <alignment horizontal="left" indent="4"/>
    </xf>
    <xf numFmtId="0" fontId="62" fillId="7" borderId="13" xfId="0" applyFont="1" applyFill="1" applyBorder="1" applyAlignment="1">
      <alignment horizontal="left" indent="2"/>
    </xf>
    <xf numFmtId="0" fontId="62" fillId="7" borderId="14" xfId="0" applyFont="1" applyFill="1" applyBorder="1" applyAlignment="1">
      <alignment horizontal="left" indent="2"/>
    </xf>
    <xf numFmtId="0" fontId="60" fillId="7" borderId="2" xfId="0" applyFont="1" applyFill="1" applyBorder="1"/>
    <xf numFmtId="0" fontId="53" fillId="0" borderId="18" xfId="0" applyFont="1" applyBorder="1"/>
    <xf numFmtId="0" fontId="62" fillId="0" borderId="20" xfId="0" applyFont="1" applyBorder="1" applyAlignment="1">
      <alignment horizontal="centerContinuous"/>
    </xf>
    <xf numFmtId="0" fontId="53" fillId="0" borderId="11" xfId="0" applyFont="1" applyBorder="1" applyAlignment="1">
      <alignment horizontal="centerContinuous"/>
    </xf>
    <xf numFmtId="0" fontId="55" fillId="0" borderId="19" xfId="0" applyFont="1" applyBorder="1"/>
    <xf numFmtId="0" fontId="55" fillId="0" borderId="20" xfId="0" applyFont="1" applyBorder="1"/>
    <xf numFmtId="0" fontId="53" fillId="0" borderId="19" xfId="0" applyFont="1" applyBorder="1"/>
    <xf numFmtId="0" fontId="53" fillId="0" borderId="11" xfId="0" applyFont="1" applyBorder="1"/>
    <xf numFmtId="0" fontId="60" fillId="0" borderId="0" xfId="3" applyNumberFormat="1" applyFont="1" applyBorder="1" applyAlignment="1">
      <alignment vertical="center"/>
    </xf>
    <xf numFmtId="0" fontId="55" fillId="0" borderId="0" xfId="3" applyNumberFormat="1" applyFont="1" applyBorder="1" applyAlignment="1">
      <alignment vertical="center"/>
    </xf>
    <xf numFmtId="0" fontId="55" fillId="0" borderId="0" xfId="3" applyNumberFormat="1" applyFont="1" applyAlignment="1">
      <alignment vertical="center"/>
    </xf>
    <xf numFmtId="0" fontId="60" fillId="0" borderId="0" xfId="3" applyNumberFormat="1" applyFont="1" applyAlignment="1">
      <alignment vertical="center"/>
    </xf>
    <xf numFmtId="0" fontId="62" fillId="0" borderId="0" xfId="3" applyNumberFormat="1" applyFont="1" applyAlignment="1">
      <alignment horizontal="center" vertical="center"/>
    </xf>
    <xf numFmtId="0" fontId="62" fillId="0" borderId="0" xfId="3" applyNumberFormat="1" applyFont="1" applyBorder="1" applyAlignment="1">
      <alignment horizontal="left" vertical="center"/>
    </xf>
    <xf numFmtId="0" fontId="60" fillId="0" borderId="0" xfId="3" applyNumberFormat="1" applyFont="1" applyAlignment="1">
      <alignment horizontal="center" vertical="center"/>
    </xf>
    <xf numFmtId="0" fontId="60" fillId="0" borderId="17" xfId="3" applyNumberFormat="1" applyFont="1" applyBorder="1" applyAlignment="1">
      <alignment horizontal="center" vertical="center"/>
    </xf>
    <xf numFmtId="0" fontId="60" fillId="0" borderId="0" xfId="3" applyNumberFormat="1" applyFont="1" applyBorder="1" applyAlignment="1">
      <alignment horizontal="right" vertical="center" indent="1"/>
    </xf>
    <xf numFmtId="0" fontId="55" fillId="0" borderId="17" xfId="3" applyNumberFormat="1" applyFont="1" applyBorder="1" applyAlignment="1">
      <alignment vertical="center"/>
    </xf>
    <xf numFmtId="0" fontId="55" fillId="0" borderId="19" xfId="3" applyNumberFormat="1" applyFont="1" applyBorder="1" applyAlignment="1">
      <alignment vertical="center"/>
    </xf>
    <xf numFmtId="0" fontId="55" fillId="0" borderId="20" xfId="3" applyNumberFormat="1" applyFont="1" applyBorder="1" applyAlignment="1">
      <alignment vertical="center"/>
    </xf>
    <xf numFmtId="0" fontId="55" fillId="0" borderId="12" xfId="3" applyNumberFormat="1" applyFont="1" applyBorder="1" applyAlignment="1">
      <alignment vertical="center"/>
    </xf>
    <xf numFmtId="0" fontId="55" fillId="0" borderId="16" xfId="3" applyNumberFormat="1" applyFont="1" applyBorder="1" applyAlignment="1">
      <alignment vertical="center"/>
    </xf>
    <xf numFmtId="0" fontId="55" fillId="0" borderId="3" xfId="3" applyNumberFormat="1" applyFont="1" applyBorder="1" applyAlignment="1">
      <alignment vertical="center"/>
    </xf>
    <xf numFmtId="0" fontId="55" fillId="0" borderId="16" xfId="3" applyNumberFormat="1" applyFont="1" applyFill="1" applyBorder="1" applyAlignment="1">
      <alignment horizontal="centerContinuous" vertical="center"/>
    </xf>
    <xf numFmtId="0" fontId="55" fillId="0" borderId="10" xfId="3" applyNumberFormat="1" applyFont="1" applyFill="1" applyBorder="1" applyAlignment="1">
      <alignment horizontal="centerContinuous" vertical="center"/>
    </xf>
    <xf numFmtId="0" fontId="53" fillId="0" borderId="17" xfId="3" applyNumberFormat="1" applyFont="1" applyFill="1" applyBorder="1" applyAlignment="1">
      <alignment vertical="center"/>
    </xf>
    <xf numFmtId="0" fontId="53" fillId="0" borderId="0" xfId="3" applyNumberFormat="1" applyFont="1" applyFill="1" applyBorder="1" applyAlignment="1">
      <alignment vertical="center"/>
    </xf>
    <xf numFmtId="0" fontId="53" fillId="0" borderId="0" xfId="3" applyNumberFormat="1" applyFont="1" applyFill="1" applyBorder="1" applyAlignment="1">
      <alignment horizontal="center" vertical="center"/>
    </xf>
    <xf numFmtId="0" fontId="53" fillId="0" borderId="26" xfId="3" applyNumberFormat="1" applyFont="1" applyFill="1" applyBorder="1" applyAlignment="1">
      <alignment vertical="center"/>
    </xf>
    <xf numFmtId="0" fontId="62" fillId="0" borderId="10" xfId="3" applyNumberFormat="1" applyFont="1" applyBorder="1" applyAlignment="1">
      <alignment horizontal="center" vertical="center"/>
    </xf>
    <xf numFmtId="0" fontId="62" fillId="0" borderId="3" xfId="3" applyNumberFormat="1" applyFont="1" applyBorder="1" applyAlignment="1">
      <alignment horizontal="center" vertical="center"/>
    </xf>
    <xf numFmtId="0" fontId="60" fillId="0" borderId="3" xfId="3" applyNumberFormat="1" applyFont="1" applyBorder="1" applyAlignment="1">
      <alignment horizontal="center" vertical="center"/>
    </xf>
    <xf numFmtId="0" fontId="53" fillId="0" borderId="0" xfId="3" applyNumberFormat="1" applyFont="1" applyAlignment="1">
      <alignment vertical="center"/>
    </xf>
    <xf numFmtId="0" fontId="62" fillId="0" borderId="4" xfId="3" applyNumberFormat="1" applyFont="1" applyBorder="1" applyAlignment="1">
      <alignment horizontal="center" vertical="center" wrapText="1"/>
    </xf>
    <xf numFmtId="0" fontId="62" fillId="0" borderId="4" xfId="3" applyNumberFormat="1" applyFont="1" applyBorder="1" applyAlignment="1">
      <alignment horizontal="center" vertical="center"/>
    </xf>
    <xf numFmtId="164" fontId="62" fillId="0" borderId="13" xfId="3" applyNumberFormat="1" applyFont="1" applyBorder="1" applyAlignment="1">
      <alignment horizontal="right" vertical="center"/>
    </xf>
    <xf numFmtId="0" fontId="60" fillId="0" borderId="21" xfId="3" applyNumberFormat="1" applyFont="1" applyBorder="1" applyAlignment="1">
      <alignment horizontal="left" vertical="center"/>
    </xf>
    <xf numFmtId="0" fontId="55" fillId="0" borderId="14" xfId="3" applyNumberFormat="1" applyFont="1" applyBorder="1" applyAlignment="1">
      <alignment horizontal="left" vertical="center"/>
    </xf>
    <xf numFmtId="0" fontId="60" fillId="0" borderId="2" xfId="3" applyNumberFormat="1" applyFont="1" applyBorder="1" applyAlignment="1">
      <alignment horizontal="left" vertical="center" indent="1"/>
    </xf>
    <xf numFmtId="0" fontId="53" fillId="16" borderId="2" xfId="3" applyNumberFormat="1" applyFont="1" applyFill="1" applyBorder="1" applyAlignment="1">
      <alignment vertical="center"/>
    </xf>
    <xf numFmtId="38" fontId="53" fillId="0" borderId="2" xfId="3" applyNumberFormat="1" applyFont="1" applyBorder="1" applyAlignment="1" applyProtection="1">
      <alignment vertical="center"/>
      <protection locked="0"/>
    </xf>
    <xf numFmtId="0" fontId="60" fillId="0" borderId="2" xfId="3" applyNumberFormat="1" applyFont="1" applyBorder="1" applyAlignment="1">
      <alignment horizontal="left" vertical="top" indent="1"/>
    </xf>
    <xf numFmtId="164" fontId="62" fillId="0" borderId="13" xfId="3" applyNumberFormat="1" applyFont="1" applyBorder="1" applyAlignment="1">
      <alignment vertical="top"/>
    </xf>
    <xf numFmtId="38" fontId="53" fillId="0" borderId="2" xfId="3" applyNumberFormat="1" applyFont="1" applyFill="1" applyBorder="1" applyAlignment="1" applyProtection="1">
      <alignment vertical="center"/>
      <protection locked="0"/>
    </xf>
    <xf numFmtId="0" fontId="62" fillId="0" borderId="21" xfId="3" applyNumberFormat="1" applyFont="1" applyBorder="1" applyAlignment="1">
      <alignment horizontal="left" vertical="center"/>
    </xf>
    <xf numFmtId="0" fontId="60" fillId="0" borderId="14" xfId="3" applyNumberFormat="1" applyFont="1" applyBorder="1" applyAlignment="1">
      <alignment horizontal="center" vertical="center"/>
    </xf>
    <xf numFmtId="0" fontId="53" fillId="16" borderId="4" xfId="3" applyNumberFormat="1" applyFont="1" applyFill="1" applyBorder="1" applyAlignment="1">
      <alignment vertical="center"/>
    </xf>
    <xf numFmtId="0" fontId="55" fillId="0" borderId="0" xfId="3" applyNumberFormat="1" applyFont="1" applyAlignment="1">
      <alignment horizontal="right" vertical="center"/>
    </xf>
    <xf numFmtId="0" fontId="63" fillId="0" borderId="0" xfId="3" applyNumberFormat="1" applyFont="1" applyAlignment="1">
      <alignment vertical="center"/>
    </xf>
    <xf numFmtId="0" fontId="71" fillId="0" borderId="0" xfId="3" applyNumberFormat="1" applyFont="1" applyAlignment="1">
      <alignment vertical="center"/>
    </xf>
    <xf numFmtId="171" fontId="55" fillId="0" borderId="0" xfId="3" applyNumberFormat="1" applyFont="1" applyBorder="1" applyAlignment="1" applyProtection="1">
      <alignment horizontal="center"/>
    </xf>
    <xf numFmtId="0" fontId="71" fillId="0" borderId="134" xfId="3" applyNumberFormat="1" applyFont="1" applyBorder="1" applyAlignment="1">
      <alignment horizontal="center" vertical="center"/>
    </xf>
    <xf numFmtId="0" fontId="55" fillId="0" borderId="134" xfId="3" applyNumberFormat="1" applyFont="1" applyBorder="1" applyAlignment="1">
      <alignment vertical="center"/>
    </xf>
    <xf numFmtId="0" fontId="71" fillId="0" borderId="0" xfId="3" applyNumberFormat="1" applyFont="1" applyBorder="1" applyAlignment="1">
      <alignment vertical="center" wrapText="1"/>
    </xf>
    <xf numFmtId="0" fontId="55" fillId="0" borderId="0" xfId="3" applyNumberFormat="1" applyFont="1" applyBorder="1" applyAlignment="1">
      <alignment wrapText="1"/>
    </xf>
    <xf numFmtId="0" fontId="71" fillId="0" borderId="134" xfId="3" applyNumberFormat="1" applyFont="1" applyBorder="1" applyAlignment="1">
      <alignment horizontal="center"/>
    </xf>
    <xf numFmtId="0" fontId="71" fillId="0" borderId="0" xfId="3" applyNumberFormat="1" applyFont="1" applyBorder="1" applyAlignment="1"/>
    <xf numFmtId="0" fontId="62" fillId="0" borderId="0" xfId="3" applyNumberFormat="1" applyFont="1" applyAlignment="1">
      <alignment horizontal="right"/>
    </xf>
    <xf numFmtId="0" fontId="53" fillId="0" borderId="0" xfId="3" applyNumberFormat="1" applyFont="1" applyBorder="1" applyAlignment="1">
      <alignment horizontal="center" wrapText="1"/>
    </xf>
    <xf numFmtId="0" fontId="71" fillId="0" borderId="0" xfId="3" applyFont="1" applyBorder="1" applyAlignment="1">
      <alignment horizontal="center" vertical="center" wrapText="1"/>
    </xf>
    <xf numFmtId="0" fontId="77" fillId="0" borderId="0" xfId="3" applyNumberFormat="1" applyFont="1" applyAlignment="1">
      <alignment vertical="center"/>
    </xf>
    <xf numFmtId="0" fontId="63" fillId="0" borderId="22" xfId="3" applyNumberFormat="1" applyFont="1" applyBorder="1" applyAlignment="1" applyProtection="1">
      <alignment horizontal="center" vertical="center"/>
      <protection locked="0"/>
    </xf>
    <xf numFmtId="0" fontId="60" fillId="0" borderId="0" xfId="3" applyNumberFormat="1" applyFont="1" applyAlignment="1">
      <alignment horizontal="left" vertical="center" indent="2"/>
    </xf>
    <xf numFmtId="0" fontId="55" fillId="0" borderId="0" xfId="3" applyFont="1" applyAlignment="1">
      <alignment horizontal="left" wrapText="1" indent="2"/>
    </xf>
    <xf numFmtId="0" fontId="53" fillId="0" borderId="0" xfId="3" applyNumberFormat="1" applyFont="1" applyBorder="1" applyAlignment="1">
      <alignment vertical="center"/>
    </xf>
    <xf numFmtId="0" fontId="81" fillId="0" borderId="0" xfId="3" applyNumberFormat="1" applyFont="1" applyBorder="1" applyAlignment="1">
      <alignment horizontal="centerContinuous" vertical="center"/>
    </xf>
    <xf numFmtId="0" fontId="54" fillId="0" borderId="0" xfId="2" applyNumberFormat="1" applyFont="1" applyBorder="1" applyAlignment="1" applyProtection="1">
      <alignment horizontal="centerContinuous" vertical="center"/>
    </xf>
    <xf numFmtId="0" fontId="55" fillId="0" borderId="0" xfId="3" applyFont="1" applyAlignment="1">
      <alignment vertical="top" wrapText="1"/>
    </xf>
    <xf numFmtId="164" fontId="60" fillId="0" borderId="0" xfId="0" applyNumberFormat="1" applyFont="1"/>
    <xf numFmtId="164" fontId="55" fillId="0" borderId="0" xfId="0" applyNumberFormat="1" applyFont="1"/>
    <xf numFmtId="166" fontId="60" fillId="0" borderId="0" xfId="0" applyNumberFormat="1" applyFont="1" applyAlignment="1">
      <alignment horizontal="left"/>
    </xf>
    <xf numFmtId="0" fontId="55" fillId="0" borderId="0" xfId="0" applyFont="1" applyAlignment="1">
      <alignment vertical="top"/>
    </xf>
    <xf numFmtId="0" fontId="106" fillId="0" borderId="0" xfId="0" applyFont="1"/>
    <xf numFmtId="0" fontId="53" fillId="0" borderId="0" xfId="0" applyFont="1" applyAlignment="1">
      <alignment vertical="top" wrapText="1"/>
    </xf>
    <xf numFmtId="0" fontId="55" fillId="0" borderId="0" xfId="3" applyFont="1" applyAlignment="1">
      <alignment wrapText="1"/>
    </xf>
    <xf numFmtId="0" fontId="55" fillId="0" borderId="0" xfId="3" applyFont="1" applyAlignment="1">
      <alignment vertical="center"/>
    </xf>
    <xf numFmtId="0" fontId="62" fillId="0" borderId="46" xfId="3" applyFont="1" applyFill="1" applyBorder="1" applyAlignment="1">
      <alignment horizontal="center" vertical="center"/>
    </xf>
    <xf numFmtId="0" fontId="62" fillId="0" borderId="22" xfId="3" applyFont="1" applyBorder="1" applyAlignment="1">
      <alignment horizontal="center" vertical="center" wrapText="1"/>
    </xf>
    <xf numFmtId="0" fontId="52" fillId="0" borderId="22" xfId="3" applyFont="1" applyBorder="1" applyAlignment="1">
      <alignment horizontal="left" vertical="center" wrapText="1" indent="1"/>
    </xf>
    <xf numFmtId="0" fontId="55" fillId="0" borderId="0" xfId="3" applyFont="1" applyAlignment="1">
      <alignment horizontal="left" vertical="center"/>
    </xf>
    <xf numFmtId="0" fontId="62" fillId="0" borderId="45" xfId="3" applyFont="1" applyBorder="1" applyAlignment="1">
      <alignment horizontal="left" vertical="center" wrapText="1" indent="2"/>
    </xf>
    <xf numFmtId="0" fontId="62" fillId="0" borderId="22" xfId="3" applyFont="1" applyBorder="1" applyAlignment="1">
      <alignment horizontal="left" vertical="center" wrapText="1" indent="1"/>
    </xf>
    <xf numFmtId="0" fontId="52" fillId="0" borderId="0" xfId="3" applyFont="1" applyFill="1" applyBorder="1" applyAlignment="1">
      <alignment wrapText="1"/>
    </xf>
    <xf numFmtId="38" fontId="63" fillId="0" borderId="0" xfId="3" applyNumberFormat="1" applyFont="1" applyFill="1" applyBorder="1"/>
    <xf numFmtId="0" fontId="60" fillId="0" borderId="0" xfId="3" applyNumberFormat="1" applyFont="1" applyBorder="1" applyAlignment="1">
      <alignment horizontal="left" vertical="center" wrapText="1"/>
    </xf>
    <xf numFmtId="0" fontId="55" fillId="0" borderId="0" xfId="3" applyFont="1" applyBorder="1" applyAlignment="1">
      <alignment horizontal="left" vertical="center" wrapText="1"/>
    </xf>
    <xf numFmtId="0" fontId="55" fillId="0" borderId="0" xfId="3" applyFont="1" applyAlignment="1">
      <alignment horizontal="left"/>
    </xf>
    <xf numFmtId="0" fontId="55" fillId="0" borderId="0" xfId="3" applyFont="1" applyAlignment="1"/>
    <xf numFmtId="49" fontId="109" fillId="0" borderId="0" xfId="0" applyNumberFormat="1" applyFont="1" applyFill="1" applyBorder="1" applyAlignment="1">
      <alignment horizontal="centerContinuous" vertical="top"/>
    </xf>
    <xf numFmtId="0" fontId="53" fillId="0" borderId="0" xfId="0" applyFont="1" applyAlignment="1">
      <alignment horizontal="centerContinuous" vertical="top"/>
    </xf>
    <xf numFmtId="0" fontId="53" fillId="0" borderId="0" xfId="0" applyFont="1" applyAlignment="1">
      <alignment horizontal="centerContinuous" vertical="top" wrapText="1"/>
    </xf>
    <xf numFmtId="0" fontId="62" fillId="0" borderId="0" xfId="0" applyFont="1" applyBorder="1" applyAlignment="1">
      <alignment horizontal="centerContinuous" vertical="top"/>
    </xf>
    <xf numFmtId="0" fontId="53" fillId="0" borderId="0" xfId="0" applyFont="1" applyAlignment="1"/>
    <xf numFmtId="164" fontId="111" fillId="0" borderId="21" xfId="0" applyNumberFormat="1" applyFont="1" applyBorder="1" applyAlignment="1">
      <alignment vertical="top"/>
    </xf>
    <xf numFmtId="0" fontId="53" fillId="0" borderId="21" xfId="0" applyFont="1" applyBorder="1" applyAlignment="1">
      <alignment vertical="top"/>
    </xf>
    <xf numFmtId="0" fontId="60" fillId="0" borderId="14" xfId="0" applyFont="1" applyBorder="1"/>
    <xf numFmtId="0" fontId="53" fillId="0" borderId="21" xfId="0" applyFont="1" applyBorder="1" applyAlignment="1">
      <alignment vertical="top" wrapText="1"/>
    </xf>
    <xf numFmtId="0" fontId="55" fillId="0" borderId="14" xfId="0" applyFont="1" applyBorder="1" applyAlignment="1">
      <alignment wrapText="1"/>
    </xf>
    <xf numFmtId="0" fontId="53" fillId="0" borderId="17" xfId="0" applyFont="1" applyBorder="1" applyAlignment="1">
      <alignment horizontal="left" vertical="top"/>
    </xf>
    <xf numFmtId="164" fontId="111" fillId="0" borderId="0" xfId="0" applyNumberFormat="1" applyFont="1" applyBorder="1" applyAlignment="1">
      <alignment horizontal="right" vertical="top"/>
    </xf>
    <xf numFmtId="0" fontId="113" fillId="0" borderId="13" xfId="0" applyFont="1" applyBorder="1" applyAlignment="1">
      <alignment horizontal="right" vertical="top"/>
    </xf>
    <xf numFmtId="0" fontId="53" fillId="0" borderId="21" xfId="0" applyFont="1" applyBorder="1" applyAlignment="1">
      <alignment horizontal="left" vertical="top"/>
    </xf>
    <xf numFmtId="0" fontId="53" fillId="0" borderId="21" xfId="0" applyFont="1" applyBorder="1" applyAlignment="1">
      <alignment horizontal="left" vertical="top" indent="1"/>
    </xf>
    <xf numFmtId="0" fontId="83" fillId="0" borderId="2" xfId="0" applyFont="1" applyBorder="1" applyAlignment="1">
      <alignment vertical="top" wrapText="1"/>
    </xf>
    <xf numFmtId="0" fontId="53" fillId="0" borderId="14" xfId="0" applyFont="1" applyBorder="1" applyAlignment="1">
      <alignment horizontal="left" vertical="top" indent="1"/>
    </xf>
    <xf numFmtId="0" fontId="83" fillId="0" borderId="65" xfId="12" applyNumberFormat="1" applyFont="1" applyBorder="1" applyAlignment="1" applyProtection="1">
      <alignment vertical="center"/>
    </xf>
    <xf numFmtId="0" fontId="113" fillId="0" borderId="17" xfId="0" applyFont="1" applyBorder="1" applyAlignment="1">
      <alignment horizontal="right" vertical="top"/>
    </xf>
    <xf numFmtId="0" fontId="83" fillId="0" borderId="10" xfId="12" applyNumberFormat="1" applyFont="1" applyBorder="1" applyAlignment="1" applyProtection="1">
      <alignment vertical="center" wrapText="1"/>
    </xf>
    <xf numFmtId="0" fontId="111" fillId="0" borderId="21" xfId="0" applyNumberFormat="1" applyFont="1" applyBorder="1" applyAlignment="1">
      <alignment horizontal="left" vertical="center"/>
    </xf>
    <xf numFmtId="0" fontId="60" fillId="0" borderId="14" xfId="0" applyFont="1" applyBorder="1" applyAlignment="1">
      <alignment vertical="top" wrapText="1"/>
    </xf>
    <xf numFmtId="0" fontId="113" fillId="0" borderId="21" xfId="0" applyNumberFormat="1" applyFont="1" applyBorder="1" applyAlignment="1">
      <alignment horizontal="left" vertical="center"/>
    </xf>
    <xf numFmtId="0" fontId="83" fillId="0" borderId="2" xfId="0" applyNumberFormat="1" applyFont="1" applyBorder="1" applyAlignment="1" applyProtection="1">
      <alignment horizontal="left" vertical="center" wrapText="1"/>
    </xf>
    <xf numFmtId="0" fontId="53" fillId="0" borderId="14" xfId="0" applyFont="1" applyBorder="1" applyAlignment="1">
      <alignment horizontal="left" vertical="top" wrapText="1"/>
    </xf>
    <xf numFmtId="0" fontId="67" fillId="0" borderId="17" xfId="0" applyFont="1" applyBorder="1" applyAlignment="1"/>
    <xf numFmtId="0" fontId="111" fillId="0" borderId="21" xfId="0" applyFont="1" applyBorder="1" applyAlignment="1">
      <alignment vertical="top"/>
    </xf>
    <xf numFmtId="0" fontId="83" fillId="0" borderId="14" xfId="0" applyFont="1" applyBorder="1" applyAlignment="1">
      <alignment vertical="top" wrapText="1"/>
    </xf>
    <xf numFmtId="0" fontId="67" fillId="0" borderId="0" xfId="0" applyFont="1" applyAlignment="1"/>
    <xf numFmtId="0" fontId="67" fillId="0" borderId="13" xfId="0" applyFont="1" applyBorder="1" applyAlignment="1"/>
    <xf numFmtId="0" fontId="53" fillId="0" borderId="21" xfId="0" applyFont="1" applyBorder="1" applyAlignment="1">
      <alignment horizontal="left" vertical="top" wrapText="1" indent="1"/>
    </xf>
    <xf numFmtId="0" fontId="53" fillId="0" borderId="13" xfId="0" applyFont="1" applyBorder="1" applyAlignment="1">
      <alignment horizontal="left" vertical="top"/>
    </xf>
    <xf numFmtId="164" fontId="111" fillId="0" borderId="21" xfId="0" applyNumberFormat="1" applyFont="1" applyBorder="1" applyAlignment="1">
      <alignment horizontal="right" vertical="top"/>
    </xf>
    <xf numFmtId="164" fontId="113" fillId="0" borderId="21" xfId="0" applyNumberFormat="1" applyFont="1" applyBorder="1" applyAlignment="1">
      <alignment horizontal="right" vertical="center"/>
    </xf>
    <xf numFmtId="0" fontId="53" fillId="0" borderId="21" xfId="0" applyNumberFormat="1" applyFont="1" applyBorder="1" applyAlignment="1">
      <alignment horizontal="left" vertical="center" wrapText="1" indent="1"/>
    </xf>
    <xf numFmtId="0" fontId="83" fillId="0" borderId="2" xfId="0" applyFont="1" applyBorder="1" applyAlignment="1"/>
    <xf numFmtId="0" fontId="83" fillId="0" borderId="2" xfId="0" applyFont="1" applyBorder="1" applyAlignment="1">
      <alignment horizontal="left" vertical="top"/>
    </xf>
    <xf numFmtId="0" fontId="60" fillId="0" borderId="2" xfId="0" applyFont="1" applyBorder="1" applyAlignment="1">
      <alignment horizontal="left" vertical="top" wrapText="1"/>
    </xf>
    <xf numFmtId="0" fontId="83" fillId="0" borderId="2" xfId="0" applyFont="1" applyBorder="1" applyAlignment="1">
      <alignment horizontal="left" vertical="top" wrapText="1"/>
    </xf>
    <xf numFmtId="164" fontId="113" fillId="0" borderId="13" xfId="0" applyNumberFormat="1" applyFont="1" applyBorder="1" applyAlignment="1">
      <alignment horizontal="right" vertical="top"/>
    </xf>
    <xf numFmtId="0" fontId="60" fillId="0" borderId="14" xfId="0" applyFont="1" applyBorder="1" applyAlignment="1">
      <alignment horizontal="left" vertical="top" wrapText="1"/>
    </xf>
    <xf numFmtId="164" fontId="114" fillId="0" borderId="21" xfId="0" applyNumberFormat="1" applyFont="1" applyBorder="1" applyAlignment="1">
      <alignment horizontal="left" vertical="center"/>
    </xf>
    <xf numFmtId="0" fontId="111" fillId="0" borderId="21" xfId="0" applyFont="1" applyBorder="1" applyAlignment="1">
      <alignment horizontal="left" vertical="top"/>
    </xf>
    <xf numFmtId="0" fontId="83" fillId="0" borderId="2" xfId="0" applyFont="1" applyBorder="1" applyAlignment="1">
      <alignment horizontal="left"/>
    </xf>
    <xf numFmtId="0" fontId="83" fillId="0" borderId="2" xfId="0" applyFont="1" applyBorder="1"/>
    <xf numFmtId="0" fontId="53" fillId="0" borderId="0" xfId="0" applyFont="1" applyAlignment="1">
      <alignment horizontal="left" vertical="top"/>
    </xf>
    <xf numFmtId="0" fontId="53" fillId="0" borderId="21" xfId="0" applyFont="1" applyBorder="1" applyAlignment="1"/>
    <xf numFmtId="164" fontId="111" fillId="0" borderId="21" xfId="0" applyNumberFormat="1" applyFont="1" applyBorder="1" applyAlignment="1">
      <alignment vertical="center"/>
    </xf>
    <xf numFmtId="0" fontId="53" fillId="0" borderId="21" xfId="0" applyFont="1" applyBorder="1" applyAlignment="1">
      <alignment vertical="center"/>
    </xf>
    <xf numFmtId="0" fontId="60" fillId="0" borderId="153" xfId="0" applyFont="1" applyBorder="1"/>
    <xf numFmtId="0" fontId="53" fillId="0" borderId="13" xfId="0" applyFont="1" applyBorder="1"/>
    <xf numFmtId="0" fontId="53" fillId="0" borderId="126" xfId="0" applyFont="1" applyBorder="1" applyAlignment="1">
      <alignment horizontal="left" vertical="top"/>
    </xf>
    <xf numFmtId="164" fontId="111" fillId="0" borderId="129" xfId="0" applyNumberFormat="1" applyFont="1" applyBorder="1" applyAlignment="1">
      <alignment horizontal="right" vertical="top"/>
    </xf>
    <xf numFmtId="0" fontId="53" fillId="0" borderId="129" xfId="0" applyNumberFormat="1" applyFont="1" applyBorder="1" applyAlignment="1">
      <alignment horizontal="left" vertical="center" wrapText="1" indent="1"/>
    </xf>
    <xf numFmtId="0" fontId="83" fillId="0" borderId="128" xfId="0" applyFont="1" applyBorder="1" applyAlignment="1">
      <alignment horizontal="left" vertical="center" wrapText="1"/>
    </xf>
    <xf numFmtId="0" fontId="53" fillId="0" borderId="129" xfId="0" applyFont="1" applyBorder="1" applyAlignment="1">
      <alignment horizontal="left" vertical="top"/>
    </xf>
    <xf numFmtId="0" fontId="53" fillId="0" borderId="0" xfId="0" applyFont="1" applyBorder="1" applyAlignment="1">
      <alignment vertical="top"/>
    </xf>
    <xf numFmtId="0" fontId="113" fillId="0" borderId="129" xfId="0" applyNumberFormat="1" applyFont="1" applyBorder="1" applyAlignment="1">
      <alignment horizontal="left" vertical="center"/>
    </xf>
    <xf numFmtId="0" fontId="111" fillId="0" borderId="129" xfId="0" applyFont="1" applyBorder="1" applyAlignment="1">
      <alignment vertical="top"/>
    </xf>
    <xf numFmtId="0" fontId="111" fillId="0" borderId="129" xfId="0" applyFont="1" applyBorder="1" applyAlignment="1">
      <alignment horizontal="left" vertical="top"/>
    </xf>
    <xf numFmtId="0" fontId="53" fillId="0" borderId="126" xfId="0" applyFont="1" applyBorder="1" applyAlignment="1"/>
    <xf numFmtId="164" fontId="111" fillId="0" borderId="129" xfId="0" applyNumberFormat="1" applyFont="1" applyBorder="1" applyAlignment="1"/>
    <xf numFmtId="0" fontId="53" fillId="0" borderId="129" xfId="0" applyFont="1" applyBorder="1" applyAlignment="1"/>
    <xf numFmtId="0" fontId="60" fillId="0" borderId="127" xfId="0" applyFont="1" applyBorder="1" applyAlignment="1"/>
    <xf numFmtId="0" fontId="81" fillId="0" borderId="12" xfId="0" applyFont="1" applyBorder="1" applyAlignment="1">
      <alignment horizontal="left"/>
    </xf>
    <xf numFmtId="0" fontId="58" fillId="0" borderId="16" xfId="0" applyFont="1" applyBorder="1" applyAlignment="1">
      <alignment horizontal="left" vertical="center" indent="1"/>
    </xf>
    <xf numFmtId="0" fontId="57" fillId="0" borderId="16" xfId="0" applyFont="1" applyBorder="1" applyAlignment="1">
      <alignment horizontal="left" vertical="center"/>
    </xf>
    <xf numFmtId="0" fontId="66" fillId="0" borderId="10" xfId="0" applyFont="1" applyBorder="1" applyAlignment="1">
      <alignment horizontal="left" vertical="center"/>
    </xf>
    <xf numFmtId="49" fontId="81" fillId="0" borderId="12" xfId="0" applyNumberFormat="1" applyFont="1" applyFill="1" applyBorder="1" applyAlignment="1">
      <alignment horizontal="left" vertical="center"/>
    </xf>
    <xf numFmtId="49" fontId="53" fillId="0" borderId="16" xfId="0" applyNumberFormat="1" applyFont="1" applyFill="1" applyBorder="1" applyAlignment="1">
      <alignment horizontal="left" vertical="center"/>
    </xf>
    <xf numFmtId="0" fontId="53" fillId="0" borderId="16" xfId="0" applyFont="1" applyFill="1" applyBorder="1" applyAlignment="1" applyProtection="1">
      <alignment horizontal="left" vertical="center"/>
    </xf>
    <xf numFmtId="0" fontId="60" fillId="0" borderId="155" xfId="0" applyFont="1" applyFill="1" applyBorder="1" applyAlignment="1" applyProtection="1">
      <alignment horizontal="left" vertical="center"/>
      <protection locked="0"/>
    </xf>
    <xf numFmtId="49" fontId="81" fillId="0" borderId="17" xfId="0" applyNumberFormat="1" applyFont="1" applyFill="1" applyBorder="1" applyAlignment="1">
      <alignment horizontal="left" vertical="center"/>
    </xf>
    <xf numFmtId="49" fontId="53" fillId="0" borderId="0" xfId="0" applyNumberFormat="1" applyFont="1" applyFill="1" applyBorder="1" applyAlignment="1">
      <alignment horizontal="left" vertical="center"/>
    </xf>
    <xf numFmtId="0" fontId="53" fillId="0" borderId="0" xfId="0" applyFont="1" applyFill="1" applyBorder="1" applyAlignment="1">
      <alignment horizontal="left" vertical="center"/>
    </xf>
    <xf numFmtId="0" fontId="60" fillId="0" borderId="63" xfId="0" applyFont="1" applyFill="1" applyBorder="1" applyAlignment="1">
      <alignment horizontal="left" vertical="center"/>
    </xf>
    <xf numFmtId="0" fontId="53" fillId="0" borderId="55" xfId="0" applyFont="1" applyFill="1" applyBorder="1" applyAlignment="1">
      <alignment horizontal="left" vertical="center"/>
    </xf>
    <xf numFmtId="0" fontId="53" fillId="0" borderId="24" xfId="0" applyFont="1" applyFill="1" applyBorder="1" applyAlignment="1">
      <alignment horizontal="left" vertical="center"/>
    </xf>
    <xf numFmtId="0" fontId="53" fillId="0" borderId="24" xfId="0" applyFont="1" applyFill="1" applyBorder="1" applyAlignment="1">
      <alignment horizontal="left" vertical="center" indent="2"/>
    </xf>
    <xf numFmtId="0" fontId="62" fillId="0" borderId="64" xfId="0" applyFont="1" applyFill="1" applyBorder="1" applyAlignment="1">
      <alignment horizontal="left" vertical="center"/>
    </xf>
    <xf numFmtId="0" fontId="52" fillId="0" borderId="126" xfId="0" applyFont="1" applyFill="1" applyBorder="1" applyAlignment="1"/>
    <xf numFmtId="0" fontId="52" fillId="0" borderId="129" xfId="0" applyFont="1" applyFill="1" applyBorder="1" applyAlignment="1">
      <alignment horizontal="left" vertical="top"/>
    </xf>
    <xf numFmtId="0" fontId="52" fillId="0" borderId="127" xfId="0" applyFont="1" applyFill="1" applyBorder="1" applyAlignment="1">
      <alignment horizontal="left"/>
    </xf>
    <xf numFmtId="0" fontId="52" fillId="0" borderId="0" xfId="0" applyFont="1" applyAlignment="1"/>
    <xf numFmtId="0" fontId="53" fillId="0" borderId="0" xfId="0" applyFont="1" applyAlignment="1">
      <alignment horizontal="left"/>
    </xf>
    <xf numFmtId="0" fontId="52" fillId="0" borderId="127" xfId="0" applyFont="1" applyFill="1" applyBorder="1" applyAlignment="1">
      <alignment horizontal="center" vertical="center"/>
    </xf>
    <xf numFmtId="0" fontId="114" fillId="0" borderId="21" xfId="0" applyFont="1" applyBorder="1" applyAlignment="1">
      <alignment horizontal="left" vertical="top" wrapText="1"/>
    </xf>
    <xf numFmtId="0" fontId="55" fillId="0" borderId="0" xfId="3" applyNumberFormat="1" applyFont="1" applyAlignment="1" applyProtection="1">
      <alignment horizontal="centerContinuous"/>
    </xf>
    <xf numFmtId="0" fontId="55" fillId="0" borderId="0" xfId="3" applyNumberFormat="1" applyFont="1" applyBorder="1" applyAlignment="1" applyProtection="1">
      <alignment horizontal="center"/>
    </xf>
    <xf numFmtId="0" fontId="63" fillId="0" borderId="0" xfId="3" applyNumberFormat="1" applyFont="1" applyAlignment="1" applyProtection="1">
      <alignment horizontal="centerContinuous"/>
    </xf>
    <xf numFmtId="0" fontId="62" fillId="0" borderId="0" xfId="3" applyNumberFormat="1" applyFont="1" applyAlignment="1" applyProtection="1">
      <alignment horizontal="right" vertical="center" textRotation="180"/>
    </xf>
    <xf numFmtId="0" fontId="62" fillId="0" borderId="0" xfId="3" applyNumberFormat="1" applyFont="1" applyAlignment="1" applyProtection="1">
      <alignment vertical="center" textRotation="180"/>
    </xf>
    <xf numFmtId="0" fontId="55" fillId="0" borderId="0" xfId="3" applyNumberFormat="1" applyFont="1" applyProtection="1"/>
    <xf numFmtId="0" fontId="55" fillId="0" borderId="9" xfId="3" applyNumberFormat="1" applyFont="1" applyBorder="1" applyProtection="1"/>
    <xf numFmtId="0" fontId="55" fillId="0" borderId="9" xfId="3" applyNumberFormat="1" applyFont="1" applyBorder="1" applyAlignment="1" applyProtection="1">
      <alignment horizontal="center"/>
    </xf>
    <xf numFmtId="0" fontId="60" fillId="0" borderId="0" xfId="3" applyNumberFormat="1" applyFont="1" applyProtection="1"/>
    <xf numFmtId="0" fontId="53" fillId="0" borderId="144" xfId="3" quotePrefix="1" applyNumberFormat="1" applyFont="1" applyBorder="1" applyAlignment="1" applyProtection="1">
      <alignment horizontal="left"/>
    </xf>
    <xf numFmtId="0" fontId="60" fillId="0" borderId="145" xfId="3" applyNumberFormat="1" applyFont="1" applyBorder="1" applyAlignment="1" applyProtection="1">
      <alignment horizontal="center"/>
    </xf>
    <xf numFmtId="0" fontId="60" fillId="0" borderId="145" xfId="3" applyNumberFormat="1" applyFont="1" applyBorder="1" applyProtection="1"/>
    <xf numFmtId="0" fontId="53" fillId="0" borderId="144" xfId="3" applyNumberFormat="1" applyFont="1" applyBorder="1" applyAlignment="1" applyProtection="1"/>
    <xf numFmtId="0" fontId="60" fillId="0" borderId="146" xfId="3" applyNumberFormat="1" applyFont="1" applyBorder="1" applyAlignment="1" applyProtection="1">
      <alignment horizontal="centerContinuous"/>
    </xf>
    <xf numFmtId="0" fontId="53" fillId="0" borderId="144" xfId="3" applyNumberFormat="1" applyFont="1" applyBorder="1" applyAlignment="1" applyProtection="1">
      <alignment horizontal="left"/>
    </xf>
    <xf numFmtId="0" fontId="60" fillId="0" borderId="146" xfId="3" applyNumberFormat="1" applyFont="1" applyBorder="1" applyProtection="1"/>
    <xf numFmtId="0" fontId="60" fillId="0" borderId="145" xfId="3" quotePrefix="1" applyNumberFormat="1" applyFont="1" applyBorder="1" applyAlignment="1" applyProtection="1">
      <alignment horizontal="left"/>
    </xf>
    <xf numFmtId="0" fontId="53" fillId="0" borderId="5" xfId="3" quotePrefix="1" applyNumberFormat="1" applyFont="1" applyBorder="1" applyAlignment="1" applyProtection="1">
      <alignment horizontal="left"/>
    </xf>
    <xf numFmtId="0" fontId="60" fillId="0" borderId="0" xfId="3" applyNumberFormat="1" applyFont="1" applyBorder="1" applyProtection="1"/>
    <xf numFmtId="0" fontId="60" fillId="0" borderId="40" xfId="3" applyNumberFormat="1" applyFont="1" applyBorder="1" applyProtection="1"/>
    <xf numFmtId="0" fontId="53" fillId="0" borderId="5" xfId="3" applyNumberFormat="1" applyFont="1" applyBorder="1" applyProtection="1"/>
    <xf numFmtId="0" fontId="63" fillId="0" borderId="0" xfId="3" applyNumberFormat="1" applyFont="1" applyBorder="1" applyProtection="1"/>
    <xf numFmtId="0" fontId="53" fillId="0" borderId="144" xfId="3" applyNumberFormat="1" applyFont="1" applyBorder="1" applyProtection="1"/>
    <xf numFmtId="0" fontId="55" fillId="0" borderId="0" xfId="3" applyNumberFormat="1" applyFont="1" applyBorder="1" applyProtection="1"/>
    <xf numFmtId="0" fontId="52" fillId="0" borderId="0" xfId="3" applyNumberFormat="1" applyFont="1" applyAlignment="1" applyProtection="1">
      <alignment horizontal="left"/>
    </xf>
    <xf numFmtId="0" fontId="63" fillId="0" borderId="0" xfId="3" applyNumberFormat="1" applyFont="1" applyAlignment="1" applyProtection="1">
      <alignment horizontal="left"/>
    </xf>
    <xf numFmtId="0" fontId="55" fillId="0" borderId="1" xfId="3" applyNumberFormat="1" applyFont="1" applyBorder="1" applyAlignment="1" applyProtection="1">
      <alignment horizontal="center" vertical="center"/>
      <protection locked="0"/>
    </xf>
    <xf numFmtId="0" fontId="53" fillId="0" borderId="0" xfId="3" applyNumberFormat="1" applyFont="1" applyBorder="1" applyAlignment="1" applyProtection="1">
      <alignment vertical="center"/>
    </xf>
    <xf numFmtId="0" fontId="60" fillId="0" borderId="0" xfId="3" applyNumberFormat="1" applyFont="1" applyBorder="1" applyAlignment="1" applyProtection="1">
      <alignment horizontal="center"/>
    </xf>
    <xf numFmtId="0" fontId="69" fillId="0" borderId="0" xfId="3" applyNumberFormat="1" applyFont="1" applyAlignment="1" applyProtection="1">
      <alignment vertical="center"/>
    </xf>
    <xf numFmtId="0" fontId="62" fillId="0" borderId="0" xfId="3" applyNumberFormat="1" applyFont="1" applyBorder="1" applyProtection="1"/>
    <xf numFmtId="0" fontId="53" fillId="0" borderId="0" xfId="3" applyNumberFormat="1" applyFont="1" applyAlignment="1" applyProtection="1">
      <alignment vertical="center"/>
    </xf>
    <xf numFmtId="0" fontId="62" fillId="0" borderId="0" xfId="3" applyNumberFormat="1" applyFont="1" applyProtection="1"/>
    <xf numFmtId="0" fontId="63" fillId="0" borderId="0" xfId="3" applyNumberFormat="1" applyFont="1" applyProtection="1"/>
    <xf numFmtId="0" fontId="53" fillId="0" borderId="0" xfId="3" applyNumberFormat="1" applyFont="1" applyBorder="1" applyProtection="1"/>
    <xf numFmtId="0" fontId="55" fillId="0" borderId="77" xfId="3" applyNumberFormat="1" applyFont="1" applyBorder="1" applyAlignment="1" applyProtection="1">
      <alignment horizontal="center"/>
    </xf>
    <xf numFmtId="0" fontId="53" fillId="0" borderId="0" xfId="3" applyNumberFormat="1" applyFont="1" applyProtection="1"/>
    <xf numFmtId="0" fontId="60" fillId="0" borderId="0" xfId="3" quotePrefix="1" applyNumberFormat="1" applyFont="1" applyAlignment="1" applyProtection="1">
      <alignment horizontal="left"/>
    </xf>
    <xf numFmtId="0" fontId="52" fillId="0" borderId="0" xfId="3" applyNumberFormat="1" applyFont="1" applyProtection="1"/>
    <xf numFmtId="0" fontId="53" fillId="0" borderId="0" xfId="3" applyFont="1"/>
    <xf numFmtId="0" fontId="52" fillId="0" borderId="0" xfId="3" applyFont="1" applyAlignment="1">
      <alignment horizontal="center" vertical="center"/>
    </xf>
    <xf numFmtId="0" fontId="55" fillId="0" borderId="0" xfId="3" applyFont="1" applyAlignment="1">
      <alignment horizontal="center" vertical="center"/>
    </xf>
    <xf numFmtId="164" fontId="60" fillId="0" borderId="0" xfId="3" applyNumberFormat="1" applyFont="1"/>
    <xf numFmtId="0" fontId="62" fillId="0" borderId="0" xfId="3" applyFont="1"/>
    <xf numFmtId="164" fontId="62" fillId="0" borderId="0" xfId="3" applyNumberFormat="1" applyFont="1" applyAlignment="1">
      <alignment horizontal="right"/>
    </xf>
    <xf numFmtId="49" fontId="60" fillId="0" borderId="0" xfId="3" applyNumberFormat="1" applyFont="1"/>
    <xf numFmtId="0" fontId="60" fillId="0" borderId="0" xfId="3" applyFont="1"/>
    <xf numFmtId="0" fontId="66" fillId="0" borderId="0" xfId="3" applyFont="1"/>
    <xf numFmtId="164" fontId="66" fillId="0" borderId="0" xfId="3" applyNumberFormat="1" applyFont="1" applyAlignment="1">
      <alignment horizontal="right"/>
    </xf>
    <xf numFmtId="0" fontId="62" fillId="0" borderId="22" xfId="3" applyFont="1" applyBorder="1" applyAlignment="1" applyProtection="1">
      <alignment horizontal="center"/>
      <protection locked="0"/>
    </xf>
    <xf numFmtId="164" fontId="60" fillId="0" borderId="0" xfId="3" applyNumberFormat="1" applyFont="1" applyBorder="1" applyAlignment="1">
      <alignment horizontal="right"/>
    </xf>
    <xf numFmtId="49" fontId="66" fillId="0" borderId="0" xfId="3" applyNumberFormat="1" applyFont="1" applyAlignment="1"/>
    <xf numFmtId="0" fontId="60" fillId="0" borderId="0" xfId="3" applyFont="1" applyAlignment="1"/>
    <xf numFmtId="0" fontId="62" fillId="0" borderId="148" xfId="3" applyFont="1" applyBorder="1" applyAlignment="1" applyProtection="1">
      <alignment horizontal="center"/>
      <protection locked="0"/>
    </xf>
    <xf numFmtId="49" fontId="60" fillId="0" borderId="0" xfId="3" applyNumberFormat="1" applyFont="1" applyAlignment="1"/>
    <xf numFmtId="0" fontId="60" fillId="0" borderId="0" xfId="3" applyFont="1" applyAlignment="1">
      <alignment horizontal="center"/>
    </xf>
    <xf numFmtId="164" fontId="60" fillId="0" borderId="0" xfId="3" applyNumberFormat="1" applyFont="1" applyAlignment="1">
      <alignment horizontal="right"/>
    </xf>
    <xf numFmtId="49" fontId="62" fillId="0" borderId="0" xfId="3" applyNumberFormat="1" applyFont="1" applyAlignment="1"/>
    <xf numFmtId="49" fontId="60" fillId="0" borderId="0" xfId="3" applyNumberFormat="1" applyFont="1" applyFill="1" applyAlignment="1"/>
    <xf numFmtId="49" fontId="60" fillId="0" borderId="0" xfId="3" applyNumberFormat="1" applyFont="1" applyFill="1" applyBorder="1" applyAlignment="1"/>
    <xf numFmtId="49" fontId="115" fillId="0" borderId="0" xfId="15" applyNumberFormat="1" applyFont="1"/>
    <xf numFmtId="49" fontId="60" fillId="0" borderId="0" xfId="3" applyNumberFormat="1" applyFont="1" applyFill="1" applyBorder="1"/>
    <xf numFmtId="0" fontId="60" fillId="0" borderId="0" xfId="3" applyFont="1" applyBorder="1" applyAlignment="1">
      <alignment horizontal="center"/>
    </xf>
    <xf numFmtId="0" fontId="96" fillId="0" borderId="0" xfId="3" applyFont="1" applyAlignment="1">
      <alignment horizontal="center"/>
    </xf>
    <xf numFmtId="164" fontId="96" fillId="0" borderId="0" xfId="3" applyNumberFormat="1" applyFont="1" applyAlignment="1">
      <alignment horizontal="right"/>
    </xf>
    <xf numFmtId="0" fontId="66" fillId="0" borderId="22" xfId="3" applyFont="1" applyBorder="1" applyAlignment="1" applyProtection="1">
      <alignment horizontal="center"/>
      <protection locked="0"/>
    </xf>
    <xf numFmtId="0" fontId="96" fillId="0" borderId="0" xfId="3" applyFont="1" applyBorder="1" applyAlignment="1">
      <alignment horizontal="center"/>
    </xf>
    <xf numFmtId="0" fontId="60" fillId="0" borderId="0" xfId="16" applyFont="1" applyFill="1" applyBorder="1" applyAlignment="1">
      <alignment horizontal="left"/>
    </xf>
    <xf numFmtId="164" fontId="62" fillId="0" borderId="22" xfId="3" applyNumberFormat="1" applyFont="1" applyBorder="1" applyAlignment="1" applyProtection="1">
      <alignment horizontal="center" vertical="center"/>
      <protection locked="0"/>
    </xf>
    <xf numFmtId="49" fontId="54" fillId="0" borderId="0" xfId="2" applyNumberFormat="1" applyFont="1" applyAlignment="1" applyProtection="1">
      <alignment horizontal="left" indent="2"/>
    </xf>
    <xf numFmtId="49" fontId="60" fillId="0" borderId="0" xfId="3" applyNumberFormat="1" applyFont="1" applyFill="1"/>
    <xf numFmtId="49" fontId="62" fillId="0" borderId="0" xfId="3" applyNumberFormat="1" applyFont="1" applyFill="1" applyBorder="1"/>
    <xf numFmtId="49" fontId="62" fillId="0" borderId="0" xfId="3" applyNumberFormat="1" applyFont="1"/>
    <xf numFmtId="49" fontId="66" fillId="0" borderId="0" xfId="3" applyNumberFormat="1" applyFont="1"/>
    <xf numFmtId="0" fontId="60" fillId="0" borderId="0" xfId="3" applyFont="1" applyBorder="1" applyAlignment="1" applyProtection="1">
      <alignment horizontal="center"/>
    </xf>
    <xf numFmtId="49" fontId="66" fillId="0" borderId="0" xfId="3" applyNumberFormat="1" applyFont="1" applyFill="1" applyBorder="1"/>
    <xf numFmtId="49" fontId="116" fillId="0" borderId="0" xfId="3" applyNumberFormat="1" applyFont="1" applyFill="1" applyBorder="1"/>
    <xf numFmtId="49" fontId="66" fillId="0" borderId="0" xfId="3" applyNumberFormat="1" applyFont="1" applyAlignment="1">
      <alignment vertical="top"/>
    </xf>
    <xf numFmtId="0" fontId="60" fillId="0" borderId="145" xfId="3" applyFont="1" applyBorder="1" applyAlignment="1" applyProtection="1">
      <alignment horizontal="center"/>
    </xf>
    <xf numFmtId="49" fontId="60" fillId="0" borderId="0" xfId="3" applyNumberFormat="1" applyFont="1" applyAlignment="1">
      <alignment vertical="top"/>
    </xf>
    <xf numFmtId="0" fontId="62" fillId="0" borderId="9" xfId="3" applyFont="1" applyBorder="1" applyAlignment="1" applyProtection="1">
      <alignment horizontal="center"/>
      <protection locked="0"/>
    </xf>
    <xf numFmtId="0" fontId="60" fillId="0" borderId="0" xfId="3" applyFont="1" applyBorder="1" applyProtection="1"/>
    <xf numFmtId="0" fontId="55" fillId="0" borderId="0" xfId="3" applyFont="1" applyAlignment="1" applyProtection="1">
      <alignment horizontal="center"/>
    </xf>
    <xf numFmtId="42" fontId="55" fillId="0" borderId="0" xfId="3" applyNumberFormat="1" applyFont="1" applyProtection="1"/>
    <xf numFmtId="0" fontId="63" fillId="0" borderId="0" xfId="3" applyFont="1" applyProtection="1"/>
    <xf numFmtId="0" fontId="55" fillId="0" borderId="0" xfId="13" applyFont="1" applyBorder="1" applyProtection="1"/>
    <xf numFmtId="0" fontId="55" fillId="0" borderId="0" xfId="13" applyFont="1" applyBorder="1" applyAlignment="1" applyProtection="1">
      <alignment horizontal="center"/>
    </xf>
    <xf numFmtId="42" fontId="55" fillId="2" borderId="9" xfId="3" applyNumberFormat="1" applyFont="1" applyFill="1" applyBorder="1" applyProtection="1"/>
    <xf numFmtId="41" fontId="55" fillId="2" borderId="9" xfId="3" applyNumberFormat="1" applyFont="1" applyFill="1" applyBorder="1" applyProtection="1"/>
    <xf numFmtId="0" fontId="63" fillId="0" borderId="0" xfId="3" applyFont="1" applyAlignment="1" applyProtection="1">
      <alignment horizontal="left" indent="2"/>
    </xf>
    <xf numFmtId="42" fontId="55" fillId="2" borderId="47" xfId="3" applyNumberFormat="1" applyFont="1" applyFill="1" applyBorder="1" applyProtection="1"/>
    <xf numFmtId="0" fontId="73" fillId="0" borderId="0" xfId="3" applyFont="1" applyProtection="1"/>
    <xf numFmtId="42" fontId="55" fillId="0" borderId="69" xfId="3" applyNumberFormat="1" applyFont="1" applyBorder="1" applyProtection="1">
      <protection locked="0"/>
    </xf>
    <xf numFmtId="42" fontId="55" fillId="0" borderId="0" xfId="3" applyNumberFormat="1" applyFont="1" applyFill="1" applyProtection="1"/>
    <xf numFmtId="42" fontId="55" fillId="0" borderId="9" xfId="3" applyNumberFormat="1" applyFont="1" applyBorder="1" applyProtection="1">
      <protection locked="0"/>
    </xf>
    <xf numFmtId="42" fontId="55" fillId="0" borderId="68" xfId="3" applyNumberFormat="1" applyFont="1" applyBorder="1" applyProtection="1">
      <protection locked="0"/>
    </xf>
    <xf numFmtId="0" fontId="55" fillId="0" borderId="0" xfId="3" applyFont="1" applyAlignment="1" applyProtection="1">
      <alignment horizontal="right"/>
    </xf>
    <xf numFmtId="42" fontId="55" fillId="2" borderId="129" xfId="3" applyNumberFormat="1" applyFont="1" applyFill="1" applyBorder="1" applyProtection="1"/>
    <xf numFmtId="0" fontId="63" fillId="0" borderId="0" xfId="3" applyFont="1" applyAlignment="1" applyProtection="1">
      <alignment horizontal="center" vertical="center"/>
    </xf>
    <xf numFmtId="165" fontId="63" fillId="0" borderId="0" xfId="3" applyNumberFormat="1" applyFont="1" applyAlignment="1" applyProtection="1">
      <alignment vertical="center"/>
    </xf>
    <xf numFmtId="0" fontId="52" fillId="0" borderId="0" xfId="3" applyFont="1" applyProtection="1"/>
    <xf numFmtId="0" fontId="52" fillId="0" borderId="0" xfId="3" applyFont="1" applyFill="1" applyProtection="1"/>
    <xf numFmtId="0" fontId="55" fillId="0" borderId="0" xfId="3" applyFont="1" applyFill="1" applyProtection="1"/>
    <xf numFmtId="169" fontId="53" fillId="0" borderId="0" xfId="3" applyNumberFormat="1" applyFont="1" applyFill="1" applyProtection="1"/>
    <xf numFmtId="0" fontId="53" fillId="0" borderId="0" xfId="3" applyFont="1" applyFill="1" applyProtection="1"/>
    <xf numFmtId="0" fontId="55" fillId="0" borderId="9" xfId="3" applyFont="1" applyFill="1" applyBorder="1" applyAlignment="1" applyProtection="1">
      <alignment horizontal="center" vertical="center"/>
      <protection locked="0"/>
    </xf>
    <xf numFmtId="0" fontId="53" fillId="0" borderId="0" xfId="3" applyFont="1" applyProtection="1"/>
    <xf numFmtId="0" fontId="53" fillId="0" borderId="147" xfId="3" applyFont="1" applyBorder="1" applyProtection="1"/>
    <xf numFmtId="0" fontId="53" fillId="0" borderId="148" xfId="3" applyFont="1" applyBorder="1" applyProtection="1">
      <protection locked="0"/>
    </xf>
    <xf numFmtId="0" fontId="53" fillId="0" borderId="147" xfId="3" applyFont="1" applyBorder="1" applyAlignment="1" applyProtection="1">
      <alignment horizontal="center"/>
      <protection locked="0"/>
    </xf>
    <xf numFmtId="0" fontId="63" fillId="0" borderId="0" xfId="3" applyFont="1" applyAlignment="1" applyProtection="1">
      <alignment horizontal="center"/>
    </xf>
    <xf numFmtId="0" fontId="52" fillId="0" borderId="0" xfId="3" applyFont="1" applyBorder="1" applyProtection="1"/>
    <xf numFmtId="5" fontId="53" fillId="0" borderId="78" xfId="3" applyNumberFormat="1" applyFont="1" applyBorder="1" applyAlignment="1" applyProtection="1">
      <protection locked="0"/>
    </xf>
    <xf numFmtId="5" fontId="53" fillId="0" borderId="76" xfId="3" applyNumberFormat="1" applyFont="1" applyBorder="1" applyAlignment="1" applyProtection="1">
      <protection locked="0"/>
    </xf>
    <xf numFmtId="5" fontId="63" fillId="0" borderId="0" xfId="3" applyNumberFormat="1" applyFont="1" applyAlignment="1" applyProtection="1"/>
    <xf numFmtId="0" fontId="63" fillId="0" borderId="0" xfId="3" applyFont="1" applyAlignment="1" applyProtection="1"/>
    <xf numFmtId="5" fontId="53" fillId="0" borderId="78" xfId="3" applyNumberFormat="1" applyFont="1" applyBorder="1" applyAlignment="1" applyProtection="1">
      <alignment horizontal="center"/>
      <protection locked="0"/>
    </xf>
    <xf numFmtId="5" fontId="53" fillId="0" borderId="76" xfId="3" applyNumberFormat="1" applyFont="1" applyBorder="1" applyAlignment="1" applyProtection="1">
      <alignment horizontal="center"/>
      <protection locked="0"/>
    </xf>
    <xf numFmtId="0" fontId="63" fillId="0" borderId="0" xfId="3" applyFont="1" applyBorder="1" applyProtection="1"/>
    <xf numFmtId="0" fontId="60" fillId="0" borderId="0" xfId="3" applyFont="1" applyAlignment="1" applyProtection="1">
      <alignment vertical="top"/>
    </xf>
    <xf numFmtId="0" fontId="60" fillId="0" borderId="78" xfId="3" applyFont="1" applyBorder="1" applyAlignment="1" applyProtection="1">
      <alignment vertical="top"/>
    </xf>
    <xf numFmtId="0" fontId="55" fillId="0" borderId="78" xfId="3" applyFont="1" applyBorder="1" applyProtection="1"/>
    <xf numFmtId="0" fontId="60" fillId="0" borderId="0" xfId="3" applyFont="1" applyBorder="1" applyAlignment="1" applyProtection="1">
      <alignment vertical="top"/>
    </xf>
    <xf numFmtId="0" fontId="117" fillId="0" borderId="0" xfId="3" applyFont="1" applyAlignment="1" applyProtection="1">
      <alignment vertical="top"/>
    </xf>
    <xf numFmtId="0" fontId="60" fillId="0" borderId="0" xfId="3" applyFont="1" applyProtection="1"/>
    <xf numFmtId="0" fontId="117" fillId="0" borderId="0" xfId="3" applyFont="1" applyAlignment="1" applyProtection="1">
      <alignment horizontal="right" vertical="top"/>
    </xf>
    <xf numFmtId="0" fontId="70" fillId="0" borderId="0" xfId="3" applyFont="1" applyAlignment="1" applyProtection="1">
      <alignment horizontal="center" vertical="center"/>
    </xf>
    <xf numFmtId="0" fontId="55" fillId="0" borderId="45" xfId="3" applyFont="1" applyBorder="1" applyProtection="1"/>
    <xf numFmtId="169" fontId="62" fillId="0" borderId="45" xfId="3" applyNumberFormat="1" applyFont="1" applyBorder="1" applyAlignment="1" applyProtection="1">
      <alignment horizontal="center"/>
    </xf>
    <xf numFmtId="1" fontId="62" fillId="0" borderId="146" xfId="3" applyNumberFormat="1" applyFont="1" applyBorder="1" applyAlignment="1" applyProtection="1">
      <alignment horizontal="center"/>
    </xf>
    <xf numFmtId="0" fontId="62" fillId="0" borderId="145" xfId="3" applyFont="1" applyBorder="1" applyAlignment="1" applyProtection="1">
      <alignment horizontal="centerContinuous"/>
    </xf>
    <xf numFmtId="0" fontId="62" fillId="0" borderId="146" xfId="3" applyFont="1" applyBorder="1" applyAlignment="1" applyProtection="1">
      <alignment horizontal="centerContinuous"/>
    </xf>
    <xf numFmtId="0" fontId="62" fillId="0" borderId="73" xfId="3" applyFont="1" applyBorder="1" applyAlignment="1" applyProtection="1">
      <alignment horizontal="centerContinuous"/>
    </xf>
    <xf numFmtId="0" fontId="62" fillId="0" borderId="45" xfId="3" applyFont="1" applyBorder="1" applyAlignment="1" applyProtection="1">
      <alignment horizontal="center"/>
    </xf>
    <xf numFmtId="0" fontId="62" fillId="5" borderId="45" xfId="3" applyFont="1" applyFill="1" applyBorder="1" applyAlignment="1" applyProtection="1">
      <alignment horizontal="center"/>
    </xf>
    <xf numFmtId="0" fontId="62" fillId="5" borderId="146" xfId="3" applyFont="1" applyFill="1" applyBorder="1" applyAlignment="1" applyProtection="1">
      <alignment horizontal="center"/>
    </xf>
    <xf numFmtId="0" fontId="62" fillId="0" borderId="5" xfId="3" applyFont="1" applyBorder="1" applyAlignment="1" applyProtection="1">
      <alignment horizontal="left"/>
    </xf>
    <xf numFmtId="169" fontId="62" fillId="0" borderId="44" xfId="3" applyNumberFormat="1" applyFont="1" applyBorder="1" applyAlignment="1" applyProtection="1">
      <alignment horizontal="center"/>
    </xf>
    <xf numFmtId="1" fontId="62" fillId="0" borderId="40" xfId="3" applyNumberFormat="1" applyFont="1" applyBorder="1" applyAlignment="1" applyProtection="1">
      <alignment horizontal="center"/>
    </xf>
    <xf numFmtId="0" fontId="62" fillId="0" borderId="0" xfId="3" applyFont="1" applyBorder="1" applyAlignment="1" applyProtection="1">
      <alignment horizontal="centerContinuous"/>
    </xf>
    <xf numFmtId="0" fontId="62" fillId="0" borderId="40" xfId="3" applyFont="1" applyBorder="1" applyAlignment="1" applyProtection="1">
      <alignment horizontal="centerContinuous"/>
    </xf>
    <xf numFmtId="0" fontId="62" fillId="21" borderId="72" xfId="3" applyFont="1" applyFill="1" applyBorder="1" applyAlignment="1" applyProtection="1">
      <alignment horizontal="center"/>
    </xf>
    <xf numFmtId="0" fontId="62" fillId="22" borderId="72" xfId="3" applyFont="1" applyFill="1" applyBorder="1" applyAlignment="1" applyProtection="1">
      <alignment horizontal="center"/>
    </xf>
    <xf numFmtId="0" fontId="62" fillId="0" borderId="72" xfId="3" applyFont="1" applyBorder="1" applyAlignment="1" applyProtection="1">
      <alignment horizontal="center"/>
    </xf>
    <xf numFmtId="0" fontId="62" fillId="5" borderId="72" xfId="3" applyFont="1" applyFill="1" applyBorder="1" applyAlignment="1" applyProtection="1">
      <alignment horizontal="center"/>
    </xf>
    <xf numFmtId="0" fontId="62" fillId="5" borderId="40" xfId="3" applyFont="1" applyFill="1" applyBorder="1" applyAlignment="1" applyProtection="1">
      <alignment horizontal="center"/>
    </xf>
    <xf numFmtId="0" fontId="62" fillId="0" borderId="44" xfId="3" applyFont="1" applyBorder="1" applyAlignment="1" applyProtection="1">
      <alignment horizontal="center"/>
    </xf>
    <xf numFmtId="0" fontId="62" fillId="0" borderId="40" xfId="3" applyFont="1" applyBorder="1" applyAlignment="1" applyProtection="1">
      <alignment horizontal="center"/>
    </xf>
    <xf numFmtId="0" fontId="62" fillId="0" borderId="5" xfId="3" applyFont="1" applyBorder="1" applyAlignment="1" applyProtection="1">
      <alignment horizontal="center"/>
    </xf>
    <xf numFmtId="0" fontId="62" fillId="0" borderId="71" xfId="3" applyFont="1" applyBorder="1" applyAlignment="1" applyProtection="1"/>
    <xf numFmtId="0" fontId="62" fillId="5" borderId="72" xfId="3" quotePrefix="1" applyFont="1" applyFill="1" applyBorder="1" applyAlignment="1" applyProtection="1">
      <alignment horizontal="center"/>
    </xf>
    <xf numFmtId="169" fontId="62" fillId="0" borderId="8" xfId="3" applyNumberFormat="1" applyFont="1" applyBorder="1" applyAlignment="1" applyProtection="1">
      <alignment horizontal="center"/>
    </xf>
    <xf numFmtId="1" fontId="62" fillId="0" borderId="59" xfId="3" applyNumberFormat="1" applyFont="1" applyBorder="1" applyAlignment="1" applyProtection="1">
      <alignment horizontal="center"/>
    </xf>
    <xf numFmtId="0" fontId="62" fillId="0" borderId="8" xfId="3" applyFont="1" applyBorder="1" applyAlignment="1" applyProtection="1">
      <alignment horizontal="center"/>
    </xf>
    <xf numFmtId="0" fontId="62" fillId="0" borderId="59" xfId="3" applyFont="1" applyBorder="1" applyAlignment="1" applyProtection="1">
      <alignment horizontal="center"/>
    </xf>
    <xf numFmtId="0" fontId="62" fillId="0" borderId="50" xfId="3" applyFont="1" applyBorder="1" applyAlignment="1" applyProtection="1">
      <alignment horizontal="center"/>
    </xf>
    <xf numFmtId="0" fontId="62" fillId="21" borderId="70" xfId="3" applyFont="1" applyFill="1" applyBorder="1" applyAlignment="1" applyProtection="1">
      <alignment horizontal="center"/>
    </xf>
    <xf numFmtId="0" fontId="62" fillId="5" borderId="70" xfId="3" applyFont="1" applyFill="1" applyBorder="1" applyAlignment="1" applyProtection="1">
      <alignment horizontal="center"/>
    </xf>
    <xf numFmtId="0" fontId="62" fillId="22" borderId="70" xfId="3" applyFont="1" applyFill="1" applyBorder="1" applyAlignment="1" applyProtection="1">
      <alignment horizontal="center"/>
    </xf>
    <xf numFmtId="0" fontId="62" fillId="0" borderId="70" xfId="3" applyFont="1" applyBorder="1" applyAlignment="1" applyProtection="1">
      <alignment horizontal="center"/>
    </xf>
    <xf numFmtId="0" fontId="62" fillId="5" borderId="59" xfId="3" applyFont="1" applyFill="1" applyBorder="1" applyAlignment="1" applyProtection="1">
      <alignment horizontal="center"/>
    </xf>
    <xf numFmtId="3" fontId="60" fillId="0" borderId="22" xfId="3" applyNumberFormat="1" applyFont="1" applyBorder="1" applyAlignment="1" applyProtection="1">
      <alignment horizontal="left" vertical="center" wrapText="1"/>
      <protection locked="0"/>
    </xf>
    <xf numFmtId="169" fontId="60" fillId="0" borderId="8" xfId="3" applyNumberFormat="1" applyFont="1" applyBorder="1" applyAlignment="1" applyProtection="1">
      <alignment horizontal="center"/>
      <protection locked="0"/>
    </xf>
    <xf numFmtId="1" fontId="60" fillId="0" borderId="8" xfId="3" applyNumberFormat="1" applyFont="1" applyBorder="1" applyAlignment="1" applyProtection="1">
      <alignment horizontal="center"/>
      <protection locked="0"/>
    </xf>
    <xf numFmtId="3" fontId="60" fillId="0" borderId="8" xfId="3" applyNumberFormat="1" applyFont="1" applyBorder="1" applyAlignment="1" applyProtection="1">
      <alignment horizontal="center"/>
      <protection locked="0"/>
    </xf>
    <xf numFmtId="169" fontId="60" fillId="0" borderId="22" xfId="3" applyNumberFormat="1" applyFont="1" applyBorder="1" applyAlignment="1" applyProtection="1">
      <alignment horizontal="center"/>
      <protection locked="0"/>
    </xf>
    <xf numFmtId="1" fontId="60" fillId="0" borderId="22" xfId="3" applyNumberFormat="1" applyFont="1" applyBorder="1" applyAlignment="1" applyProtection="1">
      <alignment horizontal="center"/>
      <protection locked="0"/>
    </xf>
    <xf numFmtId="3" fontId="60" fillId="0" borderId="22" xfId="3" applyNumberFormat="1" applyFont="1" applyBorder="1" applyAlignment="1" applyProtection="1">
      <alignment horizontal="center"/>
      <protection locked="0"/>
    </xf>
    <xf numFmtId="0" fontId="55" fillId="0" borderId="0" xfId="3" applyFont="1" applyAlignment="1" applyProtection="1">
      <alignment textRotation="180" wrapText="1"/>
    </xf>
    <xf numFmtId="3" fontId="60" fillId="0" borderId="0" xfId="3" applyNumberFormat="1" applyFont="1" applyBorder="1" applyAlignment="1" applyProtection="1">
      <alignment horizontal="left" vertical="center" wrapText="1"/>
      <protection locked="0"/>
    </xf>
    <xf numFmtId="169" fontId="60" fillId="0" borderId="0" xfId="3" applyNumberFormat="1" applyFont="1" applyBorder="1" applyAlignment="1" applyProtection="1">
      <alignment horizontal="center"/>
      <protection locked="0"/>
    </xf>
    <xf numFmtId="1" fontId="60" fillId="0" borderId="0" xfId="3" applyNumberFormat="1" applyFont="1" applyBorder="1" applyAlignment="1" applyProtection="1">
      <alignment horizontal="center"/>
      <protection locked="0"/>
    </xf>
    <xf numFmtId="3" fontId="60" fillId="0" borderId="0" xfId="3" applyNumberFormat="1" applyFont="1" applyBorder="1" applyAlignment="1" applyProtection="1">
      <alignment horizontal="center"/>
      <protection locked="0"/>
    </xf>
    <xf numFmtId="169" fontId="60" fillId="0" borderId="0" xfId="3" applyNumberFormat="1" applyFont="1" applyBorder="1" applyProtection="1"/>
    <xf numFmtId="1" fontId="60" fillId="0" borderId="0" xfId="3" applyNumberFormat="1" applyFont="1" applyBorder="1" applyProtection="1"/>
    <xf numFmtId="0" fontId="52" fillId="21" borderId="0" xfId="3" applyFont="1" applyFill="1" applyProtection="1"/>
    <xf numFmtId="169" fontId="55" fillId="21" borderId="0" xfId="3" applyNumberFormat="1" applyFont="1" applyFill="1" applyProtection="1"/>
    <xf numFmtId="1" fontId="55" fillId="21" borderId="0" xfId="3" applyNumberFormat="1" applyFont="1" applyFill="1" applyProtection="1"/>
    <xf numFmtId="0" fontId="55" fillId="21" borderId="0" xfId="3" applyFont="1" applyFill="1" applyProtection="1"/>
    <xf numFmtId="169" fontId="55" fillId="0" borderId="0" xfId="3" applyNumberFormat="1" applyFont="1" applyFill="1" applyProtection="1"/>
    <xf numFmtId="1" fontId="55" fillId="0" borderId="0" xfId="3" applyNumberFormat="1" applyFont="1" applyFill="1" applyProtection="1"/>
    <xf numFmtId="169" fontId="55" fillId="0" borderId="0" xfId="3" applyNumberFormat="1" applyFont="1" applyProtection="1"/>
    <xf numFmtId="1" fontId="55" fillId="0" borderId="0" xfId="3" applyNumberFormat="1" applyFont="1" applyProtection="1"/>
    <xf numFmtId="0" fontId="52" fillId="0" borderId="78" xfId="3" applyFont="1" applyBorder="1" applyProtection="1"/>
    <xf numFmtId="169" fontId="55" fillId="0" borderId="78" xfId="3" applyNumberFormat="1" applyFont="1" applyBorder="1" applyProtection="1"/>
    <xf numFmtId="1" fontId="55" fillId="0" borderId="78" xfId="3" applyNumberFormat="1" applyFont="1" applyBorder="1" applyProtection="1"/>
    <xf numFmtId="0" fontId="55" fillId="0" borderId="78" xfId="3" applyFont="1" applyBorder="1" applyAlignment="1" applyProtection="1">
      <alignment horizontal="center"/>
    </xf>
    <xf numFmtId="0" fontId="117" fillId="0" borderId="0" xfId="3" applyFont="1" applyAlignment="1" applyProtection="1">
      <alignment horizontal="left" wrapText="1"/>
    </xf>
    <xf numFmtId="0" fontId="117" fillId="0" borderId="0" xfId="3" applyFont="1" applyAlignment="1" applyProtection="1"/>
    <xf numFmtId="0" fontId="117" fillId="0" borderId="0" xfId="3" applyFont="1" applyAlignment="1" applyProtection="1">
      <alignment wrapText="1"/>
    </xf>
    <xf numFmtId="0" fontId="60" fillId="0" borderId="0" xfId="3" applyFont="1" applyAlignment="1" applyProtection="1">
      <alignment horizontal="left" wrapText="1"/>
    </xf>
    <xf numFmtId="0" fontId="60" fillId="0" borderId="0" xfId="3" applyFont="1" applyAlignment="1" applyProtection="1">
      <alignment horizontal="left"/>
    </xf>
    <xf numFmtId="169" fontId="60" fillId="0" borderId="0" xfId="3" applyNumberFormat="1" applyFont="1" applyProtection="1"/>
    <xf numFmtId="1" fontId="60" fillId="0" borderId="0" xfId="3" applyNumberFormat="1" applyFont="1" applyProtection="1"/>
    <xf numFmtId="0" fontId="60" fillId="0" borderId="0" xfId="3" applyFont="1" applyAlignment="1" applyProtection="1">
      <alignment horizontal="center"/>
    </xf>
    <xf numFmtId="0" fontId="117" fillId="0" borderId="0" xfId="3" applyFont="1" applyAlignment="1" applyProtection="1">
      <alignment vertical="center"/>
    </xf>
    <xf numFmtId="0" fontId="118" fillId="0" borderId="0" xfId="3" applyFont="1" applyFill="1" applyProtection="1"/>
    <xf numFmtId="0" fontId="63" fillId="0" borderId="0" xfId="3" applyFont="1" applyAlignment="1" applyProtection="1">
      <alignment vertical="center"/>
    </xf>
    <xf numFmtId="49" fontId="63" fillId="0" borderId="0" xfId="3" applyNumberFormat="1" applyFont="1" applyBorder="1" applyAlignment="1" applyProtection="1">
      <alignment horizontal="center" vertical="top"/>
    </xf>
    <xf numFmtId="165" fontId="52" fillId="0" borderId="0" xfId="3" applyNumberFormat="1" applyFont="1" applyBorder="1" applyAlignment="1" applyProtection="1">
      <alignment horizontal="center" vertical="center"/>
    </xf>
    <xf numFmtId="166" fontId="63" fillId="0" borderId="0" xfId="3" applyNumberFormat="1" applyFont="1" applyBorder="1" applyAlignment="1" applyProtection="1">
      <alignment horizontal="center" vertical="top"/>
    </xf>
    <xf numFmtId="0" fontId="52" fillId="0" borderId="0" xfId="3" applyFont="1" applyAlignment="1" applyProtection="1">
      <alignment horizontal="center" vertical="center"/>
    </xf>
    <xf numFmtId="0" fontId="63" fillId="0" borderId="145" xfId="3" applyFont="1" applyBorder="1" applyProtection="1"/>
    <xf numFmtId="0" fontId="55" fillId="0" borderId="145" xfId="3" applyFont="1" applyBorder="1" applyProtection="1"/>
    <xf numFmtId="0" fontId="55" fillId="0" borderId="145" xfId="3" applyFont="1" applyBorder="1" applyAlignment="1" applyProtection="1">
      <alignment horizontal="center"/>
    </xf>
    <xf numFmtId="0" fontId="55" fillId="0" borderId="0" xfId="3" applyFont="1" applyFill="1" applyBorder="1" applyProtection="1"/>
    <xf numFmtId="0" fontId="63" fillId="0" borderId="0" xfId="3" applyFont="1" applyFill="1" applyBorder="1" applyAlignment="1" applyProtection="1">
      <alignment horizontal="centerContinuous"/>
    </xf>
    <xf numFmtId="0" fontId="55" fillId="0" borderId="0" xfId="3" applyFont="1" applyBorder="1" applyAlignment="1" applyProtection="1">
      <alignment horizontal="center"/>
    </xf>
    <xf numFmtId="0" fontId="62" fillId="0" borderId="0" xfId="3" applyFont="1" applyBorder="1" applyProtection="1"/>
    <xf numFmtId="0" fontId="63" fillId="0" borderId="0" xfId="3" applyFont="1" applyBorder="1" applyAlignment="1" applyProtection="1">
      <alignment horizontal="right"/>
    </xf>
    <xf numFmtId="178" fontId="63" fillId="0" borderId="9" xfId="3" applyNumberFormat="1" applyFont="1" applyBorder="1" applyAlignment="1" applyProtection="1">
      <alignment horizontal="left"/>
      <protection locked="0"/>
    </xf>
    <xf numFmtId="0" fontId="62" fillId="0" borderId="0" xfId="3" applyFont="1" applyProtection="1"/>
    <xf numFmtId="0" fontId="55" fillId="0" borderId="22" xfId="3" applyFont="1" applyBorder="1" applyAlignment="1" applyProtection="1">
      <alignment horizontal="center" vertical="center"/>
      <protection locked="0"/>
    </xf>
    <xf numFmtId="0" fontId="55" fillId="0" borderId="0" xfId="3" applyFont="1" applyBorder="1" applyAlignment="1" applyProtection="1">
      <alignment horizontal="left" indent="1"/>
    </xf>
    <xf numFmtId="0" fontId="62" fillId="0" borderId="0" xfId="3" applyFont="1" applyBorder="1" applyAlignment="1" applyProtection="1">
      <alignment horizontal="left" indent="1"/>
    </xf>
    <xf numFmtId="0" fontId="62" fillId="0" borderId="0" xfId="3" applyFont="1" applyBorder="1" applyAlignment="1" applyProtection="1">
      <alignment horizontal="left"/>
    </xf>
    <xf numFmtId="0" fontId="55" fillId="0" borderId="9" xfId="3" applyFont="1" applyBorder="1" applyProtection="1">
      <protection locked="0"/>
    </xf>
    <xf numFmtId="0" fontId="62" fillId="0" borderId="145" xfId="3" quotePrefix="1" applyFont="1" applyBorder="1" applyAlignment="1" applyProtection="1">
      <alignment horizontal="left"/>
    </xf>
    <xf numFmtId="0" fontId="53" fillId="0" borderId="145" xfId="3" applyFont="1" applyBorder="1" applyProtection="1"/>
    <xf numFmtId="0" fontId="53" fillId="0" borderId="145" xfId="3" applyFont="1" applyBorder="1" applyAlignment="1" applyProtection="1">
      <alignment horizontal="center"/>
    </xf>
    <xf numFmtId="0" fontId="53" fillId="0" borderId="0" xfId="3" applyFont="1" applyFill="1" applyBorder="1" applyProtection="1"/>
    <xf numFmtId="0" fontId="55" fillId="0" borderId="0" xfId="3" applyFont="1" applyFill="1" applyBorder="1" applyAlignment="1" applyProtection="1"/>
    <xf numFmtId="0" fontId="55" fillId="0" borderId="0" xfId="3" applyFont="1" applyAlignment="1" applyProtection="1">
      <alignment horizontal="left"/>
    </xf>
    <xf numFmtId="0" fontId="55" fillId="0" borderId="0" xfId="3" applyFont="1" applyAlignment="1" applyProtection="1"/>
    <xf numFmtId="8" fontId="55" fillId="0" borderId="0" xfId="3" applyNumberFormat="1" applyFont="1" applyAlignment="1" applyProtection="1">
      <alignment horizontal="left"/>
    </xf>
    <xf numFmtId="0" fontId="62" fillId="0" borderId="145" xfId="3" applyFont="1" applyBorder="1" applyProtection="1"/>
    <xf numFmtId="0" fontId="55" fillId="0" borderId="0" xfId="3" applyFont="1" applyBorder="1" applyAlignment="1" applyProtection="1">
      <alignment horizontal="left"/>
    </xf>
    <xf numFmtId="0" fontId="62" fillId="0" borderId="145" xfId="3" applyFont="1" applyBorder="1" applyAlignment="1" applyProtection="1">
      <alignment horizontal="left"/>
    </xf>
    <xf numFmtId="0" fontId="55" fillId="9" borderId="145" xfId="3" applyFont="1" applyFill="1" applyBorder="1" applyProtection="1"/>
    <xf numFmtId="0" fontId="55" fillId="9" borderId="145" xfId="3" applyFont="1" applyFill="1" applyBorder="1" applyAlignment="1" applyProtection="1">
      <alignment horizontal="center"/>
    </xf>
    <xf numFmtId="0" fontId="55" fillId="9" borderId="146" xfId="3" applyFont="1" applyFill="1" applyBorder="1" applyProtection="1"/>
    <xf numFmtId="0" fontId="60" fillId="9" borderId="5" xfId="3" applyFont="1" applyFill="1" applyBorder="1" applyProtection="1"/>
    <xf numFmtId="0" fontId="60" fillId="9" borderId="111" xfId="3" applyFont="1" applyFill="1" applyBorder="1" applyProtection="1"/>
    <xf numFmtId="14" fontId="55" fillId="9" borderId="0" xfId="3" applyNumberFormat="1" applyFont="1" applyFill="1" applyBorder="1" applyProtection="1"/>
    <xf numFmtId="0" fontId="55" fillId="9" borderId="0" xfId="3" applyFont="1" applyFill="1" applyBorder="1" applyProtection="1"/>
    <xf numFmtId="0" fontId="55" fillId="9" borderId="0" xfId="3" applyFont="1" applyFill="1" applyBorder="1" applyAlignment="1" applyProtection="1">
      <alignment horizontal="center"/>
    </xf>
    <xf numFmtId="0" fontId="55" fillId="9" borderId="9" xfId="3" applyFont="1" applyFill="1" applyBorder="1" applyProtection="1"/>
    <xf numFmtId="0" fontId="60" fillId="9" borderId="0" xfId="3" applyFont="1" applyFill="1" applyBorder="1" applyProtection="1"/>
    <xf numFmtId="0" fontId="55" fillId="9" borderId="50" xfId="3" applyFont="1" applyFill="1" applyBorder="1" applyProtection="1"/>
    <xf numFmtId="0" fontId="55" fillId="9" borderId="9" xfId="3" applyFont="1" applyFill="1" applyBorder="1" applyAlignment="1" applyProtection="1">
      <alignment horizontal="center"/>
    </xf>
    <xf numFmtId="0" fontId="55" fillId="9" borderId="59" xfId="3" applyFont="1" applyFill="1" applyBorder="1" applyProtection="1"/>
    <xf numFmtId="0" fontId="55" fillId="0" borderId="78" xfId="3" applyFont="1" applyFill="1" applyBorder="1" applyProtection="1"/>
    <xf numFmtId="0" fontId="55" fillId="0" borderId="78" xfId="3" applyFont="1" applyFill="1" applyBorder="1" applyAlignment="1" applyProtection="1">
      <alignment horizontal="center"/>
    </xf>
    <xf numFmtId="0" fontId="117" fillId="0" borderId="0" xfId="3" applyFont="1" applyBorder="1" applyProtection="1"/>
    <xf numFmtId="0" fontId="117" fillId="0" borderId="0" xfId="3" applyFont="1" applyProtection="1"/>
    <xf numFmtId="0" fontId="62" fillId="0" borderId="0" xfId="3" applyFont="1" applyAlignment="1" applyProtection="1">
      <alignment horizontal="center" vertical="top" textRotation="180"/>
    </xf>
    <xf numFmtId="0" fontId="62" fillId="0" borderId="0" xfId="3" applyFont="1" applyAlignment="1" applyProtection="1">
      <alignment horizontal="right" vertical="center" textRotation="180"/>
    </xf>
    <xf numFmtId="0" fontId="63" fillId="0" borderId="0" xfId="3" applyFont="1" applyAlignment="1" applyProtection="1">
      <alignment vertical="center" textRotation="180"/>
    </xf>
    <xf numFmtId="169" fontId="63" fillId="0" borderId="0" xfId="3" applyNumberFormat="1" applyFont="1" applyBorder="1" applyProtection="1"/>
    <xf numFmtId="169" fontId="55" fillId="0" borderId="145" xfId="3" applyNumberFormat="1" applyFont="1" applyBorder="1" applyProtection="1"/>
    <xf numFmtId="169" fontId="55" fillId="0" borderId="9" xfId="3" applyNumberFormat="1" applyFont="1" applyBorder="1" applyProtection="1"/>
    <xf numFmtId="0" fontId="55" fillId="0" borderId="9" xfId="3" applyFont="1" applyBorder="1" applyProtection="1"/>
    <xf numFmtId="0" fontId="55" fillId="0" borderId="9" xfId="3" applyFont="1" applyBorder="1" applyAlignment="1" applyProtection="1">
      <alignment horizontal="center"/>
    </xf>
    <xf numFmtId="169" fontId="55" fillId="0" borderId="0" xfId="3" applyNumberFormat="1" applyFont="1" applyBorder="1" applyProtection="1"/>
    <xf numFmtId="169" fontId="85" fillId="0" borderId="0" xfId="3" applyNumberFormat="1" applyFont="1" applyBorder="1" applyAlignment="1" applyProtection="1">
      <alignment horizontal="left"/>
    </xf>
    <xf numFmtId="0" fontId="77" fillId="0" borderId="0" xfId="3" applyFont="1" applyBorder="1" applyAlignment="1" applyProtection="1">
      <alignment horizontal="left"/>
    </xf>
    <xf numFmtId="0" fontId="55" fillId="0" borderId="0" xfId="3" applyFont="1" applyBorder="1" applyAlignment="1" applyProtection="1"/>
    <xf numFmtId="0" fontId="60" fillId="0" borderId="0" xfId="3" applyFont="1" applyBorder="1" applyAlignment="1" applyProtection="1">
      <alignment horizontal="centerContinuous"/>
    </xf>
    <xf numFmtId="0" fontId="55" fillId="0" borderId="0" xfId="3" applyFont="1" applyBorder="1" applyAlignment="1" applyProtection="1">
      <alignment horizontal="centerContinuous"/>
    </xf>
    <xf numFmtId="169" fontId="62" fillId="0" borderId="0" xfId="3" applyNumberFormat="1" applyFont="1" applyProtection="1"/>
    <xf numFmtId="169" fontId="60" fillId="0" borderId="0" xfId="3" applyNumberFormat="1" applyFont="1" applyAlignment="1" applyProtection="1">
      <alignment horizontal="left"/>
    </xf>
    <xf numFmtId="0" fontId="53" fillId="0" borderId="0" xfId="3" applyFont="1" applyAlignment="1" applyProtection="1">
      <alignment horizontal="left"/>
    </xf>
    <xf numFmtId="0" fontId="55" fillId="0" borderId="9" xfId="3" applyFont="1" applyBorder="1" applyAlignment="1" applyProtection="1">
      <alignment horizontal="center" vertical="center"/>
      <protection locked="0"/>
    </xf>
    <xf numFmtId="0" fontId="55" fillId="0" borderId="0" xfId="3" applyFont="1" applyBorder="1" applyAlignment="1" applyProtection="1">
      <alignment horizontal="center" vertical="center"/>
      <protection locked="0"/>
    </xf>
    <xf numFmtId="0" fontId="108" fillId="0" borderId="0" xfId="3" applyFont="1" applyBorder="1" applyAlignment="1" applyProtection="1">
      <alignment horizontal="left"/>
    </xf>
    <xf numFmtId="169" fontId="66" fillId="0" borderId="0" xfId="3" applyNumberFormat="1" applyFont="1" applyProtection="1"/>
    <xf numFmtId="0" fontId="57" fillId="0" borderId="0" xfId="3" applyFont="1" applyProtection="1"/>
    <xf numFmtId="169" fontId="60" fillId="0" borderId="150" xfId="3" applyNumberFormat="1" applyFont="1" applyBorder="1" applyAlignment="1" applyProtection="1">
      <alignment horizontal="center"/>
    </xf>
    <xf numFmtId="169" fontId="60" fillId="0" borderId="77" xfId="3" applyNumberFormat="1" applyFont="1" applyBorder="1" applyAlignment="1" applyProtection="1">
      <alignment horizontal="center"/>
      <protection locked="0"/>
    </xf>
    <xf numFmtId="169" fontId="120" fillId="0" borderId="0" xfId="3" applyNumberFormat="1" applyFont="1" applyProtection="1"/>
    <xf numFmtId="6" fontId="116" fillId="0" borderId="76" xfId="3" applyNumberFormat="1" applyFont="1" applyBorder="1" applyProtection="1"/>
    <xf numFmtId="6" fontId="116" fillId="0" borderId="0" xfId="3" applyNumberFormat="1" applyFont="1" applyBorder="1" applyProtection="1"/>
    <xf numFmtId="10" fontId="62" fillId="0" borderId="77" xfId="3" applyNumberFormat="1" applyFont="1" applyBorder="1" applyProtection="1"/>
    <xf numFmtId="6" fontId="60" fillId="0" borderId="0" xfId="3" applyNumberFormat="1" applyFont="1" applyProtection="1"/>
    <xf numFmtId="0" fontId="116" fillId="0" borderId="0" xfId="3" applyFont="1" applyProtection="1"/>
    <xf numFmtId="10" fontId="120" fillId="0" borderId="0" xfId="3" applyNumberFormat="1" applyFont="1" applyBorder="1" applyProtection="1"/>
    <xf numFmtId="2" fontId="73" fillId="0" borderId="78" xfId="3" applyNumberFormat="1" applyFont="1" applyBorder="1" applyProtection="1"/>
    <xf numFmtId="0" fontId="73" fillId="0" borderId="78" xfId="3" applyFont="1" applyBorder="1" applyAlignment="1" applyProtection="1">
      <alignment horizontal="center"/>
    </xf>
    <xf numFmtId="0" fontId="73" fillId="0" borderId="78" xfId="3" applyFont="1" applyBorder="1" applyProtection="1"/>
    <xf numFmtId="2" fontId="73" fillId="0" borderId="0" xfId="3" applyNumberFormat="1" applyFont="1" applyBorder="1" applyProtection="1"/>
    <xf numFmtId="0" fontId="73" fillId="0" borderId="0" xfId="3" applyFont="1" applyBorder="1" applyAlignment="1" applyProtection="1">
      <alignment horizontal="center"/>
    </xf>
    <xf numFmtId="0" fontId="73" fillId="0" borderId="0" xfId="3" applyFont="1" applyBorder="1" applyProtection="1"/>
    <xf numFmtId="0" fontId="60" fillId="0" borderId="0" xfId="3" applyFont="1" applyAlignment="1" applyProtection="1">
      <alignment horizontal="left" vertical="center"/>
    </xf>
    <xf numFmtId="169" fontId="117" fillId="0" borderId="0" xfId="3" applyNumberFormat="1" applyFont="1" applyBorder="1" applyAlignment="1" applyProtection="1">
      <alignment horizontal="left" vertical="center"/>
    </xf>
    <xf numFmtId="0" fontId="117" fillId="0" borderId="0" xfId="3" applyFont="1" applyBorder="1" applyAlignment="1" applyProtection="1">
      <alignment horizontal="left" vertical="center"/>
    </xf>
    <xf numFmtId="0" fontId="55" fillId="0" borderId="0" xfId="3" applyFont="1" applyAlignment="1" applyProtection="1">
      <alignment horizontal="left" vertical="center"/>
    </xf>
    <xf numFmtId="169" fontId="60" fillId="0" borderId="0" xfId="3" applyNumberFormat="1" applyFont="1" applyAlignment="1" applyProtection="1">
      <alignment horizontal="left" vertical="center"/>
    </xf>
    <xf numFmtId="169" fontId="117" fillId="0" borderId="0" xfId="3" applyNumberFormat="1" applyFont="1" applyAlignment="1" applyProtection="1">
      <alignment horizontal="left" vertical="center"/>
    </xf>
    <xf numFmtId="0" fontId="117" fillId="0" borderId="0" xfId="3" applyFont="1" applyAlignment="1" applyProtection="1">
      <alignment horizontal="left" vertical="center"/>
    </xf>
    <xf numFmtId="49" fontId="63" fillId="0" borderId="0" xfId="3" applyNumberFormat="1" applyFont="1" applyBorder="1" applyAlignment="1" applyProtection="1">
      <alignment horizontal="center" vertical="center"/>
    </xf>
    <xf numFmtId="166" fontId="63" fillId="0" borderId="0" xfId="3" applyNumberFormat="1" applyFont="1" applyBorder="1" applyAlignment="1" applyProtection="1">
      <alignment horizontal="center" vertical="center"/>
    </xf>
    <xf numFmtId="0" fontId="63" fillId="0" borderId="0" xfId="3" applyFont="1" applyAlignment="1" applyProtection="1">
      <alignment horizontal="right"/>
    </xf>
    <xf numFmtId="178" fontId="63" fillId="0" borderId="74" xfId="3" applyNumberFormat="1" applyFont="1" applyBorder="1" applyAlignment="1" applyProtection="1">
      <alignment horizontal="center"/>
      <protection locked="0"/>
    </xf>
    <xf numFmtId="0" fontId="55" fillId="0" borderId="22" xfId="3" applyFont="1" applyBorder="1" applyAlignment="1" applyProtection="1">
      <alignment horizontal="center"/>
      <protection locked="0"/>
    </xf>
    <xf numFmtId="0" fontId="60" fillId="0" borderId="0" xfId="3" applyFont="1" applyAlignment="1" applyProtection="1">
      <alignment horizontal="left" vertical="center" indent="1"/>
    </xf>
    <xf numFmtId="0" fontId="60" fillId="0" borderId="0" xfId="3" applyFont="1" applyAlignment="1" applyProtection="1">
      <alignment horizontal="left" indent="1"/>
    </xf>
    <xf numFmtId="0" fontId="60" fillId="0" borderId="0" xfId="3" applyFont="1" applyBorder="1" applyAlignment="1" applyProtection="1">
      <alignment horizontal="left"/>
    </xf>
    <xf numFmtId="0" fontId="55" fillId="0" borderId="74" xfId="3" applyFont="1" applyBorder="1" applyProtection="1">
      <protection locked="0"/>
    </xf>
    <xf numFmtId="0" fontId="63" fillId="0" borderId="9" xfId="3" applyFont="1" applyBorder="1" applyProtection="1"/>
    <xf numFmtId="0" fontId="62" fillId="0" borderId="0" xfId="3" applyFont="1" applyAlignment="1" applyProtection="1">
      <alignment horizontal="center"/>
    </xf>
    <xf numFmtId="0" fontId="63" fillId="0" borderId="0" xfId="3" applyFont="1" applyBorder="1" applyAlignment="1" applyProtection="1">
      <alignment horizontal="center"/>
    </xf>
    <xf numFmtId="0" fontId="62" fillId="0" borderId="0" xfId="3" quotePrefix="1" applyFont="1" applyBorder="1" applyAlignment="1" applyProtection="1">
      <alignment horizontal="left"/>
    </xf>
    <xf numFmtId="0" fontId="53" fillId="0" borderId="0" xfId="3" applyFont="1" applyBorder="1" applyAlignment="1" applyProtection="1">
      <alignment horizontal="center"/>
    </xf>
    <xf numFmtId="0" fontId="55" fillId="0" borderId="9" xfId="3" applyFont="1" applyBorder="1" applyAlignment="1" applyProtection="1">
      <alignment horizontal="left"/>
    </xf>
    <xf numFmtId="0" fontId="55" fillId="0" borderId="9" xfId="3" applyFont="1" applyBorder="1" applyAlignment="1" applyProtection="1"/>
    <xf numFmtId="170" fontId="55" fillId="0" borderId="9" xfId="3" applyNumberFormat="1" applyFont="1" applyBorder="1" applyAlignment="1" applyProtection="1">
      <alignment horizontal="centerContinuous"/>
    </xf>
    <xf numFmtId="0" fontId="62" fillId="9" borderId="144" xfId="3" applyFont="1" applyFill="1" applyBorder="1" applyProtection="1"/>
    <xf numFmtId="0" fontId="62" fillId="9" borderId="145" xfId="3" applyFont="1" applyFill="1" applyBorder="1" applyProtection="1"/>
    <xf numFmtId="0" fontId="55" fillId="0" borderId="5" xfId="3" applyFont="1" applyFill="1" applyBorder="1" applyProtection="1"/>
    <xf numFmtId="14" fontId="55" fillId="9" borderId="74" xfId="3" applyNumberFormat="1" applyFont="1" applyFill="1" applyBorder="1" applyAlignment="1" applyProtection="1">
      <alignment horizontal="center"/>
    </xf>
    <xf numFmtId="0" fontId="55" fillId="9" borderId="74" xfId="3" applyFont="1" applyFill="1" applyBorder="1" applyAlignment="1" applyProtection="1">
      <alignment horizontal="center"/>
    </xf>
    <xf numFmtId="0" fontId="55" fillId="9" borderId="40" xfId="3" applyFont="1" applyFill="1" applyBorder="1" applyProtection="1"/>
    <xf numFmtId="0" fontId="70" fillId="0" borderId="152" xfId="3" applyFont="1" applyBorder="1" applyAlignment="1" applyProtection="1">
      <alignment horizontal="left"/>
    </xf>
    <xf numFmtId="0" fontId="55" fillId="0" borderId="152" xfId="3" applyFont="1" applyBorder="1" applyProtection="1"/>
    <xf numFmtId="0" fontId="55" fillId="0" borderId="152" xfId="3" applyFont="1" applyBorder="1" applyAlignment="1" applyProtection="1">
      <alignment horizontal="center"/>
    </xf>
    <xf numFmtId="49" fontId="52" fillId="0" borderId="0" xfId="3" applyNumberFormat="1" applyFont="1" applyBorder="1" applyAlignment="1" applyProtection="1">
      <alignment horizontal="center" vertical="center"/>
    </xf>
    <xf numFmtId="166" fontId="52" fillId="0" borderId="0" xfId="3" applyNumberFormat="1" applyFont="1" applyBorder="1" applyAlignment="1" applyProtection="1">
      <alignment horizontal="center" vertical="center"/>
    </xf>
    <xf numFmtId="49" fontId="52" fillId="0" borderId="0" xfId="3" applyNumberFormat="1" applyFont="1" applyAlignment="1" applyProtection="1">
      <alignment horizontal="center" vertical="center"/>
    </xf>
    <xf numFmtId="0" fontId="53" fillId="0" borderId="0" xfId="3" applyFont="1" applyBorder="1" applyAlignment="1" applyProtection="1">
      <alignment vertical="center"/>
    </xf>
    <xf numFmtId="0" fontId="66" fillId="0" borderId="0" xfId="3" applyFont="1" applyBorder="1" applyAlignment="1" applyProtection="1">
      <alignment horizontal="center"/>
    </xf>
    <xf numFmtId="179" fontId="55" fillId="0" borderId="0" xfId="3" applyNumberFormat="1" applyFont="1" applyBorder="1" applyProtection="1">
      <protection locked="0"/>
    </xf>
    <xf numFmtId="179" fontId="55" fillId="0" borderId="0" xfId="3" applyNumberFormat="1" applyFont="1" applyBorder="1" applyAlignment="1" applyProtection="1">
      <alignment horizontal="left"/>
      <protection locked="0"/>
    </xf>
    <xf numFmtId="179" fontId="62" fillId="0" borderId="0" xfId="3" applyNumberFormat="1" applyFont="1" applyProtection="1">
      <protection locked="0"/>
    </xf>
    <xf numFmtId="179" fontId="55" fillId="0" borderId="0" xfId="3" applyNumberFormat="1" applyFont="1" applyProtection="1">
      <protection locked="0"/>
    </xf>
    <xf numFmtId="179" fontId="55" fillId="0" borderId="0" xfId="3" applyNumberFormat="1" applyFont="1" applyAlignment="1" applyProtection="1">
      <alignment horizontal="left"/>
      <protection locked="0"/>
    </xf>
    <xf numFmtId="49" fontId="77" fillId="0" borderId="0" xfId="3" applyNumberFormat="1" applyFont="1" applyBorder="1" applyAlignment="1" applyProtection="1">
      <alignment horizontal="left"/>
      <protection locked="0"/>
    </xf>
    <xf numFmtId="49" fontId="55" fillId="0" borderId="0" xfId="3" applyNumberFormat="1" applyFont="1" applyProtection="1">
      <protection locked="0"/>
    </xf>
    <xf numFmtId="49" fontId="55" fillId="0" borderId="78" xfId="3" applyNumberFormat="1" applyFont="1" applyBorder="1" applyAlignment="1" applyProtection="1">
      <protection locked="0"/>
    </xf>
    <xf numFmtId="0" fontId="55" fillId="0" borderId="78" xfId="3" applyFont="1" applyBorder="1" applyProtection="1">
      <protection locked="0"/>
    </xf>
    <xf numFmtId="0" fontId="117" fillId="0" borderId="0" xfId="3" applyFont="1" applyAlignment="1" applyProtection="1">
      <alignment horizontal="left"/>
    </xf>
    <xf numFmtId="0" fontId="60" fillId="0" borderId="0" xfId="3" applyFont="1" applyAlignment="1" applyProtection="1">
      <alignment horizontal="left" vertical="center" indent="2"/>
    </xf>
    <xf numFmtId="49" fontId="68" fillId="0" borderId="0" xfId="0" applyNumberFormat="1" applyFont="1" applyBorder="1" applyAlignment="1">
      <alignment horizontal="left"/>
    </xf>
    <xf numFmtId="49" fontId="56" fillId="0" borderId="0" xfId="2" applyNumberFormat="1" applyFont="1" applyBorder="1" applyAlignment="1" applyProtection="1">
      <alignment horizontal="left" indent="4"/>
    </xf>
    <xf numFmtId="49" fontId="61" fillId="0" borderId="0" xfId="0" applyNumberFormat="1" applyFont="1" applyBorder="1" applyAlignment="1">
      <alignment horizontal="left" indent="1"/>
    </xf>
    <xf numFmtId="0" fontId="68" fillId="0" borderId="0" xfId="0" applyFont="1" applyBorder="1" applyProtection="1"/>
    <xf numFmtId="164" fontId="60" fillId="0" borderId="19" xfId="0" applyNumberFormat="1" applyFont="1" applyFill="1" applyBorder="1" applyAlignment="1" applyProtection="1">
      <alignment horizontal="left" vertical="center" wrapText="1" indent="1"/>
    </xf>
    <xf numFmtId="164" fontId="60" fillId="0" borderId="2" xfId="0" applyNumberFormat="1" applyFont="1" applyFill="1" applyBorder="1" applyAlignment="1" applyProtection="1">
      <alignment horizontal="left" vertical="center" wrapText="1" indent="1"/>
    </xf>
    <xf numFmtId="164" fontId="60" fillId="0" borderId="2" xfId="0" applyNumberFormat="1" applyFont="1" applyFill="1" applyBorder="1" applyAlignment="1" applyProtection="1">
      <alignment horizontal="left" vertical="center" indent="1"/>
    </xf>
    <xf numFmtId="0" fontId="60" fillId="0" borderId="0" xfId="0" applyFont="1" applyFill="1" applyAlignment="1" applyProtection="1">
      <alignment horizontal="left" vertical="center" indent="1"/>
    </xf>
    <xf numFmtId="164" fontId="60" fillId="0" borderId="0" xfId="0" applyNumberFormat="1" applyFont="1" applyFill="1" applyBorder="1" applyAlignment="1" applyProtection="1">
      <alignment horizontal="left" vertical="center" wrapText="1" indent="1"/>
    </xf>
    <xf numFmtId="0" fontId="62" fillId="0" borderId="20" xfId="0" applyFont="1" applyFill="1" applyBorder="1" applyAlignment="1" applyProtection="1">
      <alignment horizontal="left" vertical="center" indent="2"/>
    </xf>
    <xf numFmtId="0" fontId="60" fillId="0" borderId="0" xfId="0" applyFont="1" applyFill="1" applyBorder="1" applyAlignment="1" applyProtection="1">
      <alignment horizontal="left" vertical="center" indent="1"/>
    </xf>
    <xf numFmtId="0" fontId="60" fillId="0" borderId="21" xfId="0" applyFont="1" applyBorder="1" applyAlignment="1" applyProtection="1">
      <alignment horizontal="left" vertical="top" indent="1"/>
    </xf>
    <xf numFmtId="0" fontId="60" fillId="0" borderId="0" xfId="0" applyFont="1" applyFill="1" applyBorder="1" applyAlignment="1" applyProtection="1">
      <alignment horizontal="left" vertical="top" indent="1"/>
    </xf>
    <xf numFmtId="0" fontId="60" fillId="0" borderId="129" xfId="0" applyFont="1" applyBorder="1" applyAlignment="1" applyProtection="1">
      <alignment horizontal="left" vertical="center" indent="1"/>
    </xf>
    <xf numFmtId="0" fontId="60" fillId="0" borderId="24" xfId="0" applyFont="1" applyBorder="1" applyAlignment="1" applyProtection="1">
      <alignment horizontal="left" vertical="center" indent="1"/>
    </xf>
    <xf numFmtId="0" fontId="60" fillId="0" borderId="52" xfId="0" applyFont="1" applyBorder="1" applyAlignment="1" applyProtection="1">
      <alignment horizontal="left" vertical="center" indent="1"/>
    </xf>
    <xf numFmtId="0" fontId="60" fillId="0" borderId="21" xfId="0" applyFont="1" applyBorder="1" applyAlignment="1" applyProtection="1">
      <alignment horizontal="left" vertical="center" wrapText="1" indent="1"/>
    </xf>
    <xf numFmtId="0" fontId="60" fillId="0" borderId="130" xfId="0" applyFont="1" applyFill="1" applyBorder="1" applyAlignment="1" applyProtection="1">
      <alignment horizontal="left" vertical="center" indent="1"/>
    </xf>
    <xf numFmtId="0" fontId="60" fillId="0" borderId="100" xfId="0" applyFont="1" applyFill="1" applyBorder="1" applyAlignment="1" applyProtection="1">
      <alignment horizontal="left" vertical="center" indent="1"/>
    </xf>
    <xf numFmtId="3" fontId="60" fillId="0" borderId="2" xfId="0" applyNumberFormat="1" applyFont="1" applyBorder="1" applyAlignment="1">
      <alignment horizontal="left" vertical="center" wrapText="1" indent="1"/>
    </xf>
    <xf numFmtId="3" fontId="60" fillId="0" borderId="12" xfId="0" applyNumberFormat="1" applyFont="1" applyBorder="1" applyAlignment="1">
      <alignment horizontal="left" vertical="center" wrapText="1" indent="1"/>
    </xf>
    <xf numFmtId="3" fontId="60" fillId="0" borderId="12" xfId="0" applyNumberFormat="1" applyFont="1" applyBorder="1" applyAlignment="1">
      <alignment horizontal="left" vertical="center" indent="1"/>
    </xf>
    <xf numFmtId="3" fontId="62" fillId="2" borderId="36" xfId="0" applyNumberFormat="1" applyFont="1" applyFill="1" applyBorder="1" applyAlignment="1">
      <alignment horizontal="left" vertical="center" wrapText="1" indent="1"/>
    </xf>
    <xf numFmtId="3" fontId="60" fillId="0" borderId="2" xfId="0" applyNumberFormat="1" applyFont="1" applyBorder="1" applyAlignment="1">
      <alignment horizontal="left" vertical="top" wrapText="1" indent="1"/>
    </xf>
    <xf numFmtId="3" fontId="60" fillId="0" borderId="128" xfId="0" applyNumberFormat="1" applyFont="1" applyBorder="1" applyAlignment="1">
      <alignment horizontal="left" vertical="center" wrapText="1" indent="1"/>
    </xf>
    <xf numFmtId="3" fontId="60" fillId="0" borderId="126" xfId="0" applyNumberFormat="1" applyFont="1" applyFill="1" applyBorder="1" applyAlignment="1">
      <alignment horizontal="left" vertical="center" wrapText="1" indent="1"/>
    </xf>
    <xf numFmtId="3" fontId="60" fillId="0" borderId="29" xfId="0" applyNumberFormat="1" applyFont="1" applyFill="1" applyBorder="1" applyAlignment="1">
      <alignment horizontal="left" vertical="center" wrapText="1" indent="1"/>
    </xf>
    <xf numFmtId="3" fontId="60" fillId="0" borderId="128" xfId="0" applyNumberFormat="1" applyFont="1" applyFill="1" applyBorder="1" applyAlignment="1">
      <alignment horizontal="left" vertical="center" wrapText="1" indent="1"/>
    </xf>
    <xf numFmtId="3" fontId="60" fillId="0" borderId="2" xfId="0" applyNumberFormat="1" applyFont="1" applyFill="1" applyBorder="1" applyAlignment="1">
      <alignment horizontal="left" vertical="center" wrapText="1" indent="1"/>
    </xf>
    <xf numFmtId="3" fontId="62" fillId="0" borderId="49" xfId="0" applyNumberFormat="1" applyFont="1" applyFill="1" applyBorder="1" applyAlignment="1">
      <alignment horizontal="left" vertical="center" wrapText="1" indent="1"/>
    </xf>
    <xf numFmtId="3" fontId="62" fillId="7" borderId="27" xfId="0" applyNumberFormat="1" applyFont="1" applyFill="1" applyBorder="1" applyAlignment="1">
      <alignment horizontal="left" vertical="center" wrapText="1" indent="1"/>
    </xf>
    <xf numFmtId="3" fontId="60" fillId="0" borderId="2" xfId="0" applyNumberFormat="1" applyFont="1" applyBorder="1" applyAlignment="1">
      <alignment horizontal="left" vertical="center" indent="1"/>
    </xf>
    <xf numFmtId="3" fontId="60" fillId="0" borderId="13" xfId="0" applyNumberFormat="1" applyFont="1" applyBorder="1" applyAlignment="1">
      <alignment horizontal="left" vertical="center" wrapText="1" indent="1"/>
    </xf>
    <xf numFmtId="164" fontId="60" fillId="0" borderId="13" xfId="0" applyNumberFormat="1" applyFont="1" applyFill="1" applyBorder="1" applyAlignment="1">
      <alignment horizontal="left" vertical="center" wrapText="1" indent="1"/>
    </xf>
    <xf numFmtId="0" fontId="60" fillId="0" borderId="2" xfId="0" applyFont="1" applyFill="1" applyBorder="1" applyAlignment="1">
      <alignment horizontal="left" vertical="center" wrapText="1" indent="1"/>
    </xf>
    <xf numFmtId="0" fontId="60" fillId="0" borderId="12" xfId="0" applyFont="1" applyFill="1" applyBorder="1" applyAlignment="1">
      <alignment horizontal="left" vertical="center" wrapText="1" indent="1"/>
    </xf>
    <xf numFmtId="3" fontId="62" fillId="7" borderId="55" xfId="0" applyNumberFormat="1" applyFont="1" applyFill="1" applyBorder="1" applyAlignment="1">
      <alignment horizontal="left" vertical="center" wrapText="1" indent="1"/>
    </xf>
    <xf numFmtId="3" fontId="60" fillId="0" borderId="2" xfId="0" applyNumberFormat="1" applyFont="1" applyBorder="1" applyAlignment="1">
      <alignment horizontal="left" vertical="top" indent="1"/>
    </xf>
    <xf numFmtId="0" fontId="60" fillId="0" borderId="2" xfId="0" applyFont="1" applyFill="1" applyBorder="1" applyAlignment="1">
      <alignment horizontal="left" vertical="center" indent="1"/>
    </xf>
    <xf numFmtId="38" fontId="53" fillId="0" borderId="128" xfId="0" applyNumberFormat="1" applyFont="1" applyFill="1" applyBorder="1" applyAlignment="1" applyProtection="1">
      <alignment horizontal="right" vertical="center"/>
      <protection locked="0"/>
    </xf>
    <xf numFmtId="38" fontId="52" fillId="6" borderId="156" xfId="0" applyNumberFormat="1" applyFont="1" applyFill="1" applyBorder="1" applyAlignment="1">
      <alignment horizontal="center" vertical="center" wrapText="1"/>
    </xf>
    <xf numFmtId="38" fontId="52" fillId="6" borderId="156" xfId="0" applyNumberFormat="1" applyFont="1" applyFill="1" applyBorder="1" applyAlignment="1">
      <alignment horizontal="center" vertical="top" wrapText="1"/>
    </xf>
    <xf numFmtId="38" fontId="62" fillId="6" borderId="156" xfId="0" applyNumberFormat="1" applyFont="1" applyFill="1" applyBorder="1" applyAlignment="1">
      <alignment horizontal="center" vertical="center" wrapText="1"/>
    </xf>
    <xf numFmtId="38" fontId="62" fillId="6" borderId="10" xfId="0" applyNumberFormat="1" applyFont="1" applyFill="1" applyBorder="1" applyAlignment="1">
      <alignment horizontal="center" vertical="center" wrapText="1"/>
    </xf>
    <xf numFmtId="0" fontId="52" fillId="0" borderId="2" xfId="9" applyFont="1" applyFill="1" applyBorder="1" applyAlignment="1">
      <alignment horizontal="center" vertical="center"/>
    </xf>
    <xf numFmtId="0" fontId="55" fillId="0" borderId="50" xfId="0" applyFont="1" applyBorder="1" applyAlignment="1">
      <alignment horizontal="left" wrapText="1"/>
    </xf>
    <xf numFmtId="0" fontId="92" fillId="0" borderId="0" xfId="0" applyFont="1" applyAlignment="1" applyProtection="1">
      <alignment horizontal="right"/>
    </xf>
    <xf numFmtId="0" fontId="92" fillId="0" borderId="0" xfId="0" applyFont="1" applyAlignment="1" applyProtection="1">
      <alignment horizontal="right" vertical="top"/>
    </xf>
    <xf numFmtId="0" fontId="5" fillId="0" borderId="0" xfId="17"/>
    <xf numFmtId="0" fontId="97" fillId="0" borderId="141" xfId="17" applyFont="1" applyBorder="1" applyAlignment="1">
      <alignment horizontal="left" vertical="top"/>
    </xf>
    <xf numFmtId="0" fontId="124" fillId="0" borderId="142" xfId="17" applyFont="1" applyBorder="1" applyAlignment="1">
      <alignment horizontal="center" vertical="top"/>
    </xf>
    <xf numFmtId="0" fontId="124" fillId="0" borderId="143" xfId="17" applyFont="1" applyBorder="1" applyAlignment="1">
      <alignment horizontal="center" vertical="top"/>
    </xf>
    <xf numFmtId="0" fontId="125" fillId="0" borderId="96" xfId="17" applyFont="1" applyBorder="1" applyAlignment="1">
      <alignment vertical="top"/>
    </xf>
    <xf numFmtId="0" fontId="125" fillId="0" borderId="0" xfId="17" applyFont="1" applyBorder="1" applyAlignment="1">
      <alignment vertical="top"/>
    </xf>
    <xf numFmtId="0" fontId="125" fillId="0" borderId="97" xfId="17" applyFont="1" applyBorder="1" applyAlignment="1">
      <alignment vertical="top"/>
    </xf>
    <xf numFmtId="38" fontId="5" fillId="23" borderId="158" xfId="17" applyNumberFormat="1" applyFill="1" applyBorder="1" applyAlignment="1">
      <alignment horizontal="right" vertical="top"/>
    </xf>
    <xf numFmtId="38" fontId="5" fillId="23" borderId="159" xfId="17" applyNumberFormat="1" applyFill="1" applyBorder="1" applyAlignment="1">
      <alignment horizontal="right" vertical="top"/>
    </xf>
    <xf numFmtId="0" fontId="5" fillId="0" borderId="0" xfId="17" applyAlignment="1">
      <alignment horizontal="left" vertical="top" wrapText="1"/>
    </xf>
    <xf numFmtId="0" fontId="5" fillId="0" borderId="0" xfId="17" applyAlignment="1">
      <alignment vertical="top"/>
    </xf>
    <xf numFmtId="38" fontId="5" fillId="0" borderId="0" xfId="17" applyNumberFormat="1" applyAlignment="1">
      <alignment horizontal="right" vertical="top"/>
    </xf>
    <xf numFmtId="0" fontId="5" fillId="0" borderId="0" xfId="17" applyAlignment="1">
      <alignment horizontal="center" vertical="top" wrapText="1"/>
    </xf>
    <xf numFmtId="0" fontId="123" fillId="24" borderId="157" xfId="17" applyFont="1" applyFill="1" applyBorder="1" applyAlignment="1">
      <alignment horizontal="center" vertical="center" wrapText="1"/>
    </xf>
    <xf numFmtId="38" fontId="123" fillId="24" borderId="157" xfId="17" applyNumberFormat="1" applyFont="1" applyFill="1" applyBorder="1" applyAlignment="1">
      <alignment horizontal="center" vertical="center" wrapText="1"/>
    </xf>
    <xf numFmtId="3" fontId="53" fillId="24" borderId="132" xfId="0" applyNumberFormat="1" applyFont="1" applyFill="1" applyBorder="1" applyAlignment="1">
      <alignment horizontal="center"/>
    </xf>
    <xf numFmtId="3" fontId="53" fillId="24" borderId="132" xfId="0" applyNumberFormat="1" applyFont="1" applyFill="1" applyBorder="1" applyAlignment="1">
      <alignment horizontal="right"/>
    </xf>
    <xf numFmtId="3" fontId="53" fillId="24" borderId="133" xfId="0" applyNumberFormat="1" applyFont="1" applyFill="1" applyBorder="1" applyAlignment="1">
      <alignment horizontal="center"/>
    </xf>
    <xf numFmtId="38" fontId="53" fillId="24" borderId="19" xfId="0" applyNumberFormat="1" applyFont="1" applyFill="1" applyBorder="1" applyAlignment="1">
      <alignment horizontal="right"/>
    </xf>
    <xf numFmtId="38" fontId="53" fillId="24" borderId="20" xfId="0" applyNumberFormat="1" applyFont="1" applyFill="1" applyBorder="1" applyAlignment="1">
      <alignment horizontal="right"/>
    </xf>
    <xf numFmtId="38" fontId="53" fillId="24" borderId="11" xfId="0" applyNumberFormat="1" applyFont="1" applyFill="1" applyBorder="1" applyAlignment="1">
      <alignment horizontal="right"/>
    </xf>
    <xf numFmtId="3" fontId="63" fillId="24" borderId="126" xfId="0" applyNumberFormat="1" applyFont="1" applyFill="1" applyBorder="1" applyAlignment="1">
      <alignment horizontal="center" vertical="center" wrapText="1"/>
    </xf>
    <xf numFmtId="49" fontId="60" fillId="24" borderId="11" xfId="0" applyNumberFormat="1" applyFont="1" applyFill="1" applyBorder="1" applyAlignment="1">
      <alignment horizontal="center" vertical="center"/>
    </xf>
    <xf numFmtId="38" fontId="53" fillId="24" borderId="13" xfId="0" applyNumberFormat="1" applyFont="1" applyFill="1" applyBorder="1" applyAlignment="1">
      <alignment horizontal="right"/>
    </xf>
    <xf numFmtId="38" fontId="53" fillId="24" borderId="21" xfId="0" applyNumberFormat="1" applyFont="1" applyFill="1" applyBorder="1" applyAlignment="1">
      <alignment horizontal="right"/>
    </xf>
    <xf numFmtId="38" fontId="53" fillId="24" borderId="14" xfId="0" applyNumberFormat="1" applyFont="1" applyFill="1" applyBorder="1" applyAlignment="1">
      <alignment horizontal="right"/>
    </xf>
    <xf numFmtId="38" fontId="52" fillId="24" borderId="13" xfId="0" applyNumberFormat="1" applyFont="1" applyFill="1" applyBorder="1" applyAlignment="1" applyProtection="1">
      <alignment horizontal="right"/>
    </xf>
    <xf numFmtId="38" fontId="52" fillId="24" borderId="21" xfId="0" applyNumberFormat="1" applyFont="1" applyFill="1" applyBorder="1" applyAlignment="1" applyProtection="1">
      <alignment horizontal="right"/>
    </xf>
    <xf numFmtId="38" fontId="52" fillId="24" borderId="21" xfId="1" applyNumberFormat="1" applyFont="1" applyFill="1" applyBorder="1" applyAlignment="1" applyProtection="1">
      <alignment horizontal="right"/>
    </xf>
    <xf numFmtId="38" fontId="52" fillId="24" borderId="14" xfId="0" applyNumberFormat="1" applyFont="1" applyFill="1" applyBorder="1" applyAlignment="1" applyProtection="1">
      <alignment horizontal="right"/>
    </xf>
    <xf numFmtId="38" fontId="53" fillId="24" borderId="19" xfId="0" applyNumberFormat="1" applyFont="1" applyFill="1" applyBorder="1" applyAlignment="1" applyProtection="1">
      <alignment horizontal="right"/>
    </xf>
    <xf numFmtId="38" fontId="53" fillId="24" borderId="20" xfId="0" applyNumberFormat="1" applyFont="1" applyFill="1" applyBorder="1" applyAlignment="1" applyProtection="1">
      <alignment horizontal="right"/>
    </xf>
    <xf numFmtId="38" fontId="53" fillId="24" borderId="21" xfId="0" applyNumberFormat="1" applyFont="1" applyFill="1" applyBorder="1" applyAlignment="1" applyProtection="1">
      <alignment horizontal="right"/>
    </xf>
    <xf numFmtId="38" fontId="53" fillId="24" borderId="14" xfId="0" applyNumberFormat="1" applyFont="1" applyFill="1" applyBorder="1" applyAlignment="1" applyProtection="1">
      <alignment horizontal="right"/>
    </xf>
    <xf numFmtId="0" fontId="55" fillId="24" borderId="31" xfId="0" applyFont="1" applyFill="1" applyBorder="1" applyAlignment="1">
      <alignment horizontal="center" vertical="center"/>
    </xf>
    <xf numFmtId="38" fontId="53" fillId="24" borderId="13" xfId="0" applyNumberFormat="1" applyFont="1" applyFill="1" applyBorder="1" applyAlignment="1" applyProtection="1">
      <alignment horizontal="right"/>
    </xf>
    <xf numFmtId="38" fontId="53" fillId="24" borderId="11" xfId="0" applyNumberFormat="1" applyFont="1" applyFill="1" applyBorder="1" applyAlignment="1" applyProtection="1">
      <alignment horizontal="right"/>
    </xf>
    <xf numFmtId="38" fontId="53" fillId="24" borderId="49" xfId="0" applyNumberFormat="1" applyFont="1" applyFill="1" applyBorder="1" applyAlignment="1" applyProtection="1">
      <alignment horizontal="right"/>
    </xf>
    <xf numFmtId="38" fontId="53" fillId="24" borderId="34" xfId="0" applyNumberFormat="1" applyFont="1" applyFill="1" applyBorder="1" applyAlignment="1" applyProtection="1">
      <alignment horizontal="right"/>
    </xf>
    <xf numFmtId="38" fontId="53" fillId="24" borderId="31" xfId="0" applyNumberFormat="1" applyFont="1" applyFill="1" applyBorder="1" applyAlignment="1" applyProtection="1">
      <alignment horizontal="right"/>
    </xf>
    <xf numFmtId="3" fontId="52" fillId="24" borderId="13" xfId="0" applyNumberFormat="1" applyFont="1" applyFill="1" applyBorder="1" applyAlignment="1" applyProtection="1">
      <alignment horizontal="right" vertical="center"/>
    </xf>
    <xf numFmtId="3" fontId="52" fillId="24" borderId="21" xfId="0" applyNumberFormat="1" applyFont="1" applyFill="1" applyBorder="1" applyAlignment="1" applyProtection="1">
      <alignment horizontal="right" vertical="center"/>
    </xf>
    <xf numFmtId="3" fontId="52" fillId="24" borderId="14" xfId="0" applyNumberFormat="1" applyFont="1" applyFill="1" applyBorder="1" applyAlignment="1" applyProtection="1">
      <alignment horizontal="right" vertical="center"/>
    </xf>
    <xf numFmtId="0" fontId="62" fillId="18" borderId="14" xfId="0" applyFont="1" applyFill="1" applyBorder="1" applyAlignment="1" applyProtection="1">
      <alignment horizontal="left" vertical="center"/>
    </xf>
    <xf numFmtId="0" fontId="62" fillId="18" borderId="2" xfId="0" applyFont="1" applyFill="1" applyBorder="1" applyAlignment="1" applyProtection="1">
      <alignment horizontal="center" vertical="top"/>
    </xf>
    <xf numFmtId="0" fontId="62" fillId="18" borderId="2" xfId="0" applyFont="1" applyFill="1" applyBorder="1" applyAlignment="1" applyProtection="1">
      <alignment horizontal="center" vertical="center"/>
    </xf>
    <xf numFmtId="3" fontId="52" fillId="24" borderId="13" xfId="0" applyNumberFormat="1" applyFont="1" applyFill="1" applyBorder="1" applyAlignment="1" applyProtection="1">
      <alignment horizontal="center" vertical="center"/>
    </xf>
    <xf numFmtId="49" fontId="62" fillId="24" borderId="21" xfId="0" applyNumberFormat="1" applyFont="1" applyFill="1" applyBorder="1" applyAlignment="1" applyProtection="1">
      <alignment horizontal="center" vertical="center"/>
    </xf>
    <xf numFmtId="3" fontId="53" fillId="24" borderId="21" xfId="0" applyNumberFormat="1" applyFont="1" applyFill="1" applyBorder="1" applyAlignment="1" applyProtection="1">
      <alignment horizontal="center"/>
    </xf>
    <xf numFmtId="3" fontId="55" fillId="24" borderId="21" xfId="0" applyNumberFormat="1" applyFont="1" applyFill="1" applyBorder="1" applyAlignment="1" applyProtection="1">
      <alignment horizontal="center"/>
    </xf>
    <xf numFmtId="38" fontId="55" fillId="24" borderId="21" xfId="0" applyNumberFormat="1" applyFont="1" applyFill="1" applyBorder="1" applyAlignment="1" applyProtection="1">
      <alignment horizontal="center"/>
    </xf>
    <xf numFmtId="3" fontId="55" fillId="24" borderId="14" xfId="0" applyNumberFormat="1" applyFont="1" applyFill="1" applyBorder="1" applyAlignment="1" applyProtection="1">
      <alignment horizontal="center"/>
    </xf>
    <xf numFmtId="0" fontId="52" fillId="24" borderId="49" xfId="0" applyFont="1" applyFill="1" applyBorder="1" applyAlignment="1" applyProtection="1">
      <alignment horizontal="center" vertical="center" wrapText="1"/>
    </xf>
    <xf numFmtId="0" fontId="53" fillId="24" borderId="34" xfId="0" applyFont="1" applyFill="1" applyBorder="1" applyAlignment="1">
      <alignment horizontal="center" vertical="center" wrapText="1"/>
    </xf>
    <xf numFmtId="164" fontId="52" fillId="24" borderId="49" xfId="0" applyNumberFormat="1" applyFont="1" applyFill="1" applyBorder="1" applyAlignment="1" applyProtection="1">
      <alignment horizontal="center" vertical="center" wrapText="1"/>
    </xf>
    <xf numFmtId="0" fontId="55" fillId="24" borderId="31" xfId="0" applyFont="1" applyFill="1" applyBorder="1" applyAlignment="1">
      <alignment horizontal="center" vertical="center" wrapText="1"/>
    </xf>
    <xf numFmtId="164" fontId="52" fillId="24" borderId="49" xfId="0" applyNumberFormat="1" applyFont="1" applyFill="1" applyBorder="1" applyAlignment="1" applyProtection="1">
      <alignment horizontal="center" vertical="center"/>
    </xf>
    <xf numFmtId="3" fontId="62" fillId="18" borderId="20" xfId="0" applyNumberFormat="1" applyFont="1" applyFill="1" applyBorder="1" applyAlignment="1" applyProtection="1">
      <alignment horizontal="left" vertical="center"/>
    </xf>
    <xf numFmtId="0" fontId="62" fillId="18" borderId="2" xfId="0" applyFont="1" applyFill="1" applyBorder="1" applyAlignment="1">
      <alignment horizontal="center" vertical="center"/>
    </xf>
    <xf numFmtId="164" fontId="62" fillId="18" borderId="20" xfId="0" applyNumberFormat="1" applyFont="1" applyFill="1" applyBorder="1" applyAlignment="1" applyProtection="1">
      <alignment horizontal="left" vertical="center"/>
    </xf>
    <xf numFmtId="0" fontId="62" fillId="18" borderId="29" xfId="0" applyFont="1" applyFill="1" applyBorder="1" applyAlignment="1" applyProtection="1">
      <alignment horizontal="center" vertical="center"/>
    </xf>
    <xf numFmtId="0" fontId="62" fillId="18" borderId="128" xfId="0" applyFont="1" applyFill="1" applyBorder="1" applyAlignment="1" applyProtection="1">
      <alignment horizontal="center" vertical="center"/>
    </xf>
    <xf numFmtId="164" fontId="62" fillId="18" borderId="21" xfId="0" applyNumberFormat="1" applyFont="1" applyFill="1" applyBorder="1" applyAlignment="1" applyProtection="1">
      <alignment horizontal="left" vertical="center"/>
    </xf>
    <xf numFmtId="0" fontId="62" fillId="18" borderId="14" xfId="0" applyFont="1" applyFill="1" applyBorder="1" applyAlignment="1" applyProtection="1">
      <alignment horizontal="center" vertical="center"/>
    </xf>
    <xf numFmtId="0" fontId="62" fillId="18" borderId="31" xfId="0" applyFont="1" applyFill="1" applyBorder="1" applyAlignment="1" applyProtection="1">
      <alignment horizontal="center" vertical="center"/>
    </xf>
    <xf numFmtId="164" fontId="62" fillId="16" borderId="21" xfId="0" applyNumberFormat="1" applyFont="1" applyFill="1" applyBorder="1" applyAlignment="1" applyProtection="1">
      <alignment horizontal="left" vertical="center" indent="1"/>
    </xf>
    <xf numFmtId="0" fontId="60" fillId="16" borderId="14" xfId="0" applyFont="1" applyFill="1" applyBorder="1" applyAlignment="1" applyProtection="1">
      <alignment horizontal="center" vertical="center"/>
    </xf>
    <xf numFmtId="164" fontId="62" fillId="16" borderId="20" xfId="0" applyNumberFormat="1" applyFont="1" applyFill="1" applyBorder="1" applyAlignment="1" applyProtection="1">
      <alignment horizontal="left" vertical="center" indent="1"/>
    </xf>
    <xf numFmtId="1" fontId="60" fillId="16" borderId="11" xfId="0" applyNumberFormat="1" applyFont="1" applyFill="1" applyBorder="1" applyAlignment="1" applyProtection="1">
      <alignment horizontal="center" vertical="center"/>
    </xf>
    <xf numFmtId="1" fontId="60" fillId="16" borderId="4" xfId="0" applyNumberFormat="1" applyFont="1" applyFill="1" applyBorder="1" applyAlignment="1" applyProtection="1">
      <alignment horizontal="center" vertical="center"/>
    </xf>
    <xf numFmtId="0" fontId="62" fillId="16" borderId="21" xfId="0" applyFont="1" applyFill="1" applyBorder="1" applyAlignment="1">
      <alignment horizontal="left" vertical="center" indent="1"/>
    </xf>
    <xf numFmtId="0" fontId="60" fillId="16" borderId="14" xfId="0" applyFont="1" applyFill="1" applyBorder="1" applyAlignment="1">
      <alignment horizontal="left" vertical="center"/>
    </xf>
    <xf numFmtId="0" fontId="60" fillId="16" borderId="11" xfId="0" applyFont="1" applyFill="1" applyBorder="1" applyAlignment="1" applyProtection="1">
      <alignment horizontal="center" vertical="center"/>
    </xf>
    <xf numFmtId="3" fontId="62" fillId="18" borderId="126" xfId="0" applyNumberFormat="1" applyFont="1" applyFill="1" applyBorder="1" applyAlignment="1">
      <alignment horizontal="left" vertical="center" wrapText="1"/>
    </xf>
    <xf numFmtId="49" fontId="62" fillId="18" borderId="128" xfId="0" applyNumberFormat="1" applyFont="1" applyFill="1" applyBorder="1" applyAlignment="1">
      <alignment horizontal="center" vertical="center"/>
    </xf>
    <xf numFmtId="0" fontId="62" fillId="18" borderId="17" xfId="0" applyFont="1" applyFill="1" applyBorder="1" applyAlignment="1">
      <alignment horizontal="left" vertical="center" wrapText="1"/>
    </xf>
    <xf numFmtId="49" fontId="62" fillId="18" borderId="29" xfId="0" applyNumberFormat="1" applyFont="1" applyFill="1" applyBorder="1" applyAlignment="1">
      <alignment horizontal="center" vertical="center"/>
    </xf>
    <xf numFmtId="3" fontId="62" fillId="18" borderId="33" xfId="0" applyNumberFormat="1" applyFont="1" applyFill="1" applyBorder="1" applyAlignment="1">
      <alignment horizontal="left" vertical="center" wrapText="1"/>
    </xf>
    <xf numFmtId="49" fontId="62" fillId="18" borderId="33" xfId="0" applyNumberFormat="1" applyFont="1" applyFill="1" applyBorder="1" applyAlignment="1">
      <alignment horizontal="center" vertical="center"/>
    </xf>
    <xf numFmtId="164" fontId="62" fillId="18" borderId="126" xfId="0" applyNumberFormat="1" applyFont="1" applyFill="1" applyBorder="1" applyAlignment="1">
      <alignment horizontal="left" vertical="center" wrapText="1"/>
    </xf>
    <xf numFmtId="49" fontId="62" fillId="18" borderId="4" xfId="0" applyNumberFormat="1" applyFont="1" applyFill="1" applyBorder="1" applyAlignment="1">
      <alignment horizontal="center" vertical="center"/>
    </xf>
    <xf numFmtId="3" fontId="62" fillId="18" borderId="13" xfId="0" applyNumberFormat="1" applyFont="1" applyFill="1" applyBorder="1" applyAlignment="1">
      <alignment horizontal="left" vertical="center" wrapText="1"/>
    </xf>
    <xf numFmtId="49" fontId="62" fillId="18" borderId="2" xfId="0" applyNumberFormat="1" applyFont="1" applyFill="1" applyBorder="1" applyAlignment="1">
      <alignment horizontal="center" vertical="center"/>
    </xf>
    <xf numFmtId="164" fontId="62" fillId="18" borderId="17" xfId="0" applyNumberFormat="1" applyFont="1" applyFill="1" applyBorder="1" applyAlignment="1">
      <alignment horizontal="left" vertical="center" wrapText="1"/>
    </xf>
    <xf numFmtId="0" fontId="62" fillId="18" borderId="36" xfId="0" applyFont="1" applyFill="1" applyBorder="1" applyAlignment="1">
      <alignment horizontal="left" vertical="center" wrapText="1"/>
    </xf>
    <xf numFmtId="49" fontId="62" fillId="18" borderId="27" xfId="0" applyNumberFormat="1" applyFont="1" applyFill="1" applyBorder="1" applyAlignment="1">
      <alignment horizontal="center" vertical="center"/>
    </xf>
    <xf numFmtId="3" fontId="62" fillId="18" borderId="37" xfId="0" applyNumberFormat="1" applyFont="1" applyFill="1" applyBorder="1" applyAlignment="1">
      <alignment horizontal="left" vertical="center" wrapText="1"/>
    </xf>
    <xf numFmtId="0" fontId="62" fillId="18" borderId="13" xfId="0" applyFont="1" applyFill="1" applyBorder="1" applyAlignment="1">
      <alignment horizontal="left" vertical="center" wrapText="1"/>
    </xf>
    <xf numFmtId="49" fontId="62" fillId="18" borderId="14" xfId="0" applyNumberFormat="1" applyFont="1" applyFill="1" applyBorder="1" applyAlignment="1">
      <alignment horizontal="center" vertical="center"/>
    </xf>
    <xf numFmtId="0" fontId="62" fillId="18" borderId="37" xfId="0" applyFont="1" applyFill="1" applyBorder="1" applyAlignment="1">
      <alignment horizontal="left" vertical="center" wrapText="1"/>
    </xf>
    <xf numFmtId="164" fontId="62" fillId="18" borderId="13" xfId="0" applyNumberFormat="1" applyFont="1" applyFill="1" applyBorder="1" applyAlignment="1">
      <alignment horizontal="left" vertical="center" wrapText="1"/>
    </xf>
    <xf numFmtId="0" fontId="62" fillId="18" borderId="128" xfId="0" applyFont="1" applyFill="1" applyBorder="1" applyAlignment="1">
      <alignment horizontal="left" vertical="center" wrapText="1"/>
    </xf>
    <xf numFmtId="3" fontId="62" fillId="18" borderId="128" xfId="0" applyNumberFormat="1" applyFont="1" applyFill="1" applyBorder="1" applyAlignment="1">
      <alignment horizontal="left" vertical="center" wrapText="1"/>
    </xf>
    <xf numFmtId="38" fontId="53" fillId="25" borderId="19" xfId="0" applyNumberFormat="1" applyFont="1" applyFill="1" applyBorder="1" applyAlignment="1">
      <alignment horizontal="right"/>
    </xf>
    <xf numFmtId="38" fontId="53" fillId="25" borderId="20" xfId="0" applyNumberFormat="1" applyFont="1" applyFill="1" applyBorder="1" applyAlignment="1">
      <alignment horizontal="right"/>
    </xf>
    <xf numFmtId="38" fontId="53" fillId="25" borderId="11" xfId="0" applyNumberFormat="1" applyFont="1" applyFill="1" applyBorder="1" applyAlignment="1">
      <alignment horizontal="right"/>
    </xf>
    <xf numFmtId="0" fontId="62" fillId="18" borderId="50" xfId="0" applyFont="1" applyFill="1" applyBorder="1" applyAlignment="1" applyProtection="1">
      <alignment horizontal="left" vertical="center"/>
    </xf>
    <xf numFmtId="0" fontId="62" fillId="18" borderId="22" xfId="0" applyFont="1" applyFill="1" applyBorder="1" applyAlignment="1" applyProtection="1">
      <alignment horizontal="center" vertical="center"/>
    </xf>
    <xf numFmtId="0" fontId="62" fillId="18" borderId="46" xfId="0" applyFont="1" applyFill="1" applyBorder="1" applyAlignment="1" applyProtection="1">
      <alignment horizontal="left" vertical="center"/>
    </xf>
    <xf numFmtId="0" fontId="62" fillId="18" borderId="46" xfId="0" applyFont="1" applyFill="1" applyBorder="1" applyAlignment="1" applyProtection="1">
      <alignment horizontal="left" vertical="center" wrapText="1"/>
    </xf>
    <xf numFmtId="0" fontId="62" fillId="18" borderId="46" xfId="0" applyFont="1" applyFill="1" applyBorder="1" applyAlignment="1" applyProtection="1">
      <alignment horizontal="left" vertical="center" indent="1"/>
    </xf>
    <xf numFmtId="0" fontId="63" fillId="24" borderId="13" xfId="0" applyFont="1" applyFill="1" applyBorder="1" applyAlignment="1">
      <alignment horizontal="left" vertical="center"/>
    </xf>
    <xf numFmtId="0" fontId="63" fillId="24" borderId="21" xfId="0" applyFont="1" applyFill="1" applyBorder="1" applyAlignment="1">
      <alignment horizontal="left" vertical="center"/>
    </xf>
    <xf numFmtId="0" fontId="63" fillId="24" borderId="14" xfId="0" applyFont="1" applyFill="1" applyBorder="1" applyAlignment="1">
      <alignment horizontal="left" vertical="center"/>
    </xf>
    <xf numFmtId="0" fontId="52" fillId="16" borderId="12" xfId="0" applyFont="1" applyFill="1" applyBorder="1" applyAlignment="1" applyProtection="1">
      <alignment vertical="center"/>
    </xf>
    <xf numFmtId="0" fontId="62" fillId="0" borderId="160" xfId="0" applyFont="1" applyBorder="1" applyAlignment="1">
      <alignment horizontal="centerContinuous" vertical="center"/>
    </xf>
    <xf numFmtId="0" fontId="53" fillId="0" borderId="161" xfId="0" applyFont="1" applyBorder="1" applyAlignment="1">
      <alignment horizontal="centerContinuous" vertical="center"/>
    </xf>
    <xf numFmtId="0" fontId="55" fillId="0" borderId="161" xfId="0" applyFont="1" applyBorder="1" applyAlignment="1">
      <alignment horizontal="centerContinuous" vertical="center"/>
    </xf>
    <xf numFmtId="0" fontId="62" fillId="0" borderId="105" xfId="0" applyFont="1" applyBorder="1" applyAlignment="1">
      <alignment horizontal="center"/>
    </xf>
    <xf numFmtId="0" fontId="55" fillId="24" borderId="16" xfId="3" applyFont="1" applyFill="1" applyBorder="1" applyAlignment="1">
      <alignment horizontal="left" vertical="center"/>
    </xf>
    <xf numFmtId="0" fontId="55" fillId="24" borderId="10" xfId="3" applyFont="1" applyFill="1" applyBorder="1" applyAlignment="1">
      <alignment horizontal="left" vertical="center"/>
    </xf>
    <xf numFmtId="0" fontId="55" fillId="24" borderId="19" xfId="3" applyNumberFormat="1" applyFont="1" applyFill="1" applyBorder="1" applyAlignment="1">
      <alignment vertical="center"/>
    </xf>
    <xf numFmtId="0" fontId="55" fillId="24" borderId="20" xfId="3" applyNumberFormat="1" applyFont="1" applyFill="1" applyBorder="1" applyAlignment="1">
      <alignment vertical="center"/>
    </xf>
    <xf numFmtId="0" fontId="55" fillId="24" borderId="11" xfId="3" applyNumberFormat="1" applyFont="1" applyFill="1" applyBorder="1" applyAlignment="1">
      <alignment vertical="center"/>
    </xf>
    <xf numFmtId="0" fontId="4" fillId="0" borderId="0" xfId="17" quotePrefix="1" applyNumberFormat="1" applyFont="1"/>
    <xf numFmtId="0" fontId="125" fillId="21" borderId="158" xfId="17" applyFont="1" applyFill="1" applyBorder="1" applyAlignment="1" applyProtection="1">
      <alignment horizontal="left" vertical="top" wrapText="1"/>
    </xf>
    <xf numFmtId="49" fontId="125" fillId="21" borderId="158" xfId="17" applyNumberFormat="1" applyFont="1" applyFill="1" applyBorder="1" applyAlignment="1" applyProtection="1">
      <alignment horizontal="center" vertical="top"/>
    </xf>
    <xf numFmtId="0" fontId="125" fillId="21" borderId="158" xfId="17" applyFont="1" applyFill="1" applyBorder="1" applyAlignment="1" applyProtection="1">
      <alignment vertical="top"/>
    </xf>
    <xf numFmtId="38" fontId="125" fillId="21" borderId="158" xfId="17" applyNumberFormat="1" applyFont="1" applyFill="1" applyBorder="1" applyAlignment="1" applyProtection="1">
      <alignment horizontal="right" vertical="top"/>
    </xf>
    <xf numFmtId="38" fontId="125" fillId="21" borderId="158" xfId="17" applyNumberFormat="1" applyFont="1" applyFill="1" applyBorder="1" applyAlignment="1" applyProtection="1">
      <alignment vertical="top"/>
    </xf>
    <xf numFmtId="0" fontId="5" fillId="0" borderId="158" xfId="17" applyBorder="1" applyAlignment="1" applyProtection="1">
      <alignment horizontal="left" vertical="top" wrapText="1"/>
      <protection locked="0"/>
    </xf>
    <xf numFmtId="0" fontId="5" fillId="0" borderId="158" xfId="17" applyBorder="1" applyAlignment="1" applyProtection="1">
      <alignment vertical="top"/>
      <protection locked="0"/>
    </xf>
    <xf numFmtId="0" fontId="4" fillId="0" borderId="158" xfId="17" applyFont="1" applyBorder="1" applyAlignment="1" applyProtection="1">
      <alignment horizontal="left" vertical="top" wrapText="1"/>
      <protection locked="0"/>
    </xf>
    <xf numFmtId="0" fontId="4" fillId="0" borderId="158" xfId="17" applyFont="1" applyBorder="1" applyAlignment="1" applyProtection="1">
      <alignment vertical="top"/>
      <protection locked="0"/>
    </xf>
    <xf numFmtId="0" fontId="5" fillId="0" borderId="0" xfId="17" applyAlignment="1">
      <alignment horizontal="center" vertical="center" wrapText="1"/>
    </xf>
    <xf numFmtId="0" fontId="3" fillId="0" borderId="0" xfId="17" applyFont="1" applyAlignment="1">
      <alignment horizontal="left" vertical="center" wrapText="1"/>
    </xf>
    <xf numFmtId="0" fontId="3" fillId="0" borderId="0" xfId="17" applyFont="1" applyAlignment="1">
      <alignment vertical="center"/>
    </xf>
    <xf numFmtId="0" fontId="5" fillId="0" borderId="0" xfId="17" applyAlignment="1">
      <alignment vertical="center"/>
    </xf>
    <xf numFmtId="0" fontId="125" fillId="0" borderId="98" xfId="17" applyFont="1" applyBorder="1" applyAlignment="1">
      <alignment horizontal="left" vertical="top"/>
    </xf>
    <xf numFmtId="0" fontId="125" fillId="0" borderId="78" xfId="17" applyFont="1" applyBorder="1" applyAlignment="1">
      <alignment horizontal="left" vertical="top"/>
    </xf>
    <xf numFmtId="0" fontId="125" fillId="0" borderId="99" xfId="17" applyFont="1" applyBorder="1" applyAlignment="1">
      <alignment horizontal="left" vertical="top"/>
    </xf>
    <xf numFmtId="0" fontId="31" fillId="0" borderId="0" xfId="2" applyNumberFormat="1" applyAlignment="1" applyProtection="1">
      <alignment vertical="center"/>
    </xf>
    <xf numFmtId="0" fontId="62" fillId="0" borderId="5" xfId="3" applyFont="1" applyFill="1" applyBorder="1" applyAlignment="1" applyProtection="1"/>
    <xf numFmtId="49" fontId="5" fillId="0" borderId="158" xfId="17" applyNumberFormat="1" applyBorder="1" applyAlignment="1" applyProtection="1">
      <alignment horizontal="center" vertical="center"/>
      <protection locked="0"/>
    </xf>
    <xf numFmtId="49" fontId="3" fillId="0" borderId="158" xfId="17" applyNumberFormat="1" applyFont="1" applyBorder="1" applyAlignment="1" applyProtection="1">
      <alignment horizontal="center" vertical="center"/>
      <protection locked="0"/>
    </xf>
    <xf numFmtId="3" fontId="62" fillId="17" borderId="36" xfId="0" applyNumberFormat="1" applyFont="1" applyFill="1" applyBorder="1" applyAlignment="1">
      <alignment horizontal="left" vertical="center" wrapText="1" indent="1"/>
    </xf>
    <xf numFmtId="49" fontId="62" fillId="17" borderId="27" xfId="0" applyNumberFormat="1" applyFont="1" applyFill="1" applyBorder="1" applyAlignment="1">
      <alignment horizontal="center" vertical="center"/>
    </xf>
    <xf numFmtId="38" fontId="53" fillId="17" borderId="27" xfId="0" applyNumberFormat="1" applyFont="1" applyFill="1" applyBorder="1" applyAlignment="1">
      <alignment horizontal="right"/>
    </xf>
    <xf numFmtId="38" fontId="53" fillId="17" borderId="2" xfId="0" applyNumberFormat="1" applyFont="1" applyFill="1" applyBorder="1" applyAlignment="1">
      <alignment horizontal="right"/>
    </xf>
    <xf numFmtId="38" fontId="53" fillId="17" borderId="4" xfId="0" applyNumberFormat="1" applyFont="1" applyFill="1" applyBorder="1" applyAlignment="1">
      <alignment horizontal="right"/>
    </xf>
    <xf numFmtId="49" fontId="62" fillId="17" borderId="36" xfId="0" applyNumberFormat="1" applyFont="1" applyFill="1" applyBorder="1" applyAlignment="1">
      <alignment horizontal="center" vertical="center"/>
    </xf>
    <xf numFmtId="38" fontId="53" fillId="17" borderId="30" xfId="0" applyNumberFormat="1" applyFont="1" applyFill="1" applyBorder="1" applyAlignment="1">
      <alignment horizontal="right"/>
    </xf>
    <xf numFmtId="49" fontId="62" fillId="17" borderId="30" xfId="0" applyNumberFormat="1" applyFont="1" applyFill="1" applyBorder="1" applyAlignment="1">
      <alignment horizontal="center" vertical="center"/>
    </xf>
    <xf numFmtId="0" fontId="62" fillId="17" borderId="32" xfId="0" applyNumberFormat="1" applyFont="1" applyFill="1" applyBorder="1" applyAlignment="1">
      <alignment horizontal="center" vertical="center"/>
    </xf>
    <xf numFmtId="38" fontId="53" fillId="17" borderId="32" xfId="0" applyNumberFormat="1" applyFont="1" applyFill="1" applyBorder="1" applyAlignment="1">
      <alignment horizontal="right"/>
    </xf>
    <xf numFmtId="0" fontId="62" fillId="17" borderId="27" xfId="0" applyFont="1" applyFill="1" applyBorder="1" applyAlignment="1">
      <alignment horizontal="center" vertical="center"/>
    </xf>
    <xf numFmtId="38" fontId="53" fillId="17" borderId="33" xfId="0" applyNumberFormat="1" applyFont="1" applyFill="1" applyBorder="1" applyAlignment="1">
      <alignment horizontal="right"/>
    </xf>
    <xf numFmtId="3" fontId="62" fillId="17" borderId="27" xfId="0" applyNumberFormat="1" applyFont="1" applyFill="1" applyBorder="1" applyAlignment="1">
      <alignment horizontal="left" vertical="center" indent="1"/>
    </xf>
    <xf numFmtId="0" fontId="62" fillId="17" borderId="27" xfId="0" applyFont="1" applyFill="1" applyBorder="1" applyAlignment="1">
      <alignment horizontal="center" vertical="top"/>
    </xf>
    <xf numFmtId="0" fontId="55" fillId="17" borderId="30" xfId="0" applyFont="1" applyFill="1" applyBorder="1" applyAlignment="1">
      <alignment horizontal="left" vertical="center" indent="1"/>
    </xf>
    <xf numFmtId="38" fontId="53" fillId="17" borderId="26" xfId="0" applyNumberFormat="1" applyFont="1" applyFill="1" applyBorder="1" applyAlignment="1">
      <alignment horizontal="right"/>
    </xf>
    <xf numFmtId="38" fontId="53" fillId="17" borderId="28" xfId="0" applyNumberFormat="1" applyFont="1" applyFill="1" applyBorder="1" applyAlignment="1">
      <alignment horizontal="right"/>
    </xf>
    <xf numFmtId="38" fontId="53" fillId="17" borderId="29" xfId="0" applyNumberFormat="1" applyFont="1" applyFill="1" applyBorder="1" applyAlignment="1">
      <alignment horizontal="right"/>
    </xf>
    <xf numFmtId="3" fontId="62" fillId="17" borderId="55" xfId="0" applyNumberFormat="1" applyFont="1" applyFill="1" applyBorder="1" applyAlignment="1">
      <alignment horizontal="left" vertical="center" wrapText="1" indent="1"/>
    </xf>
    <xf numFmtId="49" fontId="62" fillId="17" borderId="32" xfId="0" applyNumberFormat="1" applyFont="1" applyFill="1" applyBorder="1" applyAlignment="1">
      <alignment horizontal="center" vertical="center"/>
    </xf>
    <xf numFmtId="38" fontId="53" fillId="17" borderId="27" xfId="0" applyNumberFormat="1" applyFont="1" applyFill="1" applyBorder="1" applyAlignment="1" applyProtection="1">
      <alignment horizontal="right"/>
    </xf>
    <xf numFmtId="3" fontId="62" fillId="17" borderId="55" xfId="0" applyNumberFormat="1" applyFont="1" applyFill="1" applyBorder="1" applyAlignment="1">
      <alignment horizontal="left" vertical="top" wrapText="1" indent="1"/>
    </xf>
    <xf numFmtId="49" fontId="60" fillId="17" borderId="51" xfId="0" applyNumberFormat="1" applyFont="1" applyFill="1" applyBorder="1" applyAlignment="1">
      <alignment horizontal="center" vertical="top"/>
    </xf>
    <xf numFmtId="3" fontId="62" fillId="17" borderId="27" xfId="0" applyNumberFormat="1" applyFont="1" applyFill="1" applyBorder="1" applyAlignment="1">
      <alignment horizontal="left" vertical="center" wrapText="1" indent="1"/>
    </xf>
    <xf numFmtId="3" fontId="62" fillId="17" borderId="36" xfId="0" applyNumberFormat="1" applyFont="1" applyFill="1" applyBorder="1" applyAlignment="1">
      <alignment horizontal="left" vertical="top" wrapText="1" indent="1"/>
    </xf>
    <xf numFmtId="0" fontId="60" fillId="17" borderId="30" xfId="0" applyFont="1" applyFill="1" applyBorder="1" applyAlignment="1">
      <alignment vertical="top"/>
    </xf>
    <xf numFmtId="3" fontId="62" fillId="17" borderId="36" xfId="0" applyNumberFormat="1" applyFont="1" applyFill="1" applyBorder="1" applyAlignment="1">
      <alignment horizontal="left" vertical="center" indent="1"/>
    </xf>
    <xf numFmtId="0" fontId="62" fillId="17" borderId="30" xfId="0" applyFont="1" applyFill="1" applyBorder="1" applyAlignment="1">
      <alignment horizontal="center" vertical="center"/>
    </xf>
    <xf numFmtId="0" fontId="62" fillId="17" borderId="27" xfId="0" applyFont="1" applyFill="1" applyBorder="1" applyAlignment="1">
      <alignment horizontal="center" vertical="center" wrapText="1"/>
    </xf>
    <xf numFmtId="49" fontId="62" fillId="17" borderId="27" xfId="0" applyNumberFormat="1" applyFont="1" applyFill="1" applyBorder="1" applyAlignment="1">
      <alignment horizontal="center" vertical="top" wrapText="1"/>
    </xf>
    <xf numFmtId="3" fontId="62" fillId="17" borderId="36" xfId="0" applyNumberFormat="1" applyFont="1" applyFill="1" applyBorder="1" applyAlignment="1">
      <alignment horizontal="left" vertical="top" indent="1"/>
    </xf>
    <xf numFmtId="38" fontId="53" fillId="17" borderId="3" xfId="0" applyNumberFormat="1" applyFont="1" applyFill="1" applyBorder="1" applyAlignment="1">
      <alignment horizontal="right"/>
    </xf>
    <xf numFmtId="0" fontId="62" fillId="17" borderId="36" xfId="0" applyFont="1" applyFill="1" applyBorder="1" applyAlignment="1">
      <alignment horizontal="left" vertical="center" wrapText="1" indent="1"/>
    </xf>
    <xf numFmtId="49" fontId="60" fillId="17" borderId="51" xfId="0" applyNumberFormat="1" applyFont="1" applyFill="1" applyBorder="1" applyAlignment="1">
      <alignment horizontal="center" vertical="center"/>
    </xf>
    <xf numFmtId="38" fontId="53" fillId="17" borderId="33" xfId="0" applyNumberFormat="1" applyFont="1" applyFill="1" applyBorder="1" applyAlignment="1" applyProtection="1">
      <alignment horizontal="right"/>
    </xf>
    <xf numFmtId="38" fontId="53" fillId="17" borderId="32" xfId="0" applyNumberFormat="1" applyFont="1" applyFill="1" applyBorder="1" applyAlignment="1" applyProtection="1">
      <alignment horizontal="right"/>
    </xf>
    <xf numFmtId="0" fontId="60" fillId="17" borderId="30" xfId="0" applyFont="1" applyFill="1" applyBorder="1" applyAlignment="1">
      <alignment horizontal="left" vertical="top" wrapText="1" indent="1"/>
    </xf>
    <xf numFmtId="0" fontId="62" fillId="17" borderId="35" xfId="0" applyFont="1" applyFill="1" applyBorder="1" applyAlignment="1" applyProtection="1">
      <alignment horizontal="left" vertical="center" wrapText="1" indent="1"/>
    </xf>
    <xf numFmtId="0" fontId="60" fillId="17" borderId="30" xfId="0" applyFont="1" applyFill="1" applyBorder="1" applyAlignment="1" applyProtection="1">
      <alignment horizontal="left" vertical="center"/>
    </xf>
    <xf numFmtId="38" fontId="53" fillId="17" borderId="36" xfId="0" applyNumberFormat="1" applyFont="1" applyFill="1" applyBorder="1" applyAlignment="1" applyProtection="1">
      <alignment horizontal="right"/>
    </xf>
    <xf numFmtId="0" fontId="62" fillId="17" borderId="35" xfId="0" applyFont="1" applyFill="1" applyBorder="1" applyAlignment="1" applyProtection="1">
      <alignment horizontal="left" vertical="center" indent="1"/>
    </xf>
    <xf numFmtId="0" fontId="60" fillId="17" borderId="30" xfId="0" applyFont="1" applyFill="1" applyBorder="1" applyAlignment="1" applyProtection="1">
      <alignment horizontal="center" vertical="center"/>
    </xf>
    <xf numFmtId="37" fontId="53" fillId="17" borderId="36" xfId="0" applyNumberFormat="1" applyFont="1" applyFill="1" applyBorder="1" applyAlignment="1" applyProtection="1">
      <alignment horizontal="right"/>
    </xf>
    <xf numFmtId="37" fontId="53" fillId="17" borderId="27" xfId="0" applyNumberFormat="1" applyFont="1" applyFill="1" applyBorder="1" applyAlignment="1" applyProtection="1">
      <alignment horizontal="right"/>
    </xf>
    <xf numFmtId="0" fontId="60" fillId="17" borderId="30" xfId="0" applyFont="1" applyFill="1" applyBorder="1" applyAlignment="1" applyProtection="1">
      <alignment horizontal="left" vertical="center" indent="2"/>
    </xf>
    <xf numFmtId="0" fontId="62" fillId="17" borderId="52" xfId="0" applyFont="1" applyFill="1" applyBorder="1" applyAlignment="1" applyProtection="1">
      <alignment horizontal="left" vertical="top" wrapText="1" indent="1"/>
    </xf>
    <xf numFmtId="49" fontId="62" fillId="17" borderId="33" xfId="0" applyNumberFormat="1" applyFont="1" applyFill="1" applyBorder="1" applyAlignment="1">
      <alignment horizontal="center" vertical="center"/>
    </xf>
    <xf numFmtId="38" fontId="53" fillId="17" borderId="37" xfId="0" applyNumberFormat="1" applyFont="1" applyFill="1" applyBorder="1" applyAlignment="1" applyProtection="1">
      <alignment horizontal="right"/>
    </xf>
    <xf numFmtId="49" fontId="62" fillId="17" borderId="35" xfId="0" applyNumberFormat="1" applyFont="1" applyFill="1" applyBorder="1" applyAlignment="1" applyProtection="1">
      <alignment horizontal="left" vertical="top" indent="1"/>
    </xf>
    <xf numFmtId="49" fontId="62" fillId="17" borderId="27" xfId="0" applyNumberFormat="1" applyFont="1" applyFill="1" applyBorder="1" applyAlignment="1">
      <alignment horizontal="center" vertical="top"/>
    </xf>
    <xf numFmtId="38" fontId="53" fillId="17" borderId="12" xfId="0" applyNumberFormat="1" applyFont="1" applyFill="1" applyBorder="1" applyAlignment="1" applyProtection="1">
      <alignment horizontal="right"/>
    </xf>
    <xf numFmtId="49" fontId="60" fillId="17" borderId="30" xfId="0" applyNumberFormat="1" applyFont="1" applyFill="1" applyBorder="1" applyAlignment="1" applyProtection="1">
      <alignment horizontal="center" vertical="center"/>
    </xf>
    <xf numFmtId="1" fontId="60" fillId="17" borderId="30" xfId="0" applyNumberFormat="1" applyFont="1" applyFill="1" applyBorder="1" applyAlignment="1" applyProtection="1">
      <alignment horizontal="center" vertical="center"/>
    </xf>
    <xf numFmtId="38" fontId="53" fillId="17" borderId="3" xfId="0" applyNumberFormat="1" applyFont="1" applyFill="1" applyBorder="1" applyAlignment="1" applyProtection="1">
      <alignment horizontal="right"/>
    </xf>
    <xf numFmtId="38" fontId="53" fillId="17" borderId="55" xfId="0" applyNumberFormat="1" applyFont="1" applyFill="1" applyBorder="1" applyAlignment="1" applyProtection="1">
      <alignment horizontal="right"/>
    </xf>
    <xf numFmtId="0" fontId="62" fillId="17" borderId="35" xfId="0" applyFont="1" applyFill="1" applyBorder="1" applyAlignment="1" applyProtection="1">
      <alignment horizontal="left" indent="1"/>
    </xf>
    <xf numFmtId="0" fontId="60" fillId="17" borderId="30" xfId="0" applyFont="1" applyFill="1" applyBorder="1" applyAlignment="1" applyProtection="1">
      <alignment horizontal="center"/>
    </xf>
    <xf numFmtId="0" fontId="62" fillId="17" borderId="36" xfId="0" applyFont="1" applyFill="1" applyBorder="1" applyAlignment="1" applyProtection="1">
      <alignment horizontal="left" vertical="center" indent="1"/>
    </xf>
    <xf numFmtId="0" fontId="60" fillId="17" borderId="27" xfId="0" applyFont="1" applyFill="1" applyBorder="1" applyAlignment="1" applyProtection="1">
      <alignment horizontal="center" vertical="center"/>
    </xf>
    <xf numFmtId="0" fontId="62" fillId="17" borderId="30" xfId="0" applyFont="1" applyFill="1" applyBorder="1" applyAlignment="1">
      <alignment vertical="center"/>
    </xf>
    <xf numFmtId="49" fontId="62" fillId="17" borderId="33" xfId="0" applyNumberFormat="1" applyFont="1" applyFill="1" applyBorder="1" applyAlignment="1" applyProtection="1">
      <alignment horizontal="left" vertical="center" wrapText="1" indent="1"/>
    </xf>
    <xf numFmtId="49" fontId="62" fillId="17" borderId="53" xfId="0" applyNumberFormat="1" applyFont="1" applyFill="1" applyBorder="1" applyAlignment="1">
      <alignment horizontal="center" vertical="center"/>
    </xf>
    <xf numFmtId="0" fontId="62" fillId="17" borderId="52" xfId="0" applyFont="1" applyFill="1" applyBorder="1" applyAlignment="1" applyProtection="1">
      <alignment horizontal="left" wrapText="1" indent="1"/>
    </xf>
    <xf numFmtId="0" fontId="60" fillId="17" borderId="53" xfId="0" applyFont="1" applyFill="1" applyBorder="1" applyAlignment="1" applyProtection="1">
      <alignment horizontal="left" indent="2"/>
    </xf>
    <xf numFmtId="176" fontId="55" fillId="17" borderId="2" xfId="0" applyNumberFormat="1" applyFont="1" applyFill="1" applyBorder="1" applyAlignment="1" applyProtection="1">
      <alignment vertical="center"/>
    </xf>
    <xf numFmtId="38" fontId="55" fillId="17" borderId="2" xfId="0" applyNumberFormat="1" applyFont="1" applyFill="1" applyBorder="1" applyAlignment="1" applyProtection="1">
      <alignment horizontal="right" vertical="center"/>
    </xf>
    <xf numFmtId="38" fontId="55" fillId="17" borderId="2" xfId="0" applyNumberFormat="1" applyFont="1" applyFill="1" applyBorder="1" applyAlignment="1" applyProtection="1">
      <alignment vertical="center"/>
    </xf>
    <xf numFmtId="37" fontId="55" fillId="17" borderId="13" xfId="5" applyNumberFormat="1" applyFont="1" applyFill="1" applyBorder="1" applyAlignment="1" applyProtection="1">
      <alignment horizontal="right"/>
    </xf>
    <xf numFmtId="0" fontId="62" fillId="17" borderId="35" xfId="0" applyFont="1" applyFill="1" applyBorder="1" applyAlignment="1" applyProtection="1">
      <alignment horizontal="left" vertical="center" indent="2"/>
    </xf>
    <xf numFmtId="38" fontId="53" fillId="17" borderId="30" xfId="0" applyNumberFormat="1" applyFont="1" applyFill="1" applyBorder="1" applyAlignment="1" applyProtection="1">
      <alignment horizontal="right"/>
    </xf>
    <xf numFmtId="0" fontId="62" fillId="17" borderId="20" xfId="0" applyFont="1" applyFill="1" applyBorder="1" applyAlignment="1" applyProtection="1">
      <alignment horizontal="left" vertical="center" indent="2"/>
    </xf>
    <xf numFmtId="0" fontId="62" fillId="17" borderId="14" xfId="0" applyFont="1" applyFill="1" applyBorder="1" applyAlignment="1" applyProtection="1">
      <alignment horizontal="center" vertical="center"/>
    </xf>
    <xf numFmtId="38" fontId="53" fillId="17" borderId="26" xfId="0" applyNumberFormat="1" applyFont="1" applyFill="1" applyBorder="1" applyAlignment="1" applyProtection="1">
      <alignment horizontal="right"/>
    </xf>
    <xf numFmtId="0" fontId="62" fillId="17" borderId="30" xfId="0" applyFont="1" applyFill="1" applyBorder="1" applyAlignment="1" applyProtection="1">
      <alignment horizontal="center" vertical="center"/>
    </xf>
    <xf numFmtId="38" fontId="53" fillId="17" borderId="4" xfId="0" applyNumberFormat="1" applyFont="1" applyFill="1" applyBorder="1" applyAlignment="1" applyProtection="1">
      <alignment horizontal="right"/>
    </xf>
    <xf numFmtId="38" fontId="53" fillId="17" borderId="2" xfId="0" applyNumberFormat="1" applyFont="1" applyFill="1" applyBorder="1" applyAlignment="1" applyProtection="1">
      <alignment horizontal="right"/>
    </xf>
    <xf numFmtId="0" fontId="71" fillId="17" borderId="20" xfId="0" applyFont="1" applyFill="1" applyBorder="1" applyAlignment="1" applyProtection="1">
      <alignment horizontal="left" vertical="center" indent="1"/>
    </xf>
    <xf numFmtId="0" fontId="60" fillId="17" borderId="4" xfId="0" applyFont="1" applyFill="1" applyBorder="1" applyAlignment="1" applyProtection="1">
      <alignment horizontal="center"/>
    </xf>
    <xf numFmtId="38" fontId="53" fillId="17" borderId="28" xfId="0" applyNumberFormat="1" applyFont="1" applyFill="1" applyBorder="1" applyAlignment="1" applyProtection="1">
      <alignment horizontal="right"/>
    </xf>
    <xf numFmtId="38" fontId="53" fillId="17" borderId="18" xfId="0" applyNumberFormat="1" applyFont="1" applyFill="1" applyBorder="1" applyAlignment="1" applyProtection="1">
      <alignment horizontal="right"/>
    </xf>
    <xf numFmtId="38" fontId="53" fillId="17" borderId="0" xfId="0" applyNumberFormat="1" applyFont="1" applyFill="1" applyAlignment="1" applyProtection="1">
      <alignment horizontal="right"/>
    </xf>
    <xf numFmtId="38" fontId="53" fillId="17" borderId="128" xfId="0" applyNumberFormat="1" applyFont="1" applyFill="1" applyBorder="1" applyAlignment="1" applyProtection="1">
      <alignment horizontal="right" vertical="center"/>
      <protection locked="0"/>
    </xf>
    <xf numFmtId="38" fontId="53" fillId="17" borderId="2" xfId="0" applyNumberFormat="1" applyFont="1" applyFill="1" applyBorder="1" applyAlignment="1" applyProtection="1">
      <alignment horizontal="right" vertical="center"/>
      <protection locked="0"/>
    </xf>
    <xf numFmtId="38" fontId="53" fillId="17" borderId="27" xfId="0" applyNumberFormat="1" applyFont="1" applyFill="1" applyBorder="1" applyAlignment="1" applyProtection="1">
      <alignment horizontal="right" vertical="center"/>
      <protection locked="0"/>
    </xf>
    <xf numFmtId="38" fontId="53" fillId="17" borderId="128" xfId="0" applyNumberFormat="1" applyFont="1" applyFill="1" applyBorder="1" applyAlignment="1" applyProtection="1">
      <alignment horizontal="right" vertical="center"/>
    </xf>
    <xf numFmtId="38" fontId="53" fillId="17" borderId="2" xfId="0" applyNumberFormat="1" applyFont="1" applyFill="1" applyBorder="1" applyAlignment="1" applyProtection="1">
      <alignment horizontal="right" vertical="center"/>
    </xf>
    <xf numFmtId="0" fontId="62" fillId="17" borderId="27" xfId="0" applyFont="1" applyFill="1" applyBorder="1" applyAlignment="1">
      <alignment horizontal="left" vertical="center" wrapText="1" indent="1"/>
    </xf>
    <xf numFmtId="38" fontId="53" fillId="17" borderId="27" xfId="0" applyNumberFormat="1" applyFont="1" applyFill="1" applyBorder="1" applyAlignment="1" applyProtection="1">
      <alignment horizontal="right" vertical="center"/>
    </xf>
    <xf numFmtId="38" fontId="53" fillId="17" borderId="2" xfId="9" applyNumberFormat="1" applyFont="1" applyFill="1" applyBorder="1" applyAlignment="1" applyProtection="1">
      <alignment horizontal="right"/>
    </xf>
    <xf numFmtId="49" fontId="60" fillId="17" borderId="41" xfId="0" applyNumberFormat="1" applyFont="1" applyFill="1" applyBorder="1" applyAlignment="1" applyProtection="1">
      <alignment horizontal="center" vertical="center"/>
    </xf>
    <xf numFmtId="38" fontId="53" fillId="17" borderId="41" xfId="0" applyNumberFormat="1" applyFont="1" applyFill="1" applyBorder="1" applyAlignment="1" applyProtection="1">
      <alignment vertical="center"/>
    </xf>
    <xf numFmtId="49" fontId="60" fillId="17" borderId="7" xfId="0" applyNumberFormat="1" applyFont="1" applyFill="1" applyBorder="1" applyAlignment="1" applyProtection="1">
      <alignment horizontal="center" vertical="center"/>
    </xf>
    <xf numFmtId="38" fontId="53" fillId="17" borderId="41" xfId="0" applyNumberFormat="1" applyFont="1" applyFill="1" applyBorder="1" applyAlignment="1" applyProtection="1">
      <alignment horizontal="right" vertical="center"/>
    </xf>
    <xf numFmtId="49" fontId="60" fillId="17" borderId="7" xfId="0" applyNumberFormat="1" applyFont="1" applyFill="1" applyBorder="1" applyAlignment="1" applyProtection="1">
      <alignment horizontal="left" vertical="center" indent="2"/>
    </xf>
    <xf numFmtId="0" fontId="55" fillId="17" borderId="7" xfId="0" applyFont="1" applyFill="1" applyBorder="1" applyAlignment="1">
      <alignment horizontal="left" indent="2"/>
    </xf>
    <xf numFmtId="38" fontId="53" fillId="17" borderId="60" xfId="0" applyNumberFormat="1" applyFont="1" applyFill="1" applyBorder="1" applyAlignment="1" applyProtection="1"/>
    <xf numFmtId="38" fontId="53" fillId="17" borderId="41" xfId="0" applyNumberFormat="1" applyFont="1" applyFill="1" applyBorder="1" applyAlignment="1" applyProtection="1">
      <alignment horizontal="right"/>
    </xf>
    <xf numFmtId="0" fontId="62" fillId="17" borderId="54" xfId="0" applyFont="1" applyFill="1" applyBorder="1" applyAlignment="1" applyProtection="1">
      <alignment horizontal="left" vertical="center" indent="2"/>
    </xf>
    <xf numFmtId="0" fontId="62" fillId="17" borderId="41" xfId="0" applyFont="1" applyFill="1" applyBorder="1" applyAlignment="1" applyProtection="1">
      <alignment horizontal="center" vertical="center"/>
    </xf>
    <xf numFmtId="0" fontId="62" fillId="17" borderId="41" xfId="0" applyFont="1" applyFill="1" applyBorder="1" applyAlignment="1" applyProtection="1">
      <alignment horizontal="left" vertical="center" indent="1"/>
    </xf>
    <xf numFmtId="0" fontId="55" fillId="17" borderId="41" xfId="0" applyFont="1" applyFill="1" applyBorder="1" applyAlignment="1" applyProtection="1">
      <alignment vertical="center"/>
    </xf>
    <xf numFmtId="38" fontId="53" fillId="17" borderId="22" xfId="0" applyNumberFormat="1" applyFont="1" applyFill="1" applyBorder="1" applyAlignment="1" applyProtection="1">
      <alignment horizontal="right" vertical="center"/>
    </xf>
    <xf numFmtId="0" fontId="60" fillId="17" borderId="0" xfId="10" applyFont="1" applyFill="1" applyAlignment="1">
      <alignment vertical="center"/>
    </xf>
    <xf numFmtId="0" fontId="60" fillId="17" borderId="0" xfId="10" applyFont="1" applyFill="1" applyAlignment="1">
      <alignment horizontal="center" vertical="center"/>
    </xf>
    <xf numFmtId="0" fontId="60" fillId="17" borderId="0" xfId="10" applyFont="1" applyFill="1" applyAlignment="1">
      <alignment horizontal="right" vertical="center"/>
    </xf>
    <xf numFmtId="0" fontId="62" fillId="17" borderId="0" xfId="10" applyFont="1" applyFill="1" applyAlignment="1">
      <alignment horizontal="right" vertical="center" indent="3"/>
    </xf>
    <xf numFmtId="0" fontId="60" fillId="17" borderId="0" xfId="10" applyFont="1" applyFill="1" applyBorder="1" applyAlignment="1">
      <alignment horizontal="right" vertical="center"/>
    </xf>
    <xf numFmtId="3" fontId="62" fillId="17" borderId="57" xfId="10" applyNumberFormat="1" applyFont="1" applyFill="1" applyBorder="1" applyAlignment="1" applyProtection="1">
      <alignment vertical="center"/>
    </xf>
    <xf numFmtId="0" fontId="60" fillId="17" borderId="0" xfId="10" applyFont="1" applyFill="1" applyAlignment="1">
      <alignment horizontal="left" vertical="center"/>
    </xf>
    <xf numFmtId="0" fontId="62" fillId="17" borderId="0" xfId="10" applyFont="1" applyFill="1" applyAlignment="1">
      <alignment horizontal="right" vertical="center"/>
    </xf>
    <xf numFmtId="38" fontId="62" fillId="17" borderId="47" xfId="10" applyNumberFormat="1" applyFont="1" applyFill="1" applyBorder="1" applyAlignment="1">
      <alignment horizontal="right"/>
    </xf>
    <xf numFmtId="0" fontId="60" fillId="17" borderId="0" xfId="10" quotePrefix="1" applyFont="1" applyFill="1" applyAlignment="1">
      <alignment horizontal="left" vertical="center"/>
    </xf>
    <xf numFmtId="38" fontId="60" fillId="17" borderId="58" xfId="10" applyNumberFormat="1" applyFont="1" applyFill="1" applyBorder="1" applyAlignment="1" applyProtection="1">
      <alignment horizontal="right"/>
    </xf>
    <xf numFmtId="0" fontId="60" fillId="17" borderId="0" xfId="11" quotePrefix="1" applyFont="1" applyFill="1" applyAlignment="1">
      <alignment horizontal="left" vertical="center"/>
    </xf>
    <xf numFmtId="0" fontId="62" fillId="17" borderId="0" xfId="10" quotePrefix="1" applyFont="1" applyFill="1" applyAlignment="1">
      <alignment horizontal="left" vertical="center"/>
    </xf>
    <xf numFmtId="40" fontId="62" fillId="17" borderId="47" xfId="10" applyNumberFormat="1" applyFont="1" applyFill="1" applyBorder="1" applyAlignment="1" applyProtection="1">
      <alignment horizontal="right"/>
    </xf>
    <xf numFmtId="0" fontId="60" fillId="17" borderId="0" xfId="11" applyFont="1" applyFill="1" applyAlignment="1">
      <alignment horizontal="left" vertical="center"/>
    </xf>
    <xf numFmtId="0" fontId="60" fillId="17" borderId="0" xfId="11" applyFont="1" applyFill="1" applyAlignment="1">
      <alignment horizontal="right" vertical="center"/>
    </xf>
    <xf numFmtId="0" fontId="62" fillId="17" borderId="0" xfId="11" applyFont="1" applyFill="1" applyAlignment="1">
      <alignment horizontal="right" vertical="center"/>
    </xf>
    <xf numFmtId="0" fontId="60" fillId="17" borderId="0" xfId="11" applyFont="1" applyFill="1" applyBorder="1" applyAlignment="1">
      <alignment horizontal="right" vertical="center"/>
    </xf>
    <xf numFmtId="38" fontId="62" fillId="17" borderId="9" xfId="11" applyNumberFormat="1" applyFont="1" applyFill="1" applyBorder="1" applyAlignment="1" applyProtection="1">
      <alignment horizontal="right"/>
    </xf>
    <xf numFmtId="38" fontId="60" fillId="17" borderId="6" xfId="11" applyNumberFormat="1" applyFont="1" applyFill="1" applyBorder="1" applyAlignment="1" applyProtection="1">
      <alignment horizontal="right"/>
    </xf>
    <xf numFmtId="0" fontId="60" fillId="17" borderId="0" xfId="11" applyFont="1" applyFill="1" applyAlignment="1">
      <alignment vertical="center"/>
    </xf>
    <xf numFmtId="40" fontId="60" fillId="17" borderId="9" xfId="11" applyNumberFormat="1" applyFont="1" applyFill="1" applyBorder="1" applyAlignment="1" applyProtection="1">
      <alignment horizontal="right"/>
    </xf>
    <xf numFmtId="40" fontId="62" fillId="17" borderId="57" xfId="11" applyNumberFormat="1" applyFont="1" applyFill="1" applyBorder="1" applyAlignment="1" applyProtection="1">
      <alignment horizontal="right"/>
    </xf>
    <xf numFmtId="38" fontId="5" fillId="17" borderId="158" xfId="17" applyNumberFormat="1" applyFill="1" applyBorder="1" applyAlignment="1" applyProtection="1">
      <alignment horizontal="right" vertical="top"/>
    </xf>
    <xf numFmtId="38" fontId="5" fillId="17" borderId="158" xfId="17" applyNumberFormat="1" applyFill="1" applyBorder="1" applyAlignment="1" applyProtection="1">
      <alignment vertical="top"/>
    </xf>
    <xf numFmtId="38" fontId="5" fillId="17" borderId="159" xfId="17" applyNumberFormat="1" applyFill="1" applyBorder="1" applyAlignment="1" applyProtection="1">
      <alignment horizontal="right" vertical="top"/>
    </xf>
    <xf numFmtId="38" fontId="5" fillId="17" borderId="159" xfId="17" applyNumberFormat="1" applyFill="1" applyBorder="1" applyAlignment="1" applyProtection="1">
      <alignment vertical="top"/>
    </xf>
    <xf numFmtId="0" fontId="5" fillId="17" borderId="159" xfId="17" applyFill="1" applyBorder="1" applyAlignment="1" applyProtection="1">
      <alignment horizontal="left" vertical="top" wrapText="1"/>
    </xf>
    <xf numFmtId="49" fontId="5" fillId="17" borderId="159" xfId="17" applyNumberFormat="1" applyFill="1" applyBorder="1" applyAlignment="1" applyProtection="1">
      <alignment vertical="top"/>
    </xf>
    <xf numFmtId="0" fontId="5" fillId="17" borderId="159" xfId="17" applyFill="1" applyBorder="1" applyAlignment="1" applyProtection="1">
      <alignment vertical="top"/>
    </xf>
    <xf numFmtId="0" fontId="53" fillId="17" borderId="127" xfId="0" applyFont="1" applyFill="1" applyBorder="1"/>
    <xf numFmtId="37" fontId="53" fillId="17" borderId="127" xfId="0" applyNumberFormat="1" applyFont="1" applyFill="1" applyBorder="1"/>
    <xf numFmtId="37" fontId="53" fillId="17" borderId="129" xfId="0" applyNumberFormat="1" applyFont="1" applyFill="1" applyBorder="1"/>
    <xf numFmtId="0" fontId="53" fillId="17" borderId="14" xfId="0" applyFont="1" applyFill="1" applyBorder="1"/>
    <xf numFmtId="0" fontId="53" fillId="17" borderId="21" xfId="0" applyFont="1" applyFill="1" applyBorder="1"/>
    <xf numFmtId="37" fontId="53" fillId="17" borderId="14" xfId="0" applyNumberFormat="1" applyFont="1" applyFill="1" applyBorder="1"/>
    <xf numFmtId="37" fontId="53" fillId="17" borderId="21" xfId="0" applyNumberFormat="1" applyFont="1" applyFill="1" applyBorder="1"/>
    <xf numFmtId="38" fontId="53" fillId="17" borderId="14" xfId="0" applyNumberFormat="1" applyFont="1" applyFill="1" applyBorder="1"/>
    <xf numFmtId="0" fontId="60" fillId="17" borderId="0" xfId="0" applyFont="1" applyFill="1" applyBorder="1" applyAlignment="1">
      <alignment horizontal="right"/>
    </xf>
    <xf numFmtId="38" fontId="53" fillId="17" borderId="18" xfId="0" applyNumberFormat="1" applyFont="1" applyFill="1" applyBorder="1"/>
    <xf numFmtId="0" fontId="53" fillId="17" borderId="13" xfId="0" applyFont="1" applyFill="1" applyBorder="1" applyAlignment="1">
      <alignment horizontal="right"/>
    </xf>
    <xf numFmtId="10" fontId="52" fillId="17" borderId="14" xfId="0" applyNumberFormat="1" applyFont="1" applyFill="1" applyBorder="1" applyAlignment="1">
      <alignment horizontal="left" indent="2"/>
    </xf>
    <xf numFmtId="38" fontId="53" fillId="17" borderId="2" xfId="3" applyNumberFormat="1" applyFont="1" applyFill="1" applyBorder="1" applyAlignment="1">
      <alignment vertical="center"/>
    </xf>
    <xf numFmtId="38" fontId="53" fillId="17" borderId="2" xfId="3" applyNumberFormat="1" applyFont="1" applyFill="1" applyBorder="1" applyAlignment="1" applyProtection="1">
      <alignment vertical="center"/>
    </xf>
    <xf numFmtId="38" fontId="53" fillId="17" borderId="27" xfId="3" applyNumberFormat="1" applyFont="1" applyFill="1" applyBorder="1" applyAlignment="1">
      <alignment vertical="center"/>
    </xf>
    <xf numFmtId="9" fontId="53" fillId="17" borderId="4" xfId="3" applyNumberFormat="1" applyFont="1" applyFill="1" applyBorder="1" applyAlignment="1">
      <alignment horizontal="center" vertical="center"/>
    </xf>
    <xf numFmtId="38" fontId="53" fillId="17" borderId="22" xfId="3" applyNumberFormat="1" applyFont="1" applyFill="1" applyBorder="1" applyAlignment="1">
      <alignment horizontal="right" vertical="center"/>
    </xf>
    <xf numFmtId="38" fontId="53" fillId="17" borderId="41" xfId="3" applyNumberFormat="1" applyFont="1" applyFill="1" applyBorder="1" applyAlignment="1">
      <alignment horizontal="right" vertical="center"/>
    </xf>
    <xf numFmtId="38" fontId="53" fillId="17" borderId="75" xfId="3" applyNumberFormat="1" applyFont="1" applyFill="1" applyBorder="1" applyAlignment="1">
      <alignment horizontal="right" vertical="center"/>
    </xf>
    <xf numFmtId="38" fontId="52" fillId="17" borderId="75" xfId="3" applyNumberFormat="1" applyFont="1" applyFill="1" applyBorder="1" applyAlignment="1">
      <alignment horizontal="right" vertical="center"/>
    </xf>
    <xf numFmtId="38" fontId="53" fillId="17" borderId="60" xfId="3" applyNumberFormat="1" applyFont="1" applyFill="1" applyBorder="1" applyAlignment="1">
      <alignment horizontal="right" vertical="center"/>
    </xf>
    <xf numFmtId="38" fontId="52" fillId="17" borderId="60" xfId="3" applyNumberFormat="1" applyFont="1" applyFill="1" applyBorder="1" applyAlignment="1">
      <alignment horizontal="right" vertical="center"/>
    </xf>
    <xf numFmtId="38" fontId="53" fillId="17" borderId="128" xfId="0" applyNumberFormat="1" applyFont="1" applyFill="1" applyBorder="1" applyAlignment="1" applyProtection="1">
      <alignment horizontal="right"/>
    </xf>
    <xf numFmtId="0" fontId="62" fillId="16" borderId="17" xfId="0" applyFont="1" applyFill="1" applyBorder="1" applyAlignment="1">
      <alignment horizontal="left" vertical="center" wrapText="1"/>
    </xf>
    <xf numFmtId="49" fontId="62" fillId="16" borderId="26" xfId="0" applyNumberFormat="1" applyFont="1" applyFill="1" applyBorder="1" applyAlignment="1">
      <alignment horizontal="center" vertical="center"/>
    </xf>
    <xf numFmtId="38" fontId="53" fillId="16" borderId="26" xfId="0" applyNumberFormat="1" applyFont="1" applyFill="1" applyBorder="1" applyAlignment="1">
      <alignment horizontal="right"/>
    </xf>
    <xf numFmtId="38" fontId="53" fillId="16" borderId="3" xfId="0" applyNumberFormat="1" applyFont="1" applyFill="1" applyBorder="1" applyAlignment="1">
      <alignment horizontal="right"/>
    </xf>
    <xf numFmtId="0" fontId="62" fillId="0" borderId="13" xfId="0" applyFont="1" applyFill="1" applyBorder="1" applyAlignment="1">
      <alignment horizontal="left" vertical="center" wrapText="1"/>
    </xf>
    <xf numFmtId="49" fontId="62" fillId="0" borderId="2" xfId="0" applyNumberFormat="1" applyFont="1" applyFill="1" applyBorder="1" applyAlignment="1">
      <alignment horizontal="center" vertical="center"/>
    </xf>
    <xf numFmtId="0" fontId="62" fillId="17" borderId="13" xfId="0" applyFont="1" applyFill="1" applyBorder="1" applyAlignment="1">
      <alignment horizontal="left" vertical="center" wrapText="1"/>
    </xf>
    <xf numFmtId="49" fontId="62" fillId="17" borderId="2" xfId="0" applyNumberFormat="1" applyFont="1" applyFill="1" applyBorder="1" applyAlignment="1">
      <alignment horizontal="center" vertical="center"/>
    </xf>
    <xf numFmtId="3" fontId="60" fillId="0" borderId="13" xfId="0" applyNumberFormat="1" applyFont="1" applyFill="1" applyBorder="1" applyAlignment="1">
      <alignment horizontal="left" vertical="center" wrapText="1" indent="1"/>
    </xf>
    <xf numFmtId="0" fontId="62" fillId="0" borderId="49" xfId="0" applyFont="1" applyFill="1" applyBorder="1" applyAlignment="1">
      <alignment horizontal="left" vertical="center" wrapText="1" indent="1"/>
    </xf>
    <xf numFmtId="0" fontId="62" fillId="0" borderId="13" xfId="0" applyFont="1" applyFill="1" applyBorder="1" applyAlignment="1">
      <alignment horizontal="left" vertical="center" wrapText="1" indent="1"/>
    </xf>
    <xf numFmtId="38" fontId="53" fillId="27" borderId="26" xfId="0" applyNumberFormat="1" applyFont="1" applyFill="1" applyBorder="1" applyAlignment="1">
      <alignment horizontal="right"/>
    </xf>
    <xf numFmtId="3" fontId="60" fillId="0" borderId="12" xfId="0" applyNumberFormat="1" applyFont="1" applyBorder="1" applyAlignment="1">
      <alignment horizontal="left" vertical="top" wrapText="1" indent="1"/>
    </xf>
    <xf numFmtId="38" fontId="53" fillId="17" borderId="19" xfId="0" applyNumberFormat="1" applyFont="1" applyFill="1" applyBorder="1" applyAlignment="1" applyProtection="1">
      <alignment horizontal="right"/>
    </xf>
    <xf numFmtId="49" fontId="31" fillId="0" borderId="0" xfId="2" applyNumberFormat="1" applyBorder="1" applyAlignment="1" applyProtection="1">
      <alignment horizontal="center"/>
    </xf>
    <xf numFmtId="49" fontId="2" fillId="0" borderId="158" xfId="17" applyNumberFormat="1" applyFont="1" applyBorder="1" applyAlignment="1" applyProtection="1">
      <alignment horizontal="center" vertical="center"/>
      <protection locked="0"/>
    </xf>
    <xf numFmtId="14" fontId="55" fillId="0" borderId="0" xfId="0" applyNumberFormat="1" applyFont="1" applyBorder="1" applyAlignment="1" applyProtection="1">
      <alignment vertical="center"/>
      <protection locked="0"/>
    </xf>
    <xf numFmtId="0" fontId="71" fillId="0" borderId="0" xfId="3" applyFont="1" applyBorder="1" applyAlignment="1" applyProtection="1">
      <alignment horizontal="center" vertical="top"/>
    </xf>
    <xf numFmtId="0" fontId="55" fillId="0" borderId="162" xfId="3" applyFont="1" applyBorder="1" applyProtection="1"/>
    <xf numFmtId="49" fontId="60" fillId="0" borderId="14" xfId="0" applyNumberFormat="1" applyFont="1" applyFill="1" applyBorder="1" applyAlignment="1" applyProtection="1">
      <alignment horizontal="center" vertical="center"/>
    </xf>
    <xf numFmtId="38" fontId="53" fillId="16" borderId="3" xfId="0" applyNumberFormat="1" applyFont="1" applyFill="1" applyBorder="1" applyAlignment="1" applyProtection="1">
      <alignment horizontal="right"/>
    </xf>
    <xf numFmtId="38" fontId="53" fillId="16" borderId="26" xfId="0" applyNumberFormat="1" applyFont="1" applyFill="1" applyBorder="1" applyAlignment="1" applyProtection="1">
      <alignment horizontal="right"/>
    </xf>
    <xf numFmtId="38" fontId="5" fillId="0" borderId="158" xfId="17" applyNumberFormat="1" applyBorder="1" applyAlignment="1" applyProtection="1">
      <alignment horizontal="right" vertical="top"/>
      <protection locked="0"/>
    </xf>
    <xf numFmtId="49" fontId="4" fillId="0" borderId="158" xfId="17" applyNumberFormat="1" applyFont="1" applyBorder="1" applyAlignment="1" applyProtection="1">
      <alignment horizontal="center" vertical="top"/>
      <protection locked="0"/>
    </xf>
    <xf numFmtId="49" fontId="3" fillId="0" borderId="158" xfId="17" applyNumberFormat="1" applyFont="1" applyBorder="1" applyAlignment="1" applyProtection="1">
      <alignment horizontal="center" vertical="top"/>
      <protection locked="0"/>
    </xf>
    <xf numFmtId="0" fontId="60" fillId="0" borderId="0" xfId="3" applyFont="1" applyBorder="1" applyAlignment="1" applyProtection="1">
      <alignment horizontal="left" vertical="top" wrapText="1"/>
    </xf>
    <xf numFmtId="0" fontId="52" fillId="0" borderId="0" xfId="3" applyFont="1" applyAlignment="1" applyProtection="1">
      <alignment horizontal="center"/>
    </xf>
    <xf numFmtId="0" fontId="98" fillId="0" borderId="0" xfId="18" applyFont="1"/>
    <xf numFmtId="0" fontId="99" fillId="24" borderId="0" xfId="18" applyFont="1" applyFill="1" applyAlignment="1">
      <alignment horizontal="centerContinuous" vertical="center"/>
    </xf>
    <xf numFmtId="0" fontId="98" fillId="24" borderId="0" xfId="18" applyFont="1" applyFill="1" applyAlignment="1">
      <alignment horizontal="centerContinuous"/>
    </xf>
    <xf numFmtId="0" fontId="86" fillId="0" borderId="138" xfId="18" applyFont="1" applyFill="1" applyBorder="1" applyAlignment="1">
      <alignment horizontal="center" vertical="top" wrapText="1"/>
    </xf>
    <xf numFmtId="0" fontId="86" fillId="0" borderId="0" xfId="18" applyFont="1" applyFill="1" applyBorder="1" applyAlignment="1">
      <alignment horizontal="center" vertical="top" wrapText="1"/>
    </xf>
    <xf numFmtId="0" fontId="2" fillId="0" borderId="0" xfId="18" applyFont="1" applyAlignment="1">
      <alignment wrapText="1"/>
    </xf>
    <xf numFmtId="0" fontId="130" fillId="0" borderId="163" xfId="18" applyFont="1" applyFill="1" applyBorder="1" applyAlignment="1" applyProtection="1">
      <alignment horizontal="center" vertical="center"/>
      <protection locked="0"/>
    </xf>
    <xf numFmtId="0" fontId="101" fillId="0" borderId="0" xfId="18" applyNumberFormat="1" applyFont="1"/>
    <xf numFmtId="0" fontId="76" fillId="0" borderId="107" xfId="18" applyFont="1" applyBorder="1" applyAlignment="1">
      <alignment horizontal="left" vertical="center" wrapText="1"/>
    </xf>
    <xf numFmtId="0" fontId="76" fillId="0" borderId="165" xfId="18" applyFont="1" applyBorder="1" applyAlignment="1">
      <alignment horizontal="left" vertical="center" wrapText="1"/>
    </xf>
    <xf numFmtId="49" fontId="124" fillId="0" borderId="106" xfId="18" applyNumberFormat="1" applyFont="1" applyBorder="1" applyAlignment="1" applyProtection="1">
      <alignment horizontal="center" vertical="center"/>
      <protection locked="0"/>
    </xf>
    <xf numFmtId="0" fontId="124" fillId="0" borderId="106" xfId="18" applyFont="1" applyFill="1" applyBorder="1" applyAlignment="1" applyProtection="1">
      <alignment horizontal="center" vertical="center" wrapText="1"/>
      <protection locked="0"/>
    </xf>
    <xf numFmtId="0" fontId="98" fillId="0" borderId="106" xfId="18" applyFont="1" applyFill="1" applyBorder="1"/>
    <xf numFmtId="0" fontId="102" fillId="0" borderId="160" xfId="18" applyFont="1" applyBorder="1" applyAlignment="1">
      <alignment horizontal="left" vertical="center" wrapText="1"/>
    </xf>
    <xf numFmtId="0" fontId="102" fillId="0" borderId="161" xfId="18" applyFont="1" applyBorder="1" applyAlignment="1">
      <alignment horizontal="left" vertical="center" wrapText="1"/>
    </xf>
    <xf numFmtId="49" fontId="102" fillId="18" borderId="106" xfId="18" applyNumberFormat="1" applyFont="1" applyFill="1" applyBorder="1" applyAlignment="1">
      <alignment horizontal="center" vertical="center"/>
    </xf>
    <xf numFmtId="0" fontId="76" fillId="0" borderId="107" xfId="18" applyFont="1" applyFill="1" applyBorder="1" applyAlignment="1">
      <alignment horizontal="left" vertical="center" wrapText="1"/>
    </xf>
    <xf numFmtId="0" fontId="76" fillId="0" borderId="133" xfId="18" applyFont="1" applyFill="1" applyBorder="1" applyAlignment="1">
      <alignment horizontal="left" vertical="center" wrapText="1"/>
    </xf>
    <xf numFmtId="49" fontId="131" fillId="0" borderId="105" xfId="18" applyNumberFormat="1" applyFont="1" applyBorder="1" applyAlignment="1" applyProtection="1">
      <alignment horizontal="center" vertical="center"/>
      <protection locked="0"/>
    </xf>
    <xf numFmtId="49" fontId="131" fillId="0" borderId="109" xfId="18" applyNumberFormat="1" applyFont="1" applyFill="1" applyBorder="1" applyAlignment="1" applyProtection="1">
      <alignment horizontal="center" vertical="center"/>
      <protection locked="0"/>
    </xf>
    <xf numFmtId="0" fontId="98" fillId="0" borderId="105" xfId="18" applyFont="1" applyBorder="1" applyProtection="1">
      <protection locked="0"/>
    </xf>
    <xf numFmtId="49" fontId="131" fillId="0" borderId="107" xfId="18" applyNumberFormat="1" applyFont="1" applyFill="1" applyBorder="1" applyAlignment="1" applyProtection="1">
      <alignment horizontal="center" vertical="center"/>
      <protection locked="0"/>
    </xf>
    <xf numFmtId="0" fontId="98" fillId="0" borderId="0" xfId="18" applyFont="1" applyProtection="1"/>
    <xf numFmtId="0" fontId="2" fillId="0" borderId="0" xfId="18" applyFont="1"/>
    <xf numFmtId="0" fontId="46" fillId="0" borderId="141" xfId="18" applyFont="1" applyBorder="1" applyAlignment="1">
      <alignment vertical="top"/>
    </xf>
    <xf numFmtId="0" fontId="46" fillId="0" borderId="142" xfId="18" applyFont="1" applyBorder="1" applyAlignment="1">
      <alignment vertical="top"/>
    </xf>
    <xf numFmtId="0" fontId="47" fillId="16" borderId="76" xfId="18" applyFont="1" applyFill="1" applyBorder="1" applyAlignment="1">
      <alignment vertical="top"/>
    </xf>
    <xf numFmtId="0" fontId="46" fillId="0" borderId="141" xfId="18" applyFont="1" applyBorder="1" applyAlignment="1">
      <alignment vertical="top" wrapText="1"/>
    </xf>
    <xf numFmtId="0" fontId="46" fillId="0" borderId="142" xfId="18" applyFont="1" applyBorder="1" applyAlignment="1">
      <alignment vertical="top" wrapText="1"/>
    </xf>
    <xf numFmtId="0" fontId="98" fillId="0" borderId="0" xfId="18" applyFont="1" applyAlignment="1">
      <alignment horizontal="left" vertical="center" wrapText="1"/>
    </xf>
    <xf numFmtId="0" fontId="98" fillId="0" borderId="0" xfId="18" applyFont="1" applyFill="1" applyBorder="1"/>
    <xf numFmtId="0" fontId="101" fillId="0" borderId="0" xfId="18" applyFont="1"/>
    <xf numFmtId="0" fontId="132" fillId="0" borderId="0" xfId="18" applyFont="1"/>
    <xf numFmtId="0" fontId="63" fillId="13" borderId="46" xfId="0" applyFont="1" applyFill="1" applyBorder="1" applyAlignment="1" applyProtection="1">
      <alignment horizontal="left" vertical="center"/>
    </xf>
    <xf numFmtId="0" fontId="62" fillId="13" borderId="6" xfId="0" applyFont="1" applyFill="1" applyBorder="1" applyAlignment="1" applyProtection="1">
      <alignment horizontal="left" vertical="center"/>
    </xf>
    <xf numFmtId="0" fontId="60" fillId="13" borderId="7" xfId="0" applyFont="1" applyFill="1" applyBorder="1" applyAlignment="1" applyProtection="1">
      <alignment horizontal="left" vertical="center" indent="2"/>
    </xf>
    <xf numFmtId="0" fontId="63" fillId="13" borderId="2" xfId="0" applyFont="1" applyFill="1" applyBorder="1" applyAlignment="1">
      <alignment horizontal="center" vertical="center"/>
    </xf>
    <xf numFmtId="49" fontId="62" fillId="0" borderId="2" xfId="0" applyNumberFormat="1" applyFont="1" applyFill="1" applyBorder="1" applyAlignment="1" applyProtection="1">
      <alignment horizontal="center" vertical="top" wrapText="1"/>
    </xf>
    <xf numFmtId="49" fontId="62" fillId="0" borderId="2" xfId="9" applyNumberFormat="1" applyFont="1" applyFill="1" applyBorder="1" applyAlignment="1">
      <alignment horizontal="center" vertical="top" wrapText="1"/>
    </xf>
    <xf numFmtId="49" fontId="62" fillId="5" borderId="2" xfId="9" applyNumberFormat="1" applyFont="1" applyFill="1" applyBorder="1" applyAlignment="1" applyProtection="1">
      <alignment horizontal="center" vertical="top" wrapText="1"/>
    </xf>
    <xf numFmtId="0" fontId="98" fillId="24" borderId="0" xfId="18" applyFont="1" applyFill="1" applyAlignment="1">
      <alignment horizontal="centerContinuous" vertical="center"/>
    </xf>
    <xf numFmtId="0" fontId="102" fillId="24" borderId="139" xfId="18" applyFont="1" applyFill="1" applyBorder="1" applyAlignment="1">
      <alignment horizontal="center" vertical="center" wrapText="1"/>
    </xf>
    <xf numFmtId="0" fontId="102" fillId="24" borderId="164" xfId="18" applyFont="1" applyFill="1" applyBorder="1" applyAlignment="1">
      <alignment horizontal="center" vertical="center" wrapText="1"/>
    </xf>
    <xf numFmtId="0" fontId="102" fillId="18" borderId="140" xfId="18" applyFont="1" applyFill="1" applyBorder="1" applyAlignment="1">
      <alignment horizontal="center" vertical="center" wrapText="1"/>
    </xf>
    <xf numFmtId="49" fontId="102" fillId="18" borderId="107" xfId="18" applyNumberFormat="1" applyFont="1" applyFill="1" applyBorder="1" applyAlignment="1">
      <alignment horizontal="center" vertical="center" wrapText="1"/>
    </xf>
    <xf numFmtId="0" fontId="47" fillId="18" borderId="108" xfId="18" applyFont="1" applyFill="1" applyBorder="1" applyAlignment="1">
      <alignment horizontal="center"/>
    </xf>
    <xf numFmtId="0" fontId="100" fillId="0" borderId="140" xfId="18" applyFont="1" applyFill="1" applyBorder="1" applyAlignment="1" applyProtection="1">
      <alignment horizontal="right"/>
    </xf>
    <xf numFmtId="0" fontId="63" fillId="24" borderId="12" xfId="3" applyNumberFormat="1" applyFont="1" applyFill="1" applyBorder="1" applyAlignment="1">
      <alignment horizontal="left"/>
    </xf>
    <xf numFmtId="0" fontId="52" fillId="0" borderId="12" xfId="3" applyNumberFormat="1" applyFont="1" applyFill="1" applyBorder="1" applyAlignment="1">
      <alignment horizontal="centerContinuous" vertical="center"/>
    </xf>
    <xf numFmtId="0" fontId="52" fillId="0" borderId="3" xfId="3" applyNumberFormat="1" applyFont="1" applyFill="1" applyBorder="1" applyAlignment="1">
      <alignment horizontal="centerContinuous" vertical="center"/>
    </xf>
    <xf numFmtId="0" fontId="53" fillId="13" borderId="39" xfId="0" applyFont="1" applyFill="1" applyBorder="1"/>
    <xf numFmtId="0" fontId="53" fillId="13" borderId="23" xfId="0" applyFont="1" applyFill="1" applyBorder="1" applyAlignment="1">
      <alignment horizontal="left" vertical="top"/>
    </xf>
    <xf numFmtId="0" fontId="53" fillId="13" borderId="23" xfId="0" applyFont="1" applyFill="1" applyBorder="1" applyAlignment="1">
      <alignment vertical="top" wrapText="1"/>
    </xf>
    <xf numFmtId="0" fontId="62" fillId="13" borderId="62" xfId="0" applyFont="1" applyFill="1" applyBorder="1" applyAlignment="1">
      <alignment vertical="top"/>
    </xf>
    <xf numFmtId="6" fontId="53" fillId="0" borderId="78" xfId="3" applyNumberFormat="1" applyFont="1" applyBorder="1" applyAlignment="1" applyProtection="1">
      <alignment horizontal="center"/>
      <protection locked="0"/>
    </xf>
    <xf numFmtId="0" fontId="55" fillId="0" borderId="0" xfId="3" applyFont="1" applyFill="1" applyBorder="1" applyAlignment="1" applyProtection="1">
      <alignment horizontal="center" vertical="center"/>
    </xf>
    <xf numFmtId="3" fontId="53" fillId="0" borderId="0" xfId="3" applyNumberFormat="1" applyFont="1" applyBorder="1" applyAlignment="1" applyProtection="1">
      <alignment horizontal="right" indent="1"/>
    </xf>
    <xf numFmtId="5" fontId="53" fillId="0" borderId="0" xfId="3" applyNumberFormat="1" applyFont="1" applyBorder="1" applyAlignment="1" applyProtection="1"/>
    <xf numFmtId="5" fontId="53" fillId="0" borderId="0" xfId="3" applyNumberFormat="1" applyFont="1" applyBorder="1" applyAlignment="1" applyProtection="1">
      <alignment horizontal="center"/>
    </xf>
    <xf numFmtId="38" fontId="60" fillId="0" borderId="148" xfId="11" applyNumberFormat="1" applyFont="1" applyFill="1" applyBorder="1" applyAlignment="1" applyProtection="1">
      <alignment horizontal="right"/>
      <protection locked="0"/>
    </xf>
    <xf numFmtId="38" fontId="60" fillId="17" borderId="0" xfId="11" applyNumberFormat="1" applyFont="1" applyFill="1" applyBorder="1" applyAlignment="1" applyProtection="1">
      <alignment horizontal="right"/>
    </xf>
    <xf numFmtId="38" fontId="60" fillId="17" borderId="9" xfId="11" applyNumberFormat="1" applyFont="1" applyFill="1" applyBorder="1" applyAlignment="1" applyProtection="1">
      <alignment horizontal="right"/>
    </xf>
    <xf numFmtId="3" fontId="60" fillId="17" borderId="9" xfId="10" applyNumberFormat="1" applyFont="1" applyFill="1" applyBorder="1" applyAlignment="1" applyProtection="1">
      <alignment vertical="center"/>
    </xf>
    <xf numFmtId="3" fontId="60" fillId="17" borderId="6" xfId="10" applyNumberFormat="1" applyFont="1" applyFill="1" applyBorder="1" applyAlignment="1" applyProtection="1">
      <alignment vertical="center"/>
    </xf>
    <xf numFmtId="38" fontId="60" fillId="17" borderId="9" xfId="10" applyNumberFormat="1" applyFont="1" applyFill="1" applyBorder="1" applyAlignment="1" applyProtection="1">
      <alignment horizontal="right" vertical="center"/>
    </xf>
    <xf numFmtId="38" fontId="60" fillId="17" borderId="0" xfId="10" applyNumberFormat="1" applyFont="1" applyFill="1" applyAlignment="1">
      <alignment vertical="top"/>
    </xf>
    <xf numFmtId="38" fontId="60" fillId="17" borderId="6" xfId="10" applyNumberFormat="1" applyFont="1" applyFill="1" applyBorder="1" applyAlignment="1" applyProtection="1">
      <alignment horizontal="right" vertical="center"/>
    </xf>
    <xf numFmtId="38" fontId="60" fillId="17" borderId="6" xfId="10" applyNumberFormat="1" applyFont="1" applyFill="1" applyBorder="1" applyAlignment="1" applyProtection="1">
      <alignment horizontal="right"/>
    </xf>
    <xf numFmtId="38" fontId="60" fillId="17" borderId="0" xfId="10" applyNumberFormat="1" applyFont="1" applyFill="1" applyAlignment="1">
      <alignment horizontal="right"/>
    </xf>
    <xf numFmtId="38" fontId="60" fillId="17" borderId="9" xfId="10" applyNumberFormat="1" applyFont="1" applyFill="1" applyBorder="1" applyAlignment="1" applyProtection="1">
      <alignment horizontal="right"/>
    </xf>
    <xf numFmtId="38" fontId="60" fillId="17" borderId="6" xfId="10" applyNumberFormat="1" applyFont="1" applyFill="1" applyBorder="1" applyAlignment="1">
      <alignment horizontal="right"/>
    </xf>
    <xf numFmtId="38" fontId="60" fillId="17" borderId="148" xfId="10" applyNumberFormat="1" applyFont="1" applyFill="1" applyBorder="1" applyAlignment="1" applyProtection="1">
      <alignment horizontal="right"/>
    </xf>
    <xf numFmtId="0" fontId="62" fillId="0" borderId="0" xfId="11" quotePrefix="1" applyFont="1" applyAlignment="1">
      <alignment horizontal="left" vertical="top"/>
    </xf>
    <xf numFmtId="0" fontId="62" fillId="0" borderId="0" xfId="11" applyFont="1" applyAlignment="1">
      <alignment horizontal="left" vertical="top"/>
    </xf>
    <xf numFmtId="0" fontId="62" fillId="0" borderId="0" xfId="11" applyFont="1" applyAlignment="1">
      <alignment horizontal="center" vertical="top"/>
    </xf>
    <xf numFmtId="0" fontId="62" fillId="0" borderId="0" xfId="11" applyFont="1" applyAlignment="1">
      <alignment horizontal="left" vertical="top" wrapText="1"/>
    </xf>
    <xf numFmtId="0" fontId="62" fillId="0" borderId="0" xfId="10" applyFont="1" applyAlignment="1">
      <alignment vertical="center"/>
    </xf>
    <xf numFmtId="0" fontId="62" fillId="0" borderId="0" xfId="11" applyFont="1" applyAlignment="1">
      <alignment vertical="center"/>
    </xf>
    <xf numFmtId="0" fontId="62" fillId="0" borderId="0" xfId="11" applyFont="1" applyAlignment="1">
      <alignment horizontal="right" vertical="center"/>
    </xf>
    <xf numFmtId="0" fontId="62" fillId="0" borderId="0" xfId="0" applyFont="1" applyBorder="1" applyAlignment="1" applyProtection="1">
      <alignment horizontal="left" vertical="center"/>
    </xf>
    <xf numFmtId="0" fontId="85" fillId="0" borderId="0" xfId="2" applyFont="1" applyAlignment="1" applyProtection="1">
      <alignment horizontal="right" vertical="center"/>
    </xf>
    <xf numFmtId="0" fontId="31" fillId="0" borderId="0" xfId="2" applyAlignment="1" applyProtection="1">
      <alignment vertical="center"/>
    </xf>
    <xf numFmtId="0" fontId="62" fillId="18" borderId="21" xfId="0" applyFont="1" applyFill="1" applyBorder="1" applyAlignment="1" applyProtection="1">
      <alignment vertical="center"/>
    </xf>
    <xf numFmtId="0" fontId="62" fillId="18" borderId="2" xfId="0" applyFont="1" applyFill="1" applyBorder="1" applyAlignment="1" applyProtection="1">
      <alignment vertical="center"/>
    </xf>
    <xf numFmtId="0" fontId="1" fillId="0" borderId="158" xfId="17" applyFont="1" applyBorder="1" applyAlignment="1" applyProtection="1">
      <alignment horizontal="left" vertical="top" wrapText="1"/>
      <protection locked="0"/>
    </xf>
    <xf numFmtId="0" fontId="64" fillId="0" borderId="0" xfId="0" applyFont="1"/>
    <xf numFmtId="0" fontId="73" fillId="0" borderId="0" xfId="0" applyFont="1"/>
    <xf numFmtId="0" fontId="31" fillId="0" borderId="19" xfId="2" applyBorder="1" applyAlignment="1" applyProtection="1">
      <protection locked="0"/>
    </xf>
    <xf numFmtId="0" fontId="17" fillId="0" borderId="20" xfId="0" applyFont="1" applyBorder="1" applyProtection="1">
      <protection locked="0"/>
    </xf>
    <xf numFmtId="0" fontId="17" fillId="0" borderId="11" xfId="0" applyFont="1" applyBorder="1" applyProtection="1">
      <protection locked="0"/>
    </xf>
    <xf numFmtId="0" fontId="11" fillId="0" borderId="17" xfId="12" quotePrefix="1" applyNumberFormat="1" applyFont="1" applyBorder="1" applyAlignment="1" applyProtection="1">
      <alignment horizontal="left" vertical="center" indent="1"/>
      <protection locked="0"/>
    </xf>
    <xf numFmtId="0" fontId="11" fillId="0" borderId="0" xfId="0" applyFont="1" applyBorder="1" applyAlignment="1" applyProtection="1">
      <alignment horizontal="left" vertical="center" indent="1"/>
      <protection locked="0"/>
    </xf>
    <xf numFmtId="180" fontId="11" fillId="0" borderId="19" xfId="0" applyNumberFormat="1" applyFont="1" applyBorder="1" applyAlignment="1" applyProtection="1">
      <alignment horizontal="left" vertical="center"/>
      <protection locked="0"/>
    </xf>
    <xf numFmtId="180" fontId="11" fillId="0" borderId="20" xfId="0" applyNumberFormat="1" applyFont="1" applyBorder="1" applyAlignment="1" applyProtection="1">
      <alignment horizontal="left" vertical="center"/>
      <protection locked="0"/>
    </xf>
    <xf numFmtId="180" fontId="11" fillId="0" borderId="11" xfId="0" applyNumberFormat="1" applyFont="1" applyBorder="1" applyAlignment="1" applyProtection="1">
      <alignment horizontal="left" vertical="center"/>
      <protection locked="0"/>
    </xf>
    <xf numFmtId="180" fontId="11" fillId="0" borderId="17" xfId="12" applyNumberFormat="1" applyFont="1" applyBorder="1" applyAlignment="1" applyProtection="1">
      <alignment horizontal="left" vertical="center" indent="1"/>
      <protection locked="0"/>
    </xf>
    <xf numFmtId="180" fontId="11" fillId="0" borderId="0" xfId="0" applyNumberFormat="1" applyFont="1" applyBorder="1" applyAlignment="1" applyProtection="1">
      <alignment horizontal="left" vertical="center" indent="1"/>
      <protection locked="0"/>
    </xf>
    <xf numFmtId="180" fontId="11" fillId="0" borderId="19" xfId="12" applyNumberFormat="1" applyFont="1" applyBorder="1" applyAlignment="1" applyProtection="1">
      <alignment horizontal="left" vertical="center"/>
      <protection locked="0"/>
    </xf>
    <xf numFmtId="0" fontId="11" fillId="0" borderId="19" xfId="12" applyNumberFormat="1" applyFont="1" applyBorder="1" applyAlignment="1" applyProtection="1">
      <alignment horizontal="left" vertical="center"/>
      <protection locked="0"/>
    </xf>
    <xf numFmtId="0" fontId="11" fillId="0" borderId="20" xfId="0" applyNumberFormat="1" applyFont="1" applyBorder="1" applyAlignment="1" applyProtection="1">
      <alignment horizontal="left" vertical="center"/>
      <protection locked="0"/>
    </xf>
    <xf numFmtId="0" fontId="11" fillId="0" borderId="20" xfId="0" applyFont="1" applyBorder="1" applyAlignment="1" applyProtection="1">
      <alignment horizontal="left" vertical="center"/>
      <protection locked="0"/>
    </xf>
    <xf numFmtId="0" fontId="11" fillId="0" borderId="11" xfId="0" applyFont="1" applyBorder="1" applyAlignment="1" applyProtection="1">
      <alignment horizontal="left" vertical="center"/>
      <protection locked="0"/>
    </xf>
    <xf numFmtId="0" fontId="42" fillId="0" borderId="19" xfId="2" applyNumberFormat="1" applyFont="1" applyBorder="1" applyAlignment="1" applyProtection="1">
      <alignment horizontal="left" vertical="center"/>
      <protection locked="0"/>
    </xf>
    <xf numFmtId="0" fontId="42" fillId="0" borderId="20" xfId="2" applyNumberFormat="1" applyFont="1" applyBorder="1" applyAlignment="1" applyProtection="1">
      <alignment horizontal="left" vertical="center"/>
      <protection locked="0"/>
    </xf>
    <xf numFmtId="0" fontId="42" fillId="0" borderId="20" xfId="2" applyFont="1" applyBorder="1" applyAlignment="1" applyProtection="1">
      <alignment horizontal="left" vertical="center"/>
      <protection locked="0"/>
    </xf>
    <xf numFmtId="0" fontId="42" fillId="0" borderId="11" xfId="2" applyFont="1" applyBorder="1" applyAlignment="1" applyProtection="1">
      <alignment horizontal="left" vertical="center"/>
      <protection locked="0"/>
    </xf>
    <xf numFmtId="14" fontId="11" fillId="0" borderId="126" xfId="12" applyNumberFormat="1" applyFont="1" applyBorder="1" applyAlignment="1" applyProtection="1">
      <alignment horizontal="left" vertical="center" indent="1"/>
      <protection locked="0"/>
    </xf>
    <xf numFmtId="0" fontId="11" fillId="0" borderId="129" xfId="12" applyNumberFormat="1" applyFont="1" applyBorder="1" applyAlignment="1" applyProtection="1">
      <alignment horizontal="left" vertical="center" indent="1"/>
      <protection locked="0"/>
    </xf>
    <xf numFmtId="0" fontId="11" fillId="0" borderId="127" xfId="12" applyNumberFormat="1" applyFont="1" applyBorder="1" applyAlignment="1" applyProtection="1">
      <alignment horizontal="left" vertical="center" indent="1"/>
      <protection locked="0"/>
    </xf>
    <xf numFmtId="180" fontId="11" fillId="0" borderId="126" xfId="12" applyNumberFormat="1" applyFont="1" applyBorder="1" applyAlignment="1" applyProtection="1">
      <alignment horizontal="left" vertical="center" indent="1"/>
      <protection locked="0"/>
    </xf>
    <xf numFmtId="180" fontId="11" fillId="0" borderId="129" xfId="12" applyNumberFormat="1" applyFont="1" applyBorder="1" applyAlignment="1" applyProtection="1">
      <alignment horizontal="left" vertical="center" indent="1"/>
      <protection locked="0"/>
    </xf>
    <xf numFmtId="180" fontId="11" fillId="0" borderId="127" xfId="12" applyNumberFormat="1" applyFont="1" applyBorder="1" applyAlignment="1" applyProtection="1">
      <alignment horizontal="left" vertical="center" indent="1"/>
      <protection locked="0"/>
    </xf>
    <xf numFmtId="0" fontId="32"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2" fillId="0" borderId="17" xfId="12" applyNumberFormat="1" applyFont="1" applyBorder="1" applyAlignment="1" applyProtection="1">
      <alignment horizontal="center" vertical="center"/>
    </xf>
    <xf numFmtId="0" fontId="11" fillId="0" borderId="0" xfId="0" applyFont="1" applyBorder="1" applyAlignment="1">
      <alignment horizontal="center" vertical="center"/>
    </xf>
    <xf numFmtId="0" fontId="11" fillId="0" borderId="18" xfId="0" applyFont="1" applyBorder="1" applyAlignment="1">
      <alignment horizontal="center" vertical="center"/>
    </xf>
    <xf numFmtId="0" fontId="37" fillId="0" borderId="19" xfId="0" applyFont="1" applyBorder="1" applyAlignment="1">
      <alignment horizontal="center" vertical="top"/>
    </xf>
    <xf numFmtId="0" fontId="37" fillId="0" borderId="20" xfId="0" applyFont="1" applyBorder="1" applyAlignment="1">
      <alignment horizontal="center" vertical="top"/>
    </xf>
    <xf numFmtId="0" fontId="37" fillId="0" borderId="11" xfId="0" applyFont="1" applyBorder="1" applyAlignment="1">
      <alignment horizontal="center" vertical="top"/>
    </xf>
    <xf numFmtId="0" fontId="11" fillId="0" borderId="19" xfId="12" applyNumberFormat="1" applyFont="1" applyFill="1" applyBorder="1" applyAlignment="1" applyProtection="1">
      <alignment horizontal="left" vertical="center" indent="1"/>
      <protection locked="0"/>
    </xf>
    <xf numFmtId="0" fontId="11" fillId="0" borderId="20" xfId="0" applyFont="1" applyBorder="1" applyAlignment="1" applyProtection="1">
      <alignment horizontal="left" vertical="center" indent="1"/>
      <protection locked="0"/>
    </xf>
    <xf numFmtId="0" fontId="11" fillId="0" borderId="11" xfId="0" applyFont="1" applyBorder="1" applyAlignment="1" applyProtection="1">
      <alignment horizontal="left" vertical="center" indent="1"/>
      <protection locked="0"/>
    </xf>
    <xf numFmtId="0" fontId="11" fillId="0" borderId="19" xfId="12" applyNumberFormat="1" applyFont="1" applyBorder="1" applyAlignment="1" applyProtection="1">
      <alignment horizontal="left" vertical="center" indent="1"/>
      <protection locked="0"/>
    </xf>
    <xf numFmtId="0" fontId="11" fillId="0" borderId="20" xfId="0" applyNumberFormat="1" applyFont="1" applyBorder="1" applyAlignment="1" applyProtection="1">
      <alignment horizontal="left" vertical="center" indent="1"/>
      <protection locked="0"/>
    </xf>
    <xf numFmtId="174" fontId="11" fillId="0" borderId="17" xfId="12" applyNumberFormat="1" applyFont="1" applyBorder="1" applyAlignment="1" applyProtection="1">
      <alignment horizontal="left" vertical="center" indent="1"/>
      <protection locked="0"/>
    </xf>
    <xf numFmtId="174" fontId="11" fillId="0" borderId="0" xfId="0" applyNumberFormat="1" applyFont="1" applyBorder="1" applyAlignment="1" applyProtection="1">
      <alignment horizontal="left" vertical="center" indent="1"/>
      <protection locked="0"/>
    </xf>
    <xf numFmtId="174" fontId="11" fillId="0" borderId="18" xfId="0" applyNumberFormat="1" applyFont="1" applyBorder="1" applyAlignment="1" applyProtection="1">
      <alignment horizontal="left" vertical="center" indent="1"/>
      <protection locked="0"/>
    </xf>
    <xf numFmtId="0" fontId="11" fillId="0" borderId="20" xfId="12" applyNumberFormat="1" applyFont="1" applyBorder="1" applyAlignment="1" applyProtection="1">
      <alignment horizontal="left" vertical="center" indent="1"/>
      <protection locked="0"/>
    </xf>
    <xf numFmtId="0" fontId="11" fillId="0" borderId="11" xfId="12" applyNumberFormat="1" applyFont="1" applyBorder="1" applyAlignment="1" applyProtection="1">
      <alignment horizontal="left" vertical="center" indent="1"/>
      <protection locked="0"/>
    </xf>
    <xf numFmtId="0" fontId="11" fillId="0" borderId="19" xfId="12" applyNumberFormat="1" applyFont="1" applyBorder="1" applyAlignment="1" applyProtection="1">
      <alignment horizontal="left" vertical="center" readingOrder="1"/>
      <protection locked="0"/>
    </xf>
    <xf numFmtId="0" fontId="11" fillId="0" borderId="20" xfId="0" applyNumberFormat="1" applyFont="1" applyBorder="1" applyAlignment="1" applyProtection="1">
      <alignment horizontal="left" vertical="center" readingOrder="1"/>
      <protection locked="0"/>
    </xf>
    <xf numFmtId="0" fontId="12" fillId="0" borderId="20" xfId="0" applyFont="1" applyBorder="1" applyAlignment="1" applyProtection="1">
      <alignment vertical="center" readingOrder="1"/>
      <protection locked="0"/>
    </xf>
    <xf numFmtId="0" fontId="12" fillId="0" borderId="11" xfId="0" applyFont="1" applyBorder="1" applyAlignment="1" applyProtection="1">
      <alignment vertical="center" readingOrder="1"/>
      <protection locked="0"/>
    </xf>
    <xf numFmtId="0" fontId="12" fillId="0" borderId="20" xfId="0" applyFont="1" applyBorder="1" applyAlignment="1" applyProtection="1">
      <alignment vertical="center"/>
      <protection locked="0"/>
    </xf>
    <xf numFmtId="0" fontId="12" fillId="0" borderId="11" xfId="0" applyFont="1" applyBorder="1" applyAlignment="1" applyProtection="1">
      <alignment vertical="center"/>
      <protection locked="0"/>
    </xf>
    <xf numFmtId="0" fontId="11" fillId="0" borderId="137" xfId="12" applyFont="1" applyBorder="1" applyAlignment="1" applyProtection="1">
      <alignment horizontal="left" vertical="center" indent="1"/>
      <protection locked="0"/>
    </xf>
    <xf numFmtId="0" fontId="11" fillId="0" borderId="127" xfId="0" applyFont="1" applyBorder="1" applyAlignment="1" applyProtection="1">
      <alignment horizontal="left" vertical="center" indent="1"/>
      <protection locked="0"/>
    </xf>
    <xf numFmtId="0" fontId="11" fillId="0" borderId="19" xfId="0" applyFont="1" applyBorder="1" applyAlignment="1" applyProtection="1">
      <alignment horizontal="left" vertical="center" indent="1"/>
      <protection locked="0"/>
    </xf>
    <xf numFmtId="0" fontId="11" fillId="0" borderId="129" xfId="0" applyFont="1" applyBorder="1" applyAlignment="1" applyProtection="1">
      <alignment horizontal="left" vertical="center" indent="1"/>
      <protection locked="0"/>
    </xf>
    <xf numFmtId="0" fontId="18"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49" fontId="31" fillId="0" borderId="19" xfId="2" applyNumberFormat="1" applyFill="1" applyBorder="1" applyAlignment="1" applyProtection="1">
      <alignment horizontal="left" vertical="center" indent="1"/>
      <protection locked="0"/>
    </xf>
    <xf numFmtId="49" fontId="35" fillId="0" borderId="20" xfId="0" applyNumberFormat="1" applyFont="1" applyBorder="1" applyAlignment="1" applyProtection="1">
      <alignment horizontal="left" vertical="center" indent="1"/>
      <protection locked="0"/>
    </xf>
    <xf numFmtId="49" fontId="35" fillId="0" borderId="11" xfId="0" applyNumberFormat="1" applyFont="1" applyBorder="1" applyAlignment="1" applyProtection="1">
      <alignment horizontal="left" vertical="center" indent="1"/>
      <protection locked="0"/>
    </xf>
    <xf numFmtId="0" fontId="19" fillId="0" borderId="17" xfId="12" applyNumberFormat="1" applyFont="1" applyBorder="1" applyAlignment="1" applyProtection="1">
      <alignment horizontal="center" vertical="center"/>
    </xf>
    <xf numFmtId="0" fontId="31" fillId="0" borderId="17" xfId="2" applyNumberFormat="1" applyBorder="1" applyAlignment="1" applyProtection="1">
      <alignment horizontal="center" vertical="center"/>
    </xf>
    <xf numFmtId="0" fontId="31" fillId="0" borderId="0" xfId="2" applyBorder="1" applyAlignment="1" applyProtection="1">
      <alignment horizontal="center" vertical="center"/>
    </xf>
    <xf numFmtId="0" fontId="31" fillId="0" borderId="18" xfId="2" applyBorder="1" applyAlignment="1" applyProtection="1">
      <alignment horizontal="center" vertical="center"/>
    </xf>
    <xf numFmtId="0" fontId="32" fillId="0" borderId="17" xfId="12"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11" fillId="0" borderId="17" xfId="12" applyNumberFormat="1" applyFont="1" applyBorder="1" applyAlignment="1" applyProtection="1">
      <alignment horizontal="left" vertical="center" indent="1"/>
      <protection locked="0"/>
    </xf>
    <xf numFmtId="0" fontId="11" fillId="0" borderId="0" xfId="0" applyNumberFormat="1" applyFont="1" applyBorder="1" applyAlignment="1" applyProtection="1">
      <alignment horizontal="left" vertical="center" indent="1"/>
      <protection locked="0"/>
    </xf>
    <xf numFmtId="0" fontId="11" fillId="0" borderId="18" xfId="0" applyFont="1" applyBorder="1" applyAlignment="1" applyProtection="1">
      <alignment horizontal="left" vertical="center" indent="1"/>
      <protection locked="0"/>
    </xf>
    <xf numFmtId="49" fontId="14" fillId="0" borderId="0" xfId="12" applyNumberFormat="1" applyFont="1" applyBorder="1" applyAlignment="1" applyProtection="1">
      <alignment horizontal="center" vertical="center"/>
    </xf>
    <xf numFmtId="0" fontId="14" fillId="0" borderId="0" xfId="0" applyFont="1" applyBorder="1" applyAlignment="1">
      <alignment horizontal="center" vertical="center"/>
    </xf>
    <xf numFmtId="0" fontId="14" fillId="0" borderId="0" xfId="12" applyFont="1" applyBorder="1" applyAlignment="1" applyProtection="1">
      <alignment horizontal="center" vertical="center"/>
    </xf>
    <xf numFmtId="171" fontId="11"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2" fillId="0" borderId="12" xfId="12" applyFont="1" applyBorder="1" applyAlignment="1" applyProtection="1">
      <alignment horizontal="center"/>
    </xf>
    <xf numFmtId="0" fontId="12" fillId="0" borderId="16" xfId="0" applyFont="1" applyBorder="1" applyAlignment="1">
      <alignment horizontal="center"/>
    </xf>
    <xf numFmtId="0" fontId="12" fillId="0" borderId="10" xfId="0" applyFont="1" applyBorder="1" applyAlignment="1">
      <alignment horizontal="center"/>
    </xf>
    <xf numFmtId="0" fontId="11" fillId="0" borderId="0" xfId="12" applyFont="1" applyBorder="1" applyAlignment="1" applyProtection="1">
      <alignment horizontal="center" vertical="center"/>
    </xf>
    <xf numFmtId="49" fontId="11" fillId="0" borderId="0" xfId="12" applyNumberFormat="1" applyFont="1" applyBorder="1" applyAlignment="1" applyProtection="1">
      <alignment horizontal="center" vertical="center"/>
    </xf>
    <xf numFmtId="0" fontId="12" fillId="0" borderId="19" xfId="12" applyFont="1" applyBorder="1" applyAlignment="1" applyProtection="1">
      <alignment vertical="center"/>
    </xf>
    <xf numFmtId="0" fontId="12" fillId="0" borderId="20"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180" fontId="11" fillId="0" borderId="19" xfId="12" applyNumberFormat="1" applyFont="1" applyBorder="1" applyAlignment="1" applyProtection="1">
      <alignment horizontal="left" vertical="center" indent="1"/>
      <protection locked="0"/>
    </xf>
    <xf numFmtId="180" fontId="11" fillId="0" borderId="20" xfId="0" applyNumberFormat="1" applyFont="1" applyBorder="1" applyAlignment="1" applyProtection="1">
      <alignment horizontal="left" vertical="center" indent="1"/>
      <protection locked="0"/>
    </xf>
    <xf numFmtId="180" fontId="11" fillId="0" borderId="11" xfId="0" applyNumberFormat="1" applyFont="1" applyBorder="1" applyAlignment="1" applyProtection="1">
      <alignment horizontal="left" vertical="center" indent="1"/>
      <protection locked="0"/>
    </xf>
    <xf numFmtId="0" fontId="11" fillId="0" borderId="0" xfId="12" applyFont="1" applyBorder="1" applyAlignment="1" applyProtection="1">
      <alignment vertical="center"/>
      <protection locked="0"/>
    </xf>
    <xf numFmtId="0" fontId="12"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9" fillId="0" borderId="12" xfId="12" applyNumberFormat="1" applyFont="1" applyBorder="1" applyAlignment="1" applyProtection="1">
      <alignment horizontal="left" vertical="center"/>
    </xf>
    <xf numFmtId="0" fontId="12" fillId="0" borderId="16" xfId="0" applyNumberFormat="1" applyFont="1" applyBorder="1" applyAlignment="1">
      <alignment horizontal="left" vertical="center"/>
    </xf>
    <xf numFmtId="0" fontId="32" fillId="0" borderId="17" xfId="12" applyNumberFormat="1" applyFont="1" applyBorder="1" applyAlignment="1" applyProtection="1">
      <alignment horizontal="center"/>
    </xf>
    <xf numFmtId="0" fontId="31" fillId="0" borderId="19" xfId="2" applyNumberFormat="1" applyBorder="1" applyAlignment="1" applyProtection="1">
      <alignment horizontal="left" vertical="center" indent="1"/>
      <protection locked="0"/>
    </xf>
    <xf numFmtId="0" fontId="42" fillId="0" borderId="20" xfId="2" applyNumberFormat="1" applyFont="1" applyBorder="1" applyAlignment="1" applyProtection="1">
      <alignment horizontal="left" vertical="center" indent="1"/>
      <protection locked="0"/>
    </xf>
    <xf numFmtId="0" fontId="42" fillId="0" borderId="20" xfId="2" applyFont="1" applyBorder="1" applyAlignment="1" applyProtection="1">
      <alignment horizontal="left" vertical="center" indent="1"/>
      <protection locked="0"/>
    </xf>
    <xf numFmtId="0" fontId="19" fillId="0" borderId="20" xfId="0" applyFont="1" applyBorder="1" applyAlignment="1" applyProtection="1">
      <alignment horizontal="left" vertical="center" indent="1"/>
      <protection locked="0"/>
    </xf>
    <xf numFmtId="0" fontId="19" fillId="0" borderId="11" xfId="0" applyFont="1" applyBorder="1" applyAlignment="1" applyProtection="1">
      <alignment horizontal="left" vertical="center" indent="1"/>
      <protection locked="0"/>
    </xf>
    <xf numFmtId="180" fontId="11" fillId="0" borderId="19" xfId="0" applyNumberFormat="1" applyFont="1" applyBorder="1" applyAlignment="1" applyProtection="1">
      <alignment horizontal="left" vertical="center" indent="1"/>
      <protection locked="0"/>
    </xf>
    <xf numFmtId="0" fontId="133" fillId="0" borderId="0" xfId="12" applyFont="1" applyBorder="1" applyAlignment="1" applyProtection="1">
      <alignment horizontal="center" vertical="center" wrapText="1"/>
    </xf>
    <xf numFmtId="0" fontId="133" fillId="0" borderId="18" xfId="12" applyFont="1" applyBorder="1" applyAlignment="1" applyProtection="1">
      <alignment horizontal="center" vertical="center" wrapText="1"/>
    </xf>
    <xf numFmtId="0" fontId="133" fillId="0" borderId="129" xfId="12" applyFont="1" applyBorder="1" applyAlignment="1" applyProtection="1">
      <alignment horizontal="center" vertical="center" wrapText="1"/>
    </xf>
    <xf numFmtId="0" fontId="133" fillId="0" borderId="127" xfId="12" applyFont="1" applyBorder="1" applyAlignment="1" applyProtection="1">
      <alignment horizontal="center" vertical="center" wrapText="1"/>
    </xf>
    <xf numFmtId="0" fontId="52" fillId="0" borderId="0" xfId="0" applyFont="1" applyBorder="1" applyAlignment="1">
      <alignment horizontal="center" vertical="center"/>
    </xf>
    <xf numFmtId="0" fontId="52" fillId="0" borderId="0" xfId="0" applyFont="1" applyBorder="1" applyAlignment="1">
      <alignment horizontal="center"/>
    </xf>
    <xf numFmtId="0" fontId="56" fillId="0" borderId="0" xfId="2" applyFont="1" applyBorder="1" applyAlignment="1" applyProtection="1">
      <alignment horizontal="center"/>
    </xf>
    <xf numFmtId="0" fontId="52" fillId="0" borderId="48" xfId="0" applyFont="1" applyBorder="1" applyAlignment="1">
      <alignment horizontal="center"/>
    </xf>
    <xf numFmtId="0" fontId="58" fillId="0" borderId="0" xfId="0" applyFont="1" applyBorder="1" applyAlignment="1" applyProtection="1">
      <alignment horizontal="center" vertical="center"/>
    </xf>
    <xf numFmtId="38" fontId="52" fillId="0" borderId="79" xfId="0" applyNumberFormat="1" applyFont="1" applyBorder="1" applyAlignment="1" applyProtection="1">
      <alignment horizontal="left" vertical="top" wrapText="1"/>
      <protection locked="0"/>
    </xf>
    <xf numFmtId="0" fontId="52" fillId="0" borderId="80" xfId="0" applyFont="1" applyBorder="1" applyAlignment="1" applyProtection="1">
      <alignment wrapText="1"/>
      <protection locked="0"/>
    </xf>
    <xf numFmtId="0" fontId="52" fillId="0" borderId="81" xfId="0" applyFont="1" applyBorder="1" applyAlignment="1" applyProtection="1">
      <alignment wrapText="1"/>
      <protection locked="0"/>
    </xf>
    <xf numFmtId="0" fontId="52" fillId="0" borderId="82" xfId="0" applyFont="1" applyBorder="1" applyAlignment="1" applyProtection="1">
      <alignment wrapText="1"/>
      <protection locked="0"/>
    </xf>
    <xf numFmtId="0" fontId="52" fillId="0" borderId="0" xfId="0" applyFont="1" applyAlignment="1" applyProtection="1">
      <alignment wrapText="1"/>
      <protection locked="0"/>
    </xf>
    <xf numFmtId="0" fontId="52" fillId="0" borderId="83" xfId="0" applyFont="1" applyBorder="1" applyAlignment="1" applyProtection="1">
      <alignment wrapText="1"/>
      <protection locked="0"/>
    </xf>
    <xf numFmtId="0" fontId="52" fillId="0" borderId="84" xfId="0" applyFont="1" applyBorder="1" applyAlignment="1" applyProtection="1">
      <alignment wrapText="1"/>
      <protection locked="0"/>
    </xf>
    <xf numFmtId="0" fontId="52" fillId="0" borderId="85" xfId="0" applyFont="1" applyBorder="1" applyAlignment="1" applyProtection="1">
      <alignment wrapText="1"/>
      <protection locked="0"/>
    </xf>
    <xf numFmtId="0" fontId="52" fillId="0" borderId="86" xfId="0" applyFont="1" applyBorder="1" applyAlignment="1" applyProtection="1">
      <alignment wrapText="1"/>
      <protection locked="0"/>
    </xf>
    <xf numFmtId="0" fontId="82" fillId="0" borderId="0" xfId="0" applyNumberFormat="1" applyFont="1" applyBorder="1" applyAlignment="1" applyProtection="1">
      <alignment horizontal="left" vertical="center" wrapText="1"/>
    </xf>
    <xf numFmtId="0" fontId="53" fillId="0" borderId="0" xfId="0" applyFont="1" applyAlignment="1">
      <alignment horizontal="left" vertical="center" wrapText="1"/>
    </xf>
    <xf numFmtId="166" fontId="60" fillId="0" borderId="0" xfId="0" applyNumberFormat="1" applyFont="1" applyBorder="1" applyAlignment="1" applyProtection="1">
      <alignment horizontal="left" vertical="center"/>
    </xf>
    <xf numFmtId="166" fontId="55" fillId="0" borderId="0" xfId="0" applyNumberFormat="1" applyFont="1" applyAlignment="1">
      <alignment horizontal="left" vertical="center"/>
    </xf>
    <xf numFmtId="0" fontId="64" fillId="0" borderId="0" xfId="0" applyFont="1" applyBorder="1" applyAlignment="1" applyProtection="1">
      <alignment horizontal="center" vertical="center"/>
    </xf>
    <xf numFmtId="0" fontId="53" fillId="0" borderId="12" xfId="3" applyFont="1" applyBorder="1" applyAlignment="1" applyProtection="1">
      <alignment horizontal="left" vertical="top"/>
      <protection locked="0"/>
    </xf>
    <xf numFmtId="0" fontId="53" fillId="0" borderId="16" xfId="3" applyFont="1" applyBorder="1" applyAlignment="1" applyProtection="1">
      <alignment horizontal="left" vertical="top"/>
      <protection locked="0"/>
    </xf>
    <xf numFmtId="0" fontId="53" fillId="0" borderId="10" xfId="3" applyFont="1" applyBorder="1" applyAlignment="1" applyProtection="1">
      <alignment horizontal="left" vertical="top"/>
      <protection locked="0"/>
    </xf>
    <xf numFmtId="0" fontId="53" fillId="0" borderId="17" xfId="3" applyFont="1" applyBorder="1" applyAlignment="1" applyProtection="1">
      <alignment horizontal="left" vertical="top"/>
      <protection locked="0"/>
    </xf>
    <xf numFmtId="0" fontId="53" fillId="0" borderId="0" xfId="3" applyFont="1" applyBorder="1" applyAlignment="1" applyProtection="1">
      <alignment horizontal="left" vertical="top"/>
      <protection locked="0"/>
    </xf>
    <xf numFmtId="0" fontId="53" fillId="0" borderId="18" xfId="3" applyFont="1" applyBorder="1" applyAlignment="1" applyProtection="1">
      <alignment horizontal="left" vertical="top"/>
      <protection locked="0"/>
    </xf>
    <xf numFmtId="0" fontId="53" fillId="0" borderId="126" xfId="3" applyFont="1" applyBorder="1" applyAlignment="1" applyProtection="1">
      <alignment horizontal="left" vertical="top"/>
      <protection locked="0"/>
    </xf>
    <xf numFmtId="0" fontId="53" fillId="0" borderId="129" xfId="3" applyFont="1" applyBorder="1" applyAlignment="1" applyProtection="1">
      <alignment horizontal="left" vertical="top"/>
      <protection locked="0"/>
    </xf>
    <xf numFmtId="0" fontId="53" fillId="0" borderId="127" xfId="3" applyFont="1" applyBorder="1" applyAlignment="1" applyProtection="1">
      <alignment horizontal="left" vertical="top"/>
      <protection locked="0"/>
    </xf>
    <xf numFmtId="0" fontId="52" fillId="0" borderId="135" xfId="3" applyFont="1" applyBorder="1" applyAlignment="1" applyProtection="1">
      <alignment horizontal="center"/>
      <protection locked="0"/>
    </xf>
    <xf numFmtId="0" fontId="71" fillId="0" borderId="0" xfId="3" applyFont="1" applyBorder="1" applyAlignment="1">
      <alignment horizontal="left" vertical="top" wrapText="1"/>
    </xf>
    <xf numFmtId="0" fontId="78" fillId="0" borderId="0" xfId="3" applyFont="1" applyBorder="1" applyAlignment="1">
      <alignment horizontal="left" vertical="top" wrapText="1"/>
    </xf>
    <xf numFmtId="0" fontId="78" fillId="0" borderId="0" xfId="3" applyFont="1" applyAlignment="1">
      <alignment horizontal="left" vertical="top" wrapText="1"/>
    </xf>
    <xf numFmtId="0" fontId="64" fillId="0" borderId="0" xfId="0" applyFont="1" applyBorder="1" applyAlignment="1" applyProtection="1">
      <alignment horizontal="left" vertical="center"/>
    </xf>
    <xf numFmtId="0" fontId="64" fillId="0" borderId="0" xfId="0" applyFont="1" applyAlignment="1">
      <alignment horizontal="left" vertical="center"/>
    </xf>
    <xf numFmtId="0" fontId="63" fillId="0" borderId="0" xfId="0" applyFont="1" applyAlignment="1">
      <alignment horizontal="left" vertical="center"/>
    </xf>
    <xf numFmtId="0" fontId="73" fillId="0" borderId="0" xfId="0" applyFont="1" applyAlignment="1">
      <alignment horizontal="left" vertical="center"/>
    </xf>
    <xf numFmtId="0" fontId="55" fillId="0" borderId="0" xfId="0" applyFont="1" applyAlignment="1">
      <alignment horizontal="left" vertical="center"/>
    </xf>
    <xf numFmtId="0" fontId="52" fillId="19" borderId="0" xfId="0" applyFont="1" applyFill="1" applyBorder="1" applyAlignment="1" applyProtection="1">
      <alignment horizontal="center" vertical="center"/>
    </xf>
    <xf numFmtId="0" fontId="52" fillId="19" borderId="104" xfId="0" applyFont="1" applyFill="1" applyBorder="1" applyAlignment="1" applyProtection="1">
      <alignment horizontal="center" vertical="center"/>
    </xf>
    <xf numFmtId="0" fontId="53" fillId="0" borderId="12" xfId="0" applyFont="1" applyBorder="1" applyAlignment="1" applyProtection="1">
      <alignment horizontal="left" vertical="top" wrapText="1"/>
      <protection locked="0"/>
    </xf>
    <xf numFmtId="0" fontId="53" fillId="0" borderId="16" xfId="0" applyFont="1" applyBorder="1" applyAlignment="1" applyProtection="1">
      <alignment horizontal="left" vertical="top" wrapText="1"/>
      <protection locked="0"/>
    </xf>
    <xf numFmtId="0" fontId="53" fillId="0" borderId="10" xfId="0" applyFont="1" applyBorder="1" applyAlignment="1" applyProtection="1">
      <alignment horizontal="left" vertical="top" wrapText="1"/>
      <protection locked="0"/>
    </xf>
    <xf numFmtId="0" fontId="53" fillId="0" borderId="17" xfId="0" applyFont="1" applyBorder="1" applyAlignment="1" applyProtection="1">
      <alignment horizontal="left" vertical="top" wrapText="1"/>
      <protection locked="0"/>
    </xf>
    <xf numFmtId="0" fontId="53" fillId="0" borderId="0" xfId="0" applyFont="1" applyBorder="1" applyAlignment="1" applyProtection="1">
      <alignment horizontal="left" vertical="top" wrapText="1"/>
      <protection locked="0"/>
    </xf>
    <xf numFmtId="0" fontId="53" fillId="0" borderId="18" xfId="0" applyFont="1" applyBorder="1" applyAlignment="1" applyProtection="1">
      <alignment horizontal="left" vertical="top" wrapText="1"/>
      <protection locked="0"/>
    </xf>
    <xf numFmtId="0" fontId="53" fillId="0" borderId="126" xfId="0" applyFont="1" applyBorder="1" applyAlignment="1" applyProtection="1">
      <alignment horizontal="left" vertical="top" wrapText="1"/>
      <protection locked="0"/>
    </xf>
    <xf numFmtId="0" fontId="53" fillId="0" borderId="129" xfId="0" applyFont="1" applyBorder="1" applyAlignment="1" applyProtection="1">
      <alignment horizontal="left" vertical="top" wrapText="1"/>
      <protection locked="0"/>
    </xf>
    <xf numFmtId="0" fontId="53" fillId="0" borderId="127" xfId="0" applyFont="1" applyBorder="1" applyAlignment="1" applyProtection="1">
      <alignment horizontal="left" vertical="top" wrapText="1"/>
      <protection locked="0"/>
    </xf>
    <xf numFmtId="0" fontId="60" fillId="0" borderId="0" xfId="0" applyFont="1" applyBorder="1" applyAlignment="1" applyProtection="1">
      <alignment wrapText="1"/>
    </xf>
    <xf numFmtId="0" fontId="60" fillId="0" borderId="0" xfId="0" applyFont="1" applyAlignment="1" applyProtection="1">
      <alignment horizontal="left" vertical="center"/>
    </xf>
    <xf numFmtId="0" fontId="60" fillId="0" borderId="0" xfId="0" applyFont="1" applyAlignment="1">
      <alignment horizontal="left" vertical="center"/>
    </xf>
    <xf numFmtId="0" fontId="60" fillId="0" borderId="0" xfId="0" applyFont="1" applyBorder="1" applyAlignment="1" applyProtection="1">
      <alignment vertical="top" wrapText="1"/>
    </xf>
    <xf numFmtId="0" fontId="60" fillId="0" borderId="0" xfId="0" applyFont="1" applyAlignment="1">
      <alignment wrapText="1"/>
    </xf>
    <xf numFmtId="0" fontId="70" fillId="0" borderId="0" xfId="0" applyFont="1" applyAlignment="1">
      <alignment horizontal="center" vertical="center"/>
    </xf>
    <xf numFmtId="0" fontId="55" fillId="0" borderId="0" xfId="0" applyFont="1" applyAlignment="1">
      <alignment horizontal="center" vertical="center"/>
    </xf>
    <xf numFmtId="0" fontId="54" fillId="0" borderId="0" xfId="2" applyFont="1" applyAlignment="1" applyProtection="1">
      <alignment horizontal="center" vertical="center"/>
    </xf>
    <xf numFmtId="0" fontId="52" fillId="0" borderId="10" xfId="0" applyFont="1" applyFill="1" applyBorder="1" applyAlignment="1" applyProtection="1">
      <alignment horizontal="center" vertical="center" wrapText="1"/>
    </xf>
    <xf numFmtId="0" fontId="52" fillId="0" borderId="127" xfId="0" applyFont="1" applyFill="1" applyBorder="1" applyAlignment="1" applyProtection="1">
      <alignment horizontal="center" vertical="center" wrapText="1"/>
    </xf>
    <xf numFmtId="3" fontId="62" fillId="24" borderId="13" xfId="0" applyNumberFormat="1" applyFont="1" applyFill="1" applyBorder="1" applyAlignment="1" applyProtection="1">
      <alignment horizontal="left" vertical="center"/>
    </xf>
    <xf numFmtId="3" fontId="62" fillId="24" borderId="14" xfId="0" applyNumberFormat="1" applyFont="1" applyFill="1" applyBorder="1" applyAlignment="1" applyProtection="1">
      <alignment horizontal="left" vertical="center"/>
    </xf>
    <xf numFmtId="164" fontId="62" fillId="24" borderId="49" xfId="0" applyNumberFormat="1" applyFont="1" applyFill="1" applyBorder="1" applyAlignment="1" applyProtection="1">
      <alignment horizontal="left" vertical="center"/>
    </xf>
    <xf numFmtId="164" fontId="62" fillId="24" borderId="31" xfId="0" applyNumberFormat="1" applyFont="1" applyFill="1" applyBorder="1" applyAlignment="1" applyProtection="1">
      <alignment horizontal="left" vertical="center"/>
    </xf>
    <xf numFmtId="0" fontId="62" fillId="24" borderId="34" xfId="0" applyFont="1" applyFill="1" applyBorder="1" applyAlignment="1" applyProtection="1">
      <alignment horizontal="left" vertical="center"/>
    </xf>
    <xf numFmtId="0" fontId="62" fillId="24" borderId="31" xfId="0" applyFont="1" applyFill="1" applyBorder="1" applyAlignment="1" applyProtection="1">
      <alignment horizontal="left" vertical="center"/>
    </xf>
    <xf numFmtId="164" fontId="62" fillId="24" borderId="13" xfId="0" applyNumberFormat="1" applyFont="1" applyFill="1" applyBorder="1" applyAlignment="1" applyProtection="1">
      <alignment horizontal="left" vertical="center"/>
    </xf>
    <xf numFmtId="164" fontId="62" fillId="24" borderId="14" xfId="0" applyNumberFormat="1" applyFont="1" applyFill="1" applyBorder="1" applyAlignment="1" applyProtection="1">
      <alignment horizontal="left" vertical="center"/>
    </xf>
    <xf numFmtId="164" fontId="62" fillId="17" borderId="36" xfId="0" applyNumberFormat="1" applyFont="1" applyFill="1" applyBorder="1" applyAlignment="1" applyProtection="1">
      <alignment horizontal="left" vertical="center" wrapText="1" indent="2"/>
    </xf>
    <xf numFmtId="164" fontId="62" fillId="17" borderId="30" xfId="0" applyNumberFormat="1" applyFont="1" applyFill="1" applyBorder="1" applyAlignment="1" applyProtection="1">
      <alignment horizontal="left" vertical="center" wrapText="1" indent="2"/>
    </xf>
    <xf numFmtId="0" fontId="62" fillId="17" borderId="52" xfId="0" applyFont="1" applyFill="1" applyBorder="1" applyAlignment="1" applyProtection="1">
      <alignment horizontal="left" vertical="center" indent="2"/>
    </xf>
    <xf numFmtId="0" fontId="62" fillId="17" borderId="53" xfId="0" applyFont="1" applyFill="1" applyBorder="1" applyAlignment="1" applyProtection="1">
      <alignment horizontal="left" vertical="center" indent="2"/>
    </xf>
    <xf numFmtId="0" fontId="62" fillId="17" borderId="35" xfId="0" applyFont="1" applyFill="1" applyBorder="1" applyAlignment="1" applyProtection="1">
      <alignment horizontal="left" vertical="center" indent="2"/>
    </xf>
    <xf numFmtId="0" fontId="62" fillId="17" borderId="30" xfId="0" applyFont="1" applyFill="1" applyBorder="1" applyAlignment="1" applyProtection="1">
      <alignment horizontal="left" vertical="center" indent="2"/>
    </xf>
    <xf numFmtId="0" fontId="60" fillId="17" borderId="52" xfId="0" applyFont="1" applyFill="1" applyBorder="1" applyAlignment="1" applyProtection="1">
      <alignment horizontal="left" vertical="center" wrapText="1" indent="2"/>
    </xf>
    <xf numFmtId="0" fontId="55" fillId="17" borderId="53" xfId="0" applyFont="1" applyFill="1" applyBorder="1" applyAlignment="1">
      <alignment horizontal="left" wrapText="1" indent="2"/>
    </xf>
    <xf numFmtId="3" fontId="62" fillId="0" borderId="10" xfId="0" applyNumberFormat="1" applyFont="1" applyBorder="1" applyAlignment="1" applyProtection="1">
      <alignment horizontal="center" vertical="center" wrapText="1"/>
    </xf>
    <xf numFmtId="3" fontId="62" fillId="0" borderId="127" xfId="0" applyNumberFormat="1" applyFont="1" applyBorder="1" applyAlignment="1" applyProtection="1">
      <alignment horizontal="center" vertical="center" wrapText="1"/>
    </xf>
    <xf numFmtId="0" fontId="62" fillId="17" borderId="34" xfId="0" applyFont="1" applyFill="1" applyBorder="1" applyAlignment="1" applyProtection="1">
      <alignment horizontal="left" vertical="center" indent="1"/>
    </xf>
    <xf numFmtId="0" fontId="62" fillId="17" borderId="31" xfId="0" applyFont="1" applyFill="1" applyBorder="1" applyAlignment="1" applyProtection="1">
      <alignment horizontal="left" vertical="center" indent="1"/>
    </xf>
    <xf numFmtId="0" fontId="60" fillId="0" borderId="21" xfId="0" applyFont="1" applyBorder="1" applyAlignment="1" applyProtection="1">
      <alignment horizontal="left" vertical="center" indent="1"/>
    </xf>
    <xf numFmtId="0" fontId="60" fillId="0" borderId="14" xfId="0" applyFont="1" applyBorder="1" applyAlignment="1" applyProtection="1">
      <alignment horizontal="left" vertical="center" indent="1"/>
    </xf>
    <xf numFmtId="164" fontId="62" fillId="26" borderId="13" xfId="0" applyNumberFormat="1" applyFont="1" applyFill="1" applyBorder="1" applyAlignment="1" applyProtection="1">
      <alignment horizontal="left" vertical="center" wrapText="1" indent="1"/>
    </xf>
    <xf numFmtId="164" fontId="62" fillId="26" borderId="14" xfId="0" applyNumberFormat="1" applyFont="1" applyFill="1" applyBorder="1" applyAlignment="1" applyProtection="1">
      <alignment horizontal="left" vertical="center" wrapText="1" indent="1"/>
    </xf>
    <xf numFmtId="164" fontId="62" fillId="15" borderId="13" xfId="0" applyNumberFormat="1" applyFont="1" applyFill="1" applyBorder="1" applyAlignment="1" applyProtection="1">
      <alignment horizontal="left" vertical="center" wrapText="1" indent="1"/>
    </xf>
    <xf numFmtId="164" fontId="62" fillId="15" borderId="14" xfId="0" applyNumberFormat="1" applyFont="1" applyFill="1" applyBorder="1" applyAlignment="1" applyProtection="1">
      <alignment horizontal="left" vertical="center" wrapText="1" indent="1"/>
    </xf>
    <xf numFmtId="164" fontId="62" fillId="18" borderId="13" xfId="0" applyNumberFormat="1" applyFont="1" applyFill="1" applyBorder="1" applyAlignment="1" applyProtection="1">
      <alignment horizontal="left" vertical="center" wrapText="1"/>
    </xf>
    <xf numFmtId="164" fontId="62" fillId="18" borderId="14" xfId="0" applyNumberFormat="1" applyFont="1" applyFill="1" applyBorder="1" applyAlignment="1" applyProtection="1">
      <alignment horizontal="left" vertical="center" wrapText="1"/>
    </xf>
    <xf numFmtId="49" fontId="62" fillId="24" borderId="13" xfId="0" applyNumberFormat="1" applyFont="1" applyFill="1" applyBorder="1" applyAlignment="1" applyProtection="1">
      <alignment horizontal="left" vertical="center"/>
    </xf>
    <xf numFmtId="49" fontId="62" fillId="24" borderId="14" xfId="0" applyNumberFormat="1" applyFont="1" applyFill="1" applyBorder="1" applyAlignment="1" applyProtection="1">
      <alignment horizontal="left" vertical="center"/>
    </xf>
    <xf numFmtId="0" fontId="62" fillId="24" borderId="13" xfId="0" applyFont="1" applyFill="1" applyBorder="1" applyAlignment="1" applyProtection="1">
      <alignment vertical="center"/>
    </xf>
    <xf numFmtId="0" fontId="62" fillId="24" borderId="14" xfId="0" applyFont="1" applyFill="1" applyBorder="1" applyAlignment="1" applyProtection="1">
      <alignment vertical="center"/>
    </xf>
    <xf numFmtId="164" fontId="62" fillId="17" borderId="13" xfId="0" applyNumberFormat="1" applyFont="1" applyFill="1" applyBorder="1" applyAlignment="1" applyProtection="1">
      <alignment horizontal="left" vertical="center" wrapText="1" indent="2"/>
    </xf>
    <xf numFmtId="164" fontId="62" fillId="17" borderId="14" xfId="0" applyNumberFormat="1" applyFont="1" applyFill="1" applyBorder="1" applyAlignment="1" applyProtection="1">
      <alignment horizontal="left" vertical="center" wrapText="1" indent="2"/>
    </xf>
    <xf numFmtId="164" fontId="62" fillId="6" borderId="13" xfId="0" applyNumberFormat="1" applyFont="1" applyFill="1" applyBorder="1" applyAlignment="1" applyProtection="1">
      <alignment horizontal="left" vertical="center" wrapText="1" indent="1"/>
    </xf>
    <xf numFmtId="164" fontId="62" fillId="6" borderId="14" xfId="0" applyNumberFormat="1" applyFont="1" applyFill="1" applyBorder="1" applyAlignment="1" applyProtection="1">
      <alignment horizontal="left" vertical="center" wrapText="1" indent="1"/>
    </xf>
    <xf numFmtId="0" fontId="62" fillId="17" borderId="24" xfId="0" applyFont="1" applyFill="1" applyBorder="1" applyAlignment="1" applyProtection="1">
      <alignment horizontal="left" vertical="center" indent="1"/>
    </xf>
    <xf numFmtId="0" fontId="55" fillId="17" borderId="51" xfId="0" applyFont="1" applyFill="1" applyBorder="1" applyAlignment="1">
      <alignment horizontal="left" vertical="center" indent="1"/>
    </xf>
    <xf numFmtId="0" fontId="62" fillId="18" borderId="21" xfId="0" applyFont="1" applyFill="1" applyBorder="1" applyAlignment="1">
      <alignment horizontal="left" vertical="center" wrapText="1"/>
    </xf>
    <xf numFmtId="0" fontId="55" fillId="18" borderId="14" xfId="0" applyFont="1" applyFill="1" applyBorder="1" applyAlignment="1">
      <alignment horizontal="left" vertical="center" wrapText="1"/>
    </xf>
    <xf numFmtId="0" fontId="62" fillId="18" borderId="34" xfId="0" applyFont="1" applyFill="1" applyBorder="1" applyAlignment="1">
      <alignment vertical="top" wrapText="1"/>
    </xf>
    <xf numFmtId="0" fontId="55" fillId="18" borderId="31" xfId="0" applyFont="1" applyFill="1" applyBorder="1" applyAlignment="1">
      <alignment vertical="top" wrapText="1"/>
    </xf>
    <xf numFmtId="0" fontId="62" fillId="17" borderId="35" xfId="0" applyFont="1" applyFill="1" applyBorder="1" applyAlignment="1" applyProtection="1">
      <alignment horizontal="left" vertical="top" wrapText="1" indent="1"/>
    </xf>
    <xf numFmtId="0" fontId="55" fillId="17" borderId="30" xfId="0" applyFont="1" applyFill="1" applyBorder="1" applyAlignment="1">
      <alignment horizontal="left" vertical="top" wrapText="1" indent="1"/>
    </xf>
    <xf numFmtId="0" fontId="62" fillId="17" borderId="35" xfId="0" applyFont="1" applyFill="1" applyBorder="1" applyAlignment="1" applyProtection="1">
      <alignment horizontal="left" vertical="top" indent="1"/>
    </xf>
    <xf numFmtId="0" fontId="55" fillId="17" borderId="30" xfId="0" applyFont="1" applyFill="1" applyBorder="1" applyAlignment="1">
      <alignment horizontal="left" vertical="top" indent="1"/>
    </xf>
    <xf numFmtId="0" fontId="62" fillId="18" borderId="34" xfId="0" applyFont="1" applyFill="1" applyBorder="1" applyAlignment="1">
      <alignment vertical="center" wrapText="1"/>
    </xf>
    <xf numFmtId="0" fontId="55" fillId="18" borderId="31" xfId="0" applyFont="1" applyFill="1" applyBorder="1" applyAlignment="1">
      <alignment vertical="center" wrapText="1"/>
    </xf>
    <xf numFmtId="3" fontId="62" fillId="0" borderId="18" xfId="0" applyNumberFormat="1" applyFont="1" applyBorder="1" applyAlignment="1" applyProtection="1">
      <alignment horizontal="center" vertical="center" wrapText="1"/>
    </xf>
    <xf numFmtId="0" fontId="63" fillId="24" borderId="19" xfId="0" applyFont="1" applyFill="1" applyBorder="1" applyAlignment="1">
      <alignment horizontal="center" vertical="center"/>
    </xf>
    <xf numFmtId="0" fontId="55" fillId="24" borderId="11" xfId="0" applyFont="1" applyFill="1" applyBorder="1" applyAlignment="1">
      <alignment horizontal="center" vertical="center"/>
    </xf>
    <xf numFmtId="0" fontId="63" fillId="25" borderId="20" xfId="0" applyFont="1" applyFill="1" applyBorder="1" applyAlignment="1">
      <alignment horizontal="center" vertical="center"/>
    </xf>
    <xf numFmtId="0" fontId="63" fillId="25" borderId="11" xfId="0" applyFont="1" applyFill="1" applyBorder="1" applyAlignment="1">
      <alignment horizontal="center" vertical="center"/>
    </xf>
    <xf numFmtId="0" fontId="55" fillId="25" borderId="11" xfId="0" applyFont="1" applyFill="1" applyBorder="1" applyAlignment="1">
      <alignment horizontal="center" vertical="center"/>
    </xf>
    <xf numFmtId="0" fontId="63" fillId="24" borderId="107" xfId="0" applyFont="1" applyFill="1" applyBorder="1" applyAlignment="1">
      <alignment horizontal="center" vertical="center"/>
    </xf>
    <xf numFmtId="0" fontId="55" fillId="24" borderId="132" xfId="0" applyFont="1" applyFill="1" applyBorder="1" applyAlignment="1">
      <alignment horizontal="center" vertical="center"/>
    </xf>
    <xf numFmtId="0" fontId="63" fillId="24" borderId="20" xfId="0" applyFont="1" applyFill="1" applyBorder="1" applyAlignment="1">
      <alignment horizontal="center" vertical="center"/>
    </xf>
    <xf numFmtId="3" fontId="62" fillId="17" borderId="34" xfId="0" applyNumberFormat="1" applyFont="1" applyFill="1" applyBorder="1" applyAlignment="1">
      <alignment horizontal="left" vertical="top" wrapText="1" indent="1"/>
    </xf>
    <xf numFmtId="0" fontId="55" fillId="17" borderId="31" xfId="0" applyFont="1" applyFill="1" applyBorder="1" applyAlignment="1">
      <alignment horizontal="left" vertical="top" wrapText="1"/>
    </xf>
    <xf numFmtId="3" fontId="62" fillId="17" borderId="23" xfId="0" applyNumberFormat="1" applyFont="1" applyFill="1" applyBorder="1" applyAlignment="1">
      <alignment horizontal="left" vertical="top" wrapText="1" indent="1"/>
    </xf>
    <xf numFmtId="0" fontId="55" fillId="17" borderId="38" xfId="0" applyFont="1" applyFill="1" applyBorder="1" applyAlignment="1">
      <alignment horizontal="left" vertical="top" wrapText="1" indent="1"/>
    </xf>
    <xf numFmtId="3" fontId="62" fillId="17" borderId="24" xfId="0" applyNumberFormat="1" applyFont="1" applyFill="1" applyBorder="1" applyAlignment="1">
      <alignment horizontal="left" vertical="top" wrapText="1" indent="1"/>
    </xf>
    <xf numFmtId="0" fontId="60" fillId="17" borderId="51" xfId="0" applyFont="1" applyFill="1" applyBorder="1" applyAlignment="1">
      <alignment horizontal="left" vertical="top" wrapText="1" indent="1"/>
    </xf>
    <xf numFmtId="3" fontId="62" fillId="17" borderId="35" xfId="0" applyNumberFormat="1" applyFont="1" applyFill="1" applyBorder="1" applyAlignment="1">
      <alignment horizontal="left" vertical="top" wrapText="1" indent="1"/>
    </xf>
    <xf numFmtId="3" fontId="62" fillId="17" borderId="35" xfId="0" applyNumberFormat="1" applyFont="1" applyFill="1" applyBorder="1" applyAlignment="1">
      <alignment horizontal="left" vertical="top" indent="1"/>
    </xf>
    <xf numFmtId="0" fontId="60" fillId="17" borderId="30" xfId="0" applyFont="1" applyFill="1" applyBorder="1" applyAlignment="1">
      <alignment horizontal="left" vertical="top" indent="1"/>
    </xf>
    <xf numFmtId="3" fontId="62" fillId="0" borderId="23" xfId="0" applyNumberFormat="1" applyFont="1" applyBorder="1" applyAlignment="1">
      <alignment horizontal="left" vertical="top" wrapText="1" indent="1"/>
    </xf>
    <xf numFmtId="0" fontId="55" fillId="0" borderId="38" xfId="0" applyFont="1" applyBorder="1" applyAlignment="1">
      <alignment horizontal="left" vertical="top" wrapText="1" indent="1"/>
    </xf>
    <xf numFmtId="0" fontId="63" fillId="24" borderId="20" xfId="0" applyFont="1" applyFill="1" applyBorder="1" applyAlignment="1">
      <alignment horizontal="center" vertical="center" wrapText="1"/>
    </xf>
    <xf numFmtId="0" fontId="55" fillId="24" borderId="11" xfId="0" applyFont="1" applyFill="1" applyBorder="1" applyAlignment="1">
      <alignment horizontal="center" vertical="center" wrapText="1"/>
    </xf>
    <xf numFmtId="3" fontId="63" fillId="24" borderId="13" xfId="0" applyNumberFormat="1" applyFont="1" applyFill="1" applyBorder="1" applyAlignment="1">
      <alignment horizontal="center" vertical="center"/>
    </xf>
    <xf numFmtId="0" fontId="55" fillId="24" borderId="14" xfId="0" applyFont="1" applyFill="1" applyBorder="1" applyAlignment="1">
      <alignment horizontal="center" vertical="center"/>
    </xf>
    <xf numFmtId="0" fontId="63" fillId="24" borderId="21" xfId="0" applyFont="1" applyFill="1" applyBorder="1" applyAlignment="1">
      <alignment horizontal="center" vertical="center"/>
    </xf>
    <xf numFmtId="3" fontId="62" fillId="17" borderId="49" xfId="0" applyNumberFormat="1" applyFont="1" applyFill="1" applyBorder="1" applyAlignment="1">
      <alignment horizontal="left" vertical="top" indent="1"/>
    </xf>
    <xf numFmtId="3" fontId="62" fillId="17" borderId="31" xfId="0" applyNumberFormat="1" applyFont="1" applyFill="1" applyBorder="1" applyAlignment="1">
      <alignment horizontal="left" vertical="top" indent="1"/>
    </xf>
    <xf numFmtId="3" fontId="62" fillId="16" borderId="10" xfId="0" applyNumberFormat="1" applyFont="1" applyFill="1" applyBorder="1" applyAlignment="1" applyProtection="1">
      <alignment horizontal="center" vertical="center" wrapText="1"/>
    </xf>
    <xf numFmtId="3" fontId="62" fillId="16" borderId="127" xfId="0" applyNumberFormat="1" applyFont="1" applyFill="1" applyBorder="1" applyAlignment="1" applyProtection="1">
      <alignment horizontal="center" vertical="center" wrapText="1"/>
    </xf>
    <xf numFmtId="0" fontId="62" fillId="6" borderId="13" xfId="0" applyFont="1" applyFill="1" applyBorder="1" applyAlignment="1" applyProtection="1">
      <alignment horizontal="left" vertical="center" wrapText="1"/>
    </xf>
    <xf numFmtId="0" fontId="55" fillId="6" borderId="14" xfId="0" applyFont="1" applyFill="1" applyBorder="1" applyAlignment="1">
      <alignment horizontal="left" vertical="center" wrapText="1"/>
    </xf>
    <xf numFmtId="49" fontId="62" fillId="17" borderId="13" xfId="0" applyNumberFormat="1" applyFont="1" applyFill="1" applyBorder="1" applyAlignment="1" applyProtection="1">
      <alignment horizontal="left" vertical="center" wrapText="1" indent="1"/>
    </xf>
    <xf numFmtId="0" fontId="55" fillId="17" borderId="14" xfId="0" applyFont="1" applyFill="1" applyBorder="1" applyAlignment="1">
      <alignment horizontal="left" vertical="center" wrapText="1" indent="1"/>
    </xf>
    <xf numFmtId="49" fontId="63" fillId="13" borderId="13" xfId="0" applyNumberFormat="1" applyFont="1" applyFill="1" applyBorder="1" applyAlignment="1" applyProtection="1">
      <alignment horizontal="center" vertical="center"/>
    </xf>
    <xf numFmtId="0" fontId="55" fillId="13" borderId="14" xfId="0" applyFont="1" applyFill="1" applyBorder="1" applyAlignment="1">
      <alignment horizontal="center" vertical="center"/>
    </xf>
    <xf numFmtId="49" fontId="71" fillId="6" borderId="19" xfId="0" applyNumberFormat="1" applyFont="1" applyFill="1" applyBorder="1" applyAlignment="1" applyProtection="1">
      <alignment horizontal="left" vertical="center" wrapText="1"/>
    </xf>
    <xf numFmtId="0" fontId="55" fillId="0" borderId="20" xfId="0" applyFont="1" applyBorder="1" applyAlignment="1">
      <alignment horizontal="left" vertical="center" wrapText="1"/>
    </xf>
    <xf numFmtId="0" fontId="55" fillId="0" borderId="11" xfId="0" applyFont="1" applyBorder="1" applyAlignment="1">
      <alignment horizontal="left" vertical="center" wrapText="1"/>
    </xf>
    <xf numFmtId="49" fontId="81" fillId="6" borderId="19" xfId="0" applyNumberFormat="1" applyFont="1" applyFill="1" applyBorder="1" applyAlignment="1" applyProtection="1">
      <alignment horizontal="left" vertical="center" wrapText="1"/>
    </xf>
    <xf numFmtId="0" fontId="53" fillId="0" borderId="20" xfId="0" applyFont="1" applyBorder="1" applyAlignment="1">
      <alignment horizontal="left" vertical="center" wrapText="1"/>
    </xf>
    <xf numFmtId="0" fontId="53" fillId="0" borderId="11" xfId="0" applyFont="1" applyBorder="1" applyAlignment="1">
      <alignment horizontal="left" vertical="center" wrapText="1"/>
    </xf>
    <xf numFmtId="164" fontId="62" fillId="6" borderId="13" xfId="0" applyNumberFormat="1" applyFont="1" applyFill="1" applyBorder="1" applyAlignment="1" applyProtection="1">
      <alignment horizontal="left" vertical="center" wrapText="1"/>
    </xf>
    <xf numFmtId="49" fontId="62" fillId="0" borderId="13" xfId="0" applyNumberFormat="1" applyFont="1" applyBorder="1" applyAlignment="1" applyProtection="1">
      <alignment horizontal="center" vertical="center" wrapText="1"/>
    </xf>
    <xf numFmtId="49" fontId="62" fillId="0" borderId="14" xfId="0" applyNumberFormat="1" applyFont="1" applyBorder="1" applyAlignment="1" applyProtection="1">
      <alignment horizontal="center" vertical="center" wrapText="1"/>
    </xf>
    <xf numFmtId="49" fontId="62" fillId="17" borderId="13" xfId="0" applyNumberFormat="1" applyFont="1" applyFill="1" applyBorder="1" applyAlignment="1" applyProtection="1">
      <alignment horizontal="left" vertical="center" indent="1"/>
    </xf>
    <xf numFmtId="0" fontId="55" fillId="17" borderId="14" xfId="0" applyFont="1" applyFill="1" applyBorder="1" applyAlignment="1">
      <alignment horizontal="left" vertical="center" indent="1"/>
    </xf>
    <xf numFmtId="49" fontId="62" fillId="6" borderId="13" xfId="0" applyNumberFormat="1" applyFont="1" applyFill="1" applyBorder="1" applyAlignment="1" applyProtection="1">
      <alignment horizontal="left" vertical="center"/>
    </xf>
    <xf numFmtId="49" fontId="62" fillId="6" borderId="14" xfId="0" applyNumberFormat="1" applyFont="1" applyFill="1" applyBorder="1" applyAlignment="1" applyProtection="1">
      <alignment horizontal="left" vertical="center"/>
    </xf>
    <xf numFmtId="0" fontId="60" fillId="0" borderId="0" xfId="9" applyFont="1" applyFill="1" applyAlignment="1">
      <alignment wrapText="1"/>
    </xf>
    <xf numFmtId="0" fontId="55" fillId="0" borderId="0" xfId="0" applyFont="1" applyAlignment="1">
      <alignment wrapText="1"/>
    </xf>
    <xf numFmtId="0" fontId="53" fillId="0" borderId="9" xfId="9" applyFont="1" applyFill="1" applyBorder="1" applyAlignment="1" applyProtection="1">
      <protection locked="0"/>
    </xf>
    <xf numFmtId="0" fontId="53" fillId="0" borderId="9" xfId="0" applyFont="1" applyBorder="1" applyAlignment="1"/>
    <xf numFmtId="0" fontId="53" fillId="0" borderId="6" xfId="9" applyFont="1" applyFill="1" applyBorder="1" applyAlignment="1" applyProtection="1">
      <protection locked="0"/>
    </xf>
    <xf numFmtId="0" fontId="53" fillId="0" borderId="6" xfId="0" applyFont="1" applyBorder="1" applyAlignment="1"/>
    <xf numFmtId="49" fontId="60" fillId="0" borderId="13" xfId="0" applyNumberFormat="1" applyFont="1" applyBorder="1" applyAlignment="1" applyProtection="1">
      <alignment horizontal="left" vertical="center" wrapText="1" indent="1"/>
    </xf>
    <xf numFmtId="0" fontId="55" fillId="0" borderId="14" xfId="0" applyFont="1" applyBorder="1" applyAlignment="1">
      <alignment horizontal="left" vertical="center" wrapText="1" indent="1"/>
    </xf>
    <xf numFmtId="49" fontId="62" fillId="6" borderId="13" xfId="0" applyNumberFormat="1" applyFont="1" applyFill="1" applyBorder="1" applyAlignment="1" applyProtection="1">
      <alignment horizontal="left" vertical="center" wrapText="1"/>
    </xf>
    <xf numFmtId="0" fontId="63" fillId="13" borderId="13" xfId="9" applyFont="1" applyFill="1" applyBorder="1" applyAlignment="1">
      <alignment horizontal="center" vertical="center"/>
    </xf>
    <xf numFmtId="0" fontId="60" fillId="0" borderId="6" xfId="0" applyFont="1" applyBorder="1" applyAlignment="1" applyProtection="1">
      <alignment horizontal="left" vertical="center" wrapText="1" indent="1"/>
    </xf>
    <xf numFmtId="0" fontId="55" fillId="0" borderId="6" xfId="0" applyFont="1" applyBorder="1" applyAlignment="1" applyProtection="1">
      <alignment horizontal="left" vertical="center" wrapText="1" indent="1"/>
    </xf>
    <xf numFmtId="0" fontId="55" fillId="0" borderId="7" xfId="0" applyFont="1" applyBorder="1" applyAlignment="1" applyProtection="1">
      <alignment horizontal="left" vertical="center" wrapText="1" indent="1"/>
    </xf>
    <xf numFmtId="49" fontId="62" fillId="0" borderId="66" xfId="0" applyNumberFormat="1" applyFont="1" applyFill="1" applyBorder="1" applyAlignment="1" applyProtection="1">
      <alignment horizontal="center" vertical="center" wrapText="1"/>
    </xf>
    <xf numFmtId="49" fontId="62" fillId="0" borderId="15" xfId="0" applyNumberFormat="1" applyFont="1" applyFill="1" applyBorder="1" applyAlignment="1" applyProtection="1">
      <alignment horizontal="center" vertical="center" wrapText="1"/>
    </xf>
    <xf numFmtId="0" fontId="55" fillId="0" borderId="67" xfId="0" applyFont="1" applyFill="1" applyBorder="1" applyAlignment="1">
      <alignment wrapText="1"/>
    </xf>
    <xf numFmtId="0" fontId="62" fillId="0" borderId="46" xfId="0" applyFont="1" applyBorder="1" applyAlignment="1" applyProtection="1">
      <alignment horizontal="left" vertical="center" wrapText="1"/>
    </xf>
    <xf numFmtId="0" fontId="62" fillId="0" borderId="6" xfId="0" applyFont="1" applyBorder="1" applyAlignment="1" applyProtection="1">
      <alignment horizontal="left" vertical="center" wrapText="1"/>
    </xf>
    <xf numFmtId="0" fontId="55" fillId="0" borderId="6" xfId="0" applyFont="1" applyBorder="1" applyAlignment="1">
      <alignment wrapText="1"/>
    </xf>
    <xf numFmtId="0" fontId="62" fillId="6" borderId="5" xfId="0" applyFont="1" applyFill="1" applyBorder="1" applyAlignment="1" applyProtection="1">
      <alignment horizontal="left" vertical="center" wrapText="1"/>
    </xf>
    <xf numFmtId="0" fontId="62" fillId="6" borderId="0" xfId="0" applyFont="1" applyFill="1" applyBorder="1" applyAlignment="1" applyProtection="1">
      <alignment horizontal="left" vertical="center" wrapText="1"/>
    </xf>
    <xf numFmtId="0" fontId="62" fillId="6" borderId="87" xfId="0" applyFont="1" applyFill="1" applyBorder="1" applyAlignment="1" applyProtection="1">
      <alignment horizontal="left" vertical="center" wrapText="1"/>
    </xf>
    <xf numFmtId="0" fontId="62" fillId="6" borderId="88" xfId="0" applyFont="1" applyFill="1" applyBorder="1" applyAlignment="1" applyProtection="1">
      <alignment horizontal="left" vertical="center" wrapText="1"/>
    </xf>
    <xf numFmtId="0" fontId="55" fillId="0" borderId="88" xfId="0" applyFont="1" applyBorder="1" applyAlignment="1">
      <alignment wrapText="1"/>
    </xf>
    <xf numFmtId="0" fontId="60" fillId="0" borderId="6" xfId="0" applyFont="1" applyBorder="1" applyAlignment="1" applyProtection="1">
      <alignment horizontal="left" vertical="center" indent="1"/>
    </xf>
    <xf numFmtId="0" fontId="55" fillId="0" borderId="6" xfId="0" applyFont="1" applyBorder="1" applyAlignment="1">
      <alignment horizontal="left" indent="1"/>
    </xf>
    <xf numFmtId="0" fontId="55" fillId="0" borderId="7" xfId="0" applyFont="1" applyBorder="1" applyAlignment="1">
      <alignment horizontal="left" indent="1"/>
    </xf>
    <xf numFmtId="0" fontId="62" fillId="17" borderId="54" xfId="0" applyFont="1" applyFill="1" applyBorder="1" applyAlignment="1" applyProtection="1">
      <alignment horizontal="left" vertical="center" indent="1"/>
    </xf>
    <xf numFmtId="0" fontId="62" fillId="17" borderId="57" xfId="0" applyFont="1" applyFill="1" applyBorder="1" applyAlignment="1" applyProtection="1">
      <alignment horizontal="left" vertical="center" indent="1"/>
    </xf>
    <xf numFmtId="0" fontId="62" fillId="17" borderId="61" xfId="0" applyFont="1" applyFill="1" applyBorder="1" applyAlignment="1" applyProtection="1">
      <alignment horizontal="left" vertical="center" indent="1"/>
    </xf>
    <xf numFmtId="0" fontId="62" fillId="17" borderId="148" xfId="0" applyFont="1" applyFill="1" applyBorder="1" applyAlignment="1" applyProtection="1">
      <alignment horizontal="left" vertical="center" indent="1"/>
    </xf>
    <xf numFmtId="0" fontId="62" fillId="17" borderId="147" xfId="0" applyFont="1" applyFill="1" applyBorder="1" applyAlignment="1" applyProtection="1">
      <alignment horizontal="left" vertical="center" indent="1"/>
    </xf>
    <xf numFmtId="0" fontId="62" fillId="3" borderId="148" xfId="0" applyFont="1" applyFill="1" applyBorder="1" applyAlignment="1" applyProtection="1">
      <alignment horizontal="left" vertical="center"/>
    </xf>
    <xf numFmtId="0" fontId="62" fillId="3" borderId="149" xfId="0" applyFont="1" applyFill="1" applyBorder="1" applyAlignment="1" applyProtection="1">
      <alignment horizontal="left" vertical="center"/>
    </xf>
    <xf numFmtId="0" fontId="63" fillId="13" borderId="46" xfId="0" applyFont="1" applyFill="1" applyBorder="1" applyAlignment="1" applyProtection="1">
      <alignment horizontal="left" vertical="center" wrapText="1"/>
    </xf>
    <xf numFmtId="0" fontId="55" fillId="13" borderId="6" xfId="0" applyFont="1" applyFill="1" applyBorder="1" applyAlignment="1">
      <alignment horizontal="left" wrapText="1"/>
    </xf>
    <xf numFmtId="0" fontId="55" fillId="13" borderId="7" xfId="0" applyFont="1" applyFill="1" applyBorder="1" applyAlignment="1">
      <alignment horizontal="left" wrapText="1"/>
    </xf>
    <xf numFmtId="0" fontId="60" fillId="0" borderId="46" xfId="0" applyFont="1" applyBorder="1" applyAlignment="1" applyProtection="1">
      <alignment horizontal="left" vertical="center" wrapText="1" indent="1"/>
    </xf>
    <xf numFmtId="0" fontId="55" fillId="0" borderId="7" xfId="0" applyFont="1" applyBorder="1" applyAlignment="1">
      <alignment horizontal="left" wrapText="1" indent="1"/>
    </xf>
    <xf numFmtId="0" fontId="60" fillId="0" borderId="7" xfId="0" applyFont="1" applyBorder="1" applyAlignment="1">
      <alignment horizontal="left" wrapText="1" indent="1"/>
    </xf>
    <xf numFmtId="0" fontId="92" fillId="0" borderId="5" xfId="0" applyFont="1" applyBorder="1" applyAlignment="1" applyProtection="1">
      <alignment horizontal="left" wrapText="1" indent="2"/>
    </xf>
    <xf numFmtId="0" fontId="60" fillId="0" borderId="0" xfId="0" applyFont="1" applyAlignment="1">
      <alignment horizontal="left" wrapText="1"/>
    </xf>
    <xf numFmtId="0" fontId="60" fillId="0" borderId="5" xfId="0" applyFont="1" applyBorder="1" applyAlignment="1">
      <alignment horizontal="left" wrapText="1"/>
    </xf>
    <xf numFmtId="0" fontId="60" fillId="0" borderId="9" xfId="0" applyFont="1" applyBorder="1" applyAlignment="1" applyProtection="1">
      <alignment horizontal="left" vertical="center" wrapText="1" indent="1"/>
    </xf>
    <xf numFmtId="0" fontId="55" fillId="0" borderId="59" xfId="0" applyFont="1" applyBorder="1" applyAlignment="1">
      <alignment horizontal="left" wrapText="1" indent="1"/>
    </xf>
    <xf numFmtId="0" fontId="60" fillId="0" borderId="148" xfId="0" applyFont="1" applyBorder="1" applyAlignment="1" applyProtection="1">
      <alignment horizontal="left" vertical="center" wrapText="1" indent="1"/>
    </xf>
    <xf numFmtId="0" fontId="60" fillId="0" borderId="149" xfId="0" applyFont="1" applyBorder="1" applyAlignment="1" applyProtection="1">
      <alignment horizontal="left" vertical="center" wrapText="1" indent="1"/>
    </xf>
    <xf numFmtId="0" fontId="95" fillId="0" borderId="9" xfId="0" applyFont="1" applyBorder="1" applyAlignment="1">
      <alignment horizontal="left" vertical="center" wrapText="1" indent="1"/>
    </xf>
    <xf numFmtId="0" fontId="55" fillId="0" borderId="9" xfId="0" applyFont="1" applyBorder="1" applyAlignment="1">
      <alignment horizontal="left" vertical="center" wrapText="1" indent="1"/>
    </xf>
    <xf numFmtId="0" fontId="63" fillId="24" borderId="147" xfId="0" applyFont="1" applyFill="1" applyBorder="1" applyAlignment="1" applyProtection="1">
      <alignment horizontal="left" vertical="center" indent="1"/>
    </xf>
    <xf numFmtId="0" fontId="63" fillId="24" borderId="148" xfId="0" applyFont="1" applyFill="1" applyBorder="1" applyAlignment="1" applyProtection="1">
      <alignment horizontal="left" vertical="center" indent="1"/>
    </xf>
    <xf numFmtId="0" fontId="63" fillId="24" borderId="149" xfId="0" applyFont="1" applyFill="1" applyBorder="1" applyAlignment="1" applyProtection="1">
      <alignment horizontal="left" vertical="center" indent="1"/>
    </xf>
    <xf numFmtId="0" fontId="66" fillId="6" borderId="89" xfId="10" applyFont="1" applyFill="1" applyBorder="1" applyAlignment="1">
      <alignment horizontal="center" vertical="center"/>
    </xf>
    <xf numFmtId="0" fontId="96" fillId="0" borderId="90" xfId="0" applyFont="1" applyBorder="1" applyAlignment="1">
      <alignment horizontal="center" vertical="center"/>
    </xf>
    <xf numFmtId="0" fontId="96" fillId="0" borderId="91" xfId="0" applyFont="1" applyBorder="1" applyAlignment="1">
      <alignment horizontal="center" vertical="center"/>
    </xf>
    <xf numFmtId="0" fontId="63" fillId="24" borderId="92" xfId="10" applyFont="1" applyFill="1" applyBorder="1" applyAlignment="1">
      <alignment horizontal="center" vertical="center" wrapText="1"/>
    </xf>
    <xf numFmtId="0" fontId="63" fillId="24" borderId="25" xfId="0" applyFont="1" applyFill="1" applyBorder="1" applyAlignment="1">
      <alignment horizontal="center" vertical="center" wrapText="1"/>
    </xf>
    <xf numFmtId="0" fontId="63" fillId="24" borderId="93" xfId="0" applyFont="1" applyFill="1" applyBorder="1" applyAlignment="1">
      <alignment horizontal="center" vertical="center" wrapText="1"/>
    </xf>
    <xf numFmtId="0" fontId="128" fillId="24" borderId="94" xfId="10" applyFont="1" applyFill="1" applyBorder="1" applyAlignment="1">
      <alignment horizontal="center" vertical="center"/>
    </xf>
    <xf numFmtId="0" fontId="53" fillId="24" borderId="47" xfId="0" applyFont="1" applyFill="1" applyBorder="1" applyAlignment="1">
      <alignment horizontal="center" vertical="center"/>
    </xf>
    <xf numFmtId="0" fontId="53" fillId="24" borderId="95" xfId="0" applyFont="1" applyFill="1" applyBorder="1" applyAlignment="1">
      <alignment horizontal="center" vertical="center"/>
    </xf>
    <xf numFmtId="0" fontId="78" fillId="0" borderId="74" xfId="10" applyFont="1" applyBorder="1" applyAlignment="1">
      <alignment horizontal="center"/>
    </xf>
    <xf numFmtId="0" fontId="55" fillId="0" borderId="74" xfId="0" applyFont="1" applyBorder="1" applyAlignment="1">
      <alignment horizontal="center"/>
    </xf>
    <xf numFmtId="0" fontId="125" fillId="0" borderId="96" xfId="17" applyFont="1" applyBorder="1" applyAlignment="1">
      <alignment horizontal="left" vertical="top" wrapText="1"/>
    </xf>
    <xf numFmtId="0" fontId="125" fillId="0" borderId="0" xfId="17" applyFont="1" applyBorder="1" applyAlignment="1">
      <alignment horizontal="left" vertical="top" wrapText="1"/>
    </xf>
    <xf numFmtId="0" fontId="125" fillId="0" borderId="97" xfId="17" applyFont="1" applyBorder="1" applyAlignment="1">
      <alignment horizontal="left" vertical="top" wrapText="1"/>
    </xf>
    <xf numFmtId="0" fontId="124" fillId="24" borderId="141" xfId="17" applyFont="1" applyFill="1" applyBorder="1" applyAlignment="1">
      <alignment horizontal="center" vertical="center"/>
    </xf>
    <xf numFmtId="0" fontId="124" fillId="24" borderId="142" xfId="17" applyFont="1" applyFill="1" applyBorder="1" applyAlignment="1">
      <alignment horizontal="center" vertical="center"/>
    </xf>
    <xf numFmtId="0" fontId="124" fillId="24" borderId="143" xfId="17" applyFont="1" applyFill="1" applyBorder="1" applyAlignment="1">
      <alignment horizontal="center" vertical="center"/>
    </xf>
    <xf numFmtId="0" fontId="124" fillId="24" borderId="98" xfId="17" applyFont="1" applyFill="1" applyBorder="1" applyAlignment="1">
      <alignment horizontal="center" vertical="center"/>
    </xf>
    <xf numFmtId="0" fontId="124" fillId="24" borderId="78" xfId="17" applyFont="1" applyFill="1" applyBorder="1" applyAlignment="1">
      <alignment horizontal="center" vertical="center"/>
    </xf>
    <xf numFmtId="0" fontId="124" fillId="24" borderId="99" xfId="17" applyFont="1" applyFill="1" applyBorder="1" applyAlignment="1">
      <alignment horizontal="center" vertical="center"/>
    </xf>
    <xf numFmtId="0" fontId="125" fillId="0" borderId="96" xfId="17" applyFont="1" applyBorder="1" applyAlignment="1">
      <alignment vertical="top" wrapText="1"/>
    </xf>
    <xf numFmtId="0" fontId="125" fillId="0" borderId="0" xfId="17" applyFont="1" applyBorder="1" applyAlignment="1">
      <alignment vertical="top" wrapText="1"/>
    </xf>
    <xf numFmtId="0" fontId="125" fillId="0" borderId="97" xfId="17" applyFont="1" applyBorder="1" applyAlignment="1">
      <alignment vertical="top" wrapText="1"/>
    </xf>
    <xf numFmtId="0" fontId="125" fillId="0" borderId="96" xfId="17" applyFont="1" applyBorder="1" applyAlignment="1">
      <alignment vertical="top"/>
    </xf>
    <xf numFmtId="0" fontId="125" fillId="0" borderId="0" xfId="17" applyFont="1" applyBorder="1" applyAlignment="1">
      <alignment vertical="top"/>
    </xf>
    <xf numFmtId="0" fontId="125" fillId="0" borderId="97" xfId="17" applyFont="1" applyBorder="1" applyAlignment="1">
      <alignment vertical="top"/>
    </xf>
    <xf numFmtId="0" fontId="62" fillId="0" borderId="12" xfId="0" applyFont="1" applyFill="1" applyBorder="1" applyAlignment="1" applyProtection="1">
      <alignment horizontal="left" vertical="center" wrapText="1"/>
    </xf>
    <xf numFmtId="0" fontId="55" fillId="0" borderId="16" xfId="0" applyFont="1" applyBorder="1" applyAlignment="1">
      <alignment horizontal="left" vertical="center" wrapText="1"/>
    </xf>
    <xf numFmtId="0" fontId="55" fillId="0" borderId="10" xfId="0" applyFont="1" applyBorder="1" applyAlignment="1">
      <alignment horizontal="left" vertical="center" wrapText="1"/>
    </xf>
    <xf numFmtId="0" fontId="62" fillId="0" borderId="20" xfId="0" applyFont="1" applyBorder="1" applyAlignment="1">
      <alignment horizontal="center" vertical="center"/>
    </xf>
    <xf numFmtId="0" fontId="60" fillId="0" borderId="11" xfId="0" applyFont="1" applyBorder="1" applyAlignment="1">
      <alignment horizontal="center" vertical="center"/>
    </xf>
    <xf numFmtId="0" fontId="60" fillId="20" borderId="13" xfId="0" applyFont="1" applyFill="1" applyBorder="1" applyAlignment="1" applyProtection="1">
      <alignment horizontal="left" vertical="center" wrapText="1" indent="1"/>
    </xf>
    <xf numFmtId="0" fontId="55" fillId="20" borderId="21" xfId="0" applyFont="1" applyFill="1" applyBorder="1" applyAlignment="1">
      <alignment horizontal="left" vertical="center" wrapText="1" indent="1"/>
    </xf>
    <xf numFmtId="0" fontId="55" fillId="20" borderId="14" xfId="0" applyFont="1" applyFill="1" applyBorder="1" applyAlignment="1">
      <alignment horizontal="left" vertical="center" wrapText="1" indent="1"/>
    </xf>
    <xf numFmtId="0" fontId="2" fillId="0" borderId="96" xfId="18" applyFont="1" applyBorder="1" applyAlignment="1" applyProtection="1">
      <alignment vertical="top" wrapText="1"/>
      <protection locked="0"/>
    </xf>
    <xf numFmtId="0" fontId="2" fillId="0" borderId="0" xfId="18" applyFont="1" applyBorder="1" applyAlignment="1" applyProtection="1">
      <alignment vertical="top" wrapText="1"/>
      <protection locked="0"/>
    </xf>
    <xf numFmtId="0" fontId="2" fillId="0" borderId="97" xfId="18" applyFont="1" applyBorder="1" applyAlignment="1" applyProtection="1">
      <alignment vertical="top" wrapText="1"/>
      <protection locked="0"/>
    </xf>
    <xf numFmtId="0" fontId="99" fillId="24" borderId="0" xfId="18" applyFont="1" applyFill="1" applyAlignment="1">
      <alignment horizontal="center" vertical="center"/>
    </xf>
    <xf numFmtId="0" fontId="71" fillId="0" borderId="138" xfId="18" applyFont="1" applyFill="1" applyBorder="1" applyAlignment="1">
      <alignment horizontal="left" vertical="top" wrapText="1"/>
    </xf>
    <xf numFmtId="0" fontId="71" fillId="0" borderId="0" xfId="18" applyFont="1" applyFill="1" applyBorder="1" applyAlignment="1">
      <alignment horizontal="left" vertical="top" wrapText="1"/>
    </xf>
    <xf numFmtId="0" fontId="105" fillId="0" borderId="0" xfId="18" applyFont="1" applyAlignment="1">
      <alignment wrapText="1"/>
    </xf>
    <xf numFmtId="0" fontId="49" fillId="0" borderId="0" xfId="18" applyFont="1" applyAlignment="1">
      <alignment horizontal="center" vertical="center" wrapText="1"/>
    </xf>
    <xf numFmtId="174" fontId="49" fillId="0" borderId="78" xfId="18" applyNumberFormat="1" applyFont="1" applyBorder="1" applyAlignment="1">
      <alignment horizontal="center" vertical="center" wrapText="1"/>
    </xf>
    <xf numFmtId="0" fontId="2" fillId="0" borderId="142" xfId="18" applyFont="1" applyBorder="1" applyAlignment="1" applyProtection="1">
      <alignment horizontal="center" vertical="top" wrapText="1"/>
      <protection locked="0"/>
    </xf>
    <xf numFmtId="0" fontId="2" fillId="0" borderId="143" xfId="18" applyFont="1" applyBorder="1" applyAlignment="1" applyProtection="1">
      <alignment horizontal="center" vertical="top" wrapText="1"/>
      <protection locked="0"/>
    </xf>
    <xf numFmtId="0" fontId="47" fillId="0" borderId="98" xfId="18" applyFont="1" applyBorder="1" applyAlignment="1" applyProtection="1">
      <alignment vertical="top" wrapText="1"/>
      <protection locked="0"/>
    </xf>
    <xf numFmtId="0" fontId="47" fillId="0" borderId="78" xfId="18" applyFont="1" applyBorder="1" applyAlignment="1" applyProtection="1">
      <alignment vertical="top" wrapText="1"/>
      <protection locked="0"/>
    </xf>
    <xf numFmtId="0" fontId="47" fillId="0" borderId="99" xfId="18" applyFont="1" applyBorder="1" applyAlignment="1" applyProtection="1">
      <alignment vertical="top" wrapText="1"/>
      <protection locked="0"/>
    </xf>
    <xf numFmtId="0" fontId="2" fillId="0" borderId="98" xfId="18" applyFont="1" applyBorder="1" applyAlignment="1" applyProtection="1">
      <alignment vertical="top" wrapText="1"/>
      <protection locked="0"/>
    </xf>
    <xf numFmtId="0" fontId="2" fillId="0" borderId="78" xfId="18" applyFont="1" applyBorder="1" applyAlignment="1" applyProtection="1">
      <alignment vertical="top" wrapText="1"/>
      <protection locked="0"/>
    </xf>
    <xf numFmtId="0" fontId="2" fillId="0" borderId="99" xfId="18" applyFont="1" applyBorder="1" applyAlignment="1" applyProtection="1">
      <alignment vertical="top" wrapText="1"/>
      <protection locked="0"/>
    </xf>
    <xf numFmtId="0" fontId="47" fillId="0" borderId="142" xfId="18" applyFont="1" applyBorder="1" applyAlignment="1" applyProtection="1">
      <alignment horizontal="center" vertical="top" wrapText="1"/>
      <protection locked="0"/>
    </xf>
    <xf numFmtId="0" fontId="47" fillId="0" borderId="143" xfId="18" applyFont="1" applyBorder="1" applyAlignment="1" applyProtection="1">
      <alignment horizontal="center" vertical="top" wrapText="1"/>
      <protection locked="0"/>
    </xf>
    <xf numFmtId="0" fontId="47" fillId="0" borderId="96" xfId="18" applyFont="1" applyBorder="1" applyAlignment="1" applyProtection="1">
      <alignment vertical="top" wrapText="1"/>
      <protection locked="0"/>
    </xf>
    <xf numFmtId="0" fontId="47" fillId="0" borderId="0" xfId="18" applyFont="1" applyBorder="1" applyAlignment="1" applyProtection="1">
      <alignment vertical="top" wrapText="1"/>
      <protection locked="0"/>
    </xf>
    <xf numFmtId="0" fontId="47" fillId="0" borderId="97" xfId="18" applyFont="1" applyBorder="1" applyAlignment="1" applyProtection="1">
      <alignment vertical="top" wrapText="1"/>
      <protection locked="0"/>
    </xf>
    <xf numFmtId="0" fontId="60" fillId="0" borderId="5" xfId="3" quotePrefix="1" applyNumberFormat="1" applyFont="1" applyBorder="1" applyAlignment="1">
      <alignment horizontal="left" vertical="top" wrapText="1" indent="2"/>
    </xf>
    <xf numFmtId="0" fontId="60" fillId="0" borderId="0" xfId="3" quotePrefix="1" applyNumberFormat="1" applyFont="1" applyBorder="1" applyAlignment="1">
      <alignment horizontal="left" vertical="top" wrapText="1" indent="2"/>
    </xf>
    <xf numFmtId="0" fontId="60" fillId="0" borderId="0" xfId="3" applyNumberFormat="1" applyFont="1" applyBorder="1" applyAlignment="1">
      <alignment horizontal="left" vertical="top" wrapText="1" indent="2"/>
    </xf>
    <xf numFmtId="0" fontId="55" fillId="0" borderId="0" xfId="3" applyFont="1" applyAlignment="1">
      <alignment horizontal="left" vertical="top" wrapText="1" indent="2"/>
    </xf>
    <xf numFmtId="0" fontId="60" fillId="0" borderId="0" xfId="3" applyNumberFormat="1" applyFont="1" applyAlignment="1">
      <alignment horizontal="left" vertical="top" wrapText="1" indent="2"/>
    </xf>
    <xf numFmtId="0" fontId="53" fillId="0" borderId="20" xfId="3" applyNumberFormat="1" applyFont="1" applyBorder="1" applyAlignment="1">
      <alignment horizontal="left" vertical="center" indent="1"/>
    </xf>
    <xf numFmtId="0" fontId="53" fillId="0" borderId="20" xfId="3" applyNumberFormat="1" applyFont="1" applyBorder="1" applyAlignment="1">
      <alignment horizontal="left" vertical="center"/>
    </xf>
    <xf numFmtId="0" fontId="53" fillId="24" borderId="17" xfId="3" applyNumberFormat="1" applyFont="1" applyFill="1" applyBorder="1" applyAlignment="1">
      <alignment horizontal="left" vertical="top" wrapText="1"/>
    </xf>
    <xf numFmtId="0" fontId="53" fillId="24" borderId="0" xfId="3" applyFont="1" applyFill="1" applyBorder="1" applyAlignment="1">
      <alignment vertical="top"/>
    </xf>
    <xf numFmtId="0" fontId="53" fillId="24" borderId="18" xfId="3" applyFont="1" applyFill="1" applyBorder="1" applyAlignment="1">
      <alignment vertical="top"/>
    </xf>
    <xf numFmtId="166" fontId="53" fillId="0" borderId="21" xfId="3" applyNumberFormat="1" applyFont="1" applyBorder="1" applyAlignment="1">
      <alignment horizontal="left" vertical="center" indent="1"/>
    </xf>
    <xf numFmtId="0" fontId="62" fillId="0" borderId="19" xfId="3" applyNumberFormat="1" applyFont="1" applyBorder="1" applyAlignment="1">
      <alignment horizontal="center" vertical="center"/>
    </xf>
    <xf numFmtId="0" fontId="55" fillId="0" borderId="20" xfId="3" applyFont="1" applyBorder="1" applyAlignment="1">
      <alignment horizontal="center" vertical="center"/>
    </xf>
    <xf numFmtId="0" fontId="55" fillId="0" borderId="11" xfId="3" applyFont="1" applyBorder="1" applyAlignment="1">
      <alignment horizontal="center" vertical="center"/>
    </xf>
    <xf numFmtId="0" fontId="60" fillId="0" borderId="21" xfId="3" applyNumberFormat="1" applyFont="1" applyBorder="1" applyAlignment="1">
      <alignment horizontal="left" vertical="center" wrapText="1"/>
    </xf>
    <xf numFmtId="0" fontId="55" fillId="0" borderId="21" xfId="3" applyFont="1" applyBorder="1" applyAlignment="1">
      <alignment horizontal="left" vertical="center" wrapText="1"/>
    </xf>
    <xf numFmtId="0" fontId="55" fillId="0" borderId="14" xfId="3" applyFont="1" applyBorder="1" applyAlignment="1">
      <alignment horizontal="left" vertical="center" wrapText="1"/>
    </xf>
    <xf numFmtId="0" fontId="62" fillId="0" borderId="21" xfId="3" applyNumberFormat="1" applyFont="1" applyBorder="1" applyAlignment="1">
      <alignment vertical="center"/>
    </xf>
    <xf numFmtId="0" fontId="62" fillId="0" borderId="14" xfId="3" applyNumberFormat="1" applyFont="1" applyBorder="1" applyAlignment="1">
      <alignment vertical="center"/>
    </xf>
    <xf numFmtId="0" fontId="71" fillId="0" borderId="134" xfId="3" applyFont="1" applyBorder="1" applyAlignment="1">
      <alignment horizontal="center" vertical="center" wrapText="1"/>
    </xf>
    <xf numFmtId="0" fontId="71" fillId="0" borderId="134" xfId="3" applyNumberFormat="1" applyFont="1" applyBorder="1" applyAlignment="1">
      <alignment horizontal="center"/>
    </xf>
    <xf numFmtId="0" fontId="55" fillId="0" borderId="135" xfId="3" applyNumberFormat="1" applyFont="1" applyBorder="1" applyAlignment="1" applyProtection="1">
      <alignment horizontal="center"/>
      <protection locked="0"/>
    </xf>
    <xf numFmtId="171" fontId="55" fillId="0" borderId="135" xfId="3" applyNumberFormat="1" applyFont="1" applyBorder="1" applyAlignment="1" applyProtection="1">
      <alignment horizontal="center"/>
      <protection locked="0"/>
    </xf>
    <xf numFmtId="0" fontId="55" fillId="0" borderId="135" xfId="3" applyNumberFormat="1" applyFont="1" applyBorder="1" applyAlignment="1" applyProtection="1">
      <alignment horizontal="center" vertical="center"/>
      <protection locked="0"/>
    </xf>
    <xf numFmtId="0" fontId="81" fillId="0" borderId="0" xfId="0" applyFont="1" applyAlignment="1">
      <alignment vertical="top" wrapText="1"/>
    </xf>
    <xf numFmtId="0" fontId="63" fillId="13" borderId="13" xfId="3" applyFont="1" applyFill="1" applyBorder="1" applyAlignment="1">
      <alignment horizontal="center" vertical="center" wrapText="1"/>
    </xf>
    <xf numFmtId="0" fontId="63" fillId="13" borderId="21" xfId="3" applyFont="1" applyFill="1" applyBorder="1" applyAlignment="1">
      <alignment horizontal="center" vertical="center" wrapText="1"/>
    </xf>
    <xf numFmtId="0" fontId="63" fillId="13" borderId="14" xfId="3" applyFont="1" applyFill="1" applyBorder="1" applyAlignment="1">
      <alignment horizontal="center" vertical="center" wrapText="1"/>
    </xf>
    <xf numFmtId="0" fontId="55" fillId="0" borderId="0" xfId="3" applyFont="1" applyBorder="1" applyAlignment="1">
      <alignment wrapText="1"/>
    </xf>
    <xf numFmtId="0" fontId="107" fillId="0" borderId="113" xfId="3" applyFont="1" applyBorder="1" applyAlignment="1">
      <alignment horizontal="center" vertical="center" wrapText="1"/>
    </xf>
    <xf numFmtId="0" fontId="107" fillId="0" borderId="0" xfId="3" applyFont="1" applyBorder="1" applyAlignment="1">
      <alignment horizontal="center" vertical="center" wrapText="1"/>
    </xf>
    <xf numFmtId="0" fontId="107" fillId="0" borderId="114" xfId="3" applyFont="1" applyBorder="1" applyAlignment="1">
      <alignment horizontal="center" vertical="center" wrapText="1"/>
    </xf>
    <xf numFmtId="0" fontId="107" fillId="0" borderId="115" xfId="3" applyFont="1" applyBorder="1" applyAlignment="1">
      <alignment horizontal="center" vertical="center" wrapText="1"/>
    </xf>
    <xf numFmtId="0" fontId="107" fillId="0" borderId="116" xfId="3" applyFont="1" applyBorder="1" applyAlignment="1">
      <alignment horizontal="center" vertical="center" wrapText="1"/>
    </xf>
    <xf numFmtId="0" fontId="107" fillId="0" borderId="117" xfId="3" applyFont="1" applyBorder="1" applyAlignment="1">
      <alignment horizontal="center" vertical="center" wrapText="1"/>
    </xf>
    <xf numFmtId="0" fontId="108" fillId="0" borderId="13" xfId="3" applyNumberFormat="1" applyFont="1" applyBorder="1" applyAlignment="1">
      <alignment vertical="top" wrapText="1"/>
    </xf>
    <xf numFmtId="0" fontId="108" fillId="0" borderId="21" xfId="3" applyNumberFormat="1" applyFont="1" applyBorder="1" applyAlignment="1">
      <alignment vertical="top" wrapText="1"/>
    </xf>
    <xf numFmtId="0" fontId="108" fillId="0" borderId="14" xfId="3" applyNumberFormat="1" applyFont="1" applyBorder="1" applyAlignment="1">
      <alignment vertical="top" wrapText="1"/>
    </xf>
    <xf numFmtId="0" fontId="53" fillId="0" borderId="12" xfId="3" applyFont="1" applyBorder="1" applyAlignment="1">
      <alignment vertical="top" wrapText="1"/>
    </xf>
    <xf numFmtId="0" fontId="53" fillId="0" borderId="16" xfId="3" applyFont="1" applyBorder="1" applyAlignment="1">
      <alignment vertical="top" wrapText="1"/>
    </xf>
    <xf numFmtId="0" fontId="53" fillId="0" borderId="10" xfId="3" applyFont="1" applyBorder="1" applyAlignment="1">
      <alignment vertical="top" wrapText="1"/>
    </xf>
    <xf numFmtId="0" fontId="63" fillId="0" borderId="46" xfId="3" applyFont="1" applyBorder="1" applyAlignment="1">
      <alignment horizontal="center" vertical="center" wrapText="1"/>
    </xf>
    <xf numFmtId="0" fontId="63" fillId="0" borderId="6" xfId="3" applyFont="1" applyBorder="1" applyAlignment="1">
      <alignment horizontal="center" vertical="center" wrapText="1"/>
    </xf>
    <xf numFmtId="0" fontId="63" fillId="0" borderId="7" xfId="3" applyFont="1" applyBorder="1" applyAlignment="1">
      <alignment horizontal="center" vertical="center" wrapText="1"/>
    </xf>
    <xf numFmtId="0" fontId="81" fillId="0" borderId="5" xfId="3" applyFont="1" applyBorder="1" applyAlignment="1">
      <alignment vertical="top"/>
    </xf>
    <xf numFmtId="0" fontId="81" fillId="0" borderId="0" xfId="3" applyFont="1" applyBorder="1" applyAlignment="1">
      <alignment vertical="top"/>
    </xf>
    <xf numFmtId="0" fontId="81" fillId="0" borderId="40" xfId="3" applyFont="1" applyBorder="1" applyAlignment="1">
      <alignment vertical="top"/>
    </xf>
    <xf numFmtId="0" fontId="81" fillId="0" borderId="50" xfId="3" applyFont="1" applyBorder="1" applyAlignment="1">
      <alignment vertical="top"/>
    </xf>
    <xf numFmtId="0" fontId="81" fillId="0" borderId="9" xfId="3" applyFont="1" applyBorder="1" applyAlignment="1">
      <alignment vertical="top"/>
    </xf>
    <xf numFmtId="0" fontId="81" fillId="0" borderId="59" xfId="3" applyFont="1" applyBorder="1" applyAlignment="1">
      <alignment vertical="top"/>
    </xf>
    <xf numFmtId="0" fontId="110" fillId="13" borderId="126" xfId="0" applyFont="1" applyFill="1" applyBorder="1" applyAlignment="1">
      <alignment horizontal="center" vertical="center"/>
    </xf>
    <xf numFmtId="0" fontId="110" fillId="13" borderId="129" xfId="0" applyFont="1" applyFill="1" applyBorder="1" applyAlignment="1">
      <alignment horizontal="center" vertical="center"/>
    </xf>
    <xf numFmtId="0" fontId="110" fillId="13" borderId="154" xfId="0" applyFont="1" applyFill="1" applyBorder="1" applyAlignment="1">
      <alignment horizontal="center" vertical="center"/>
    </xf>
    <xf numFmtId="164" fontId="110" fillId="13" borderId="17" xfId="0" applyNumberFormat="1" applyFont="1" applyFill="1" applyBorder="1" applyAlignment="1">
      <alignment horizontal="center" vertical="center"/>
    </xf>
    <xf numFmtId="164" fontId="110" fillId="13" borderId="0" xfId="0" applyNumberFormat="1" applyFont="1" applyFill="1" applyBorder="1" applyAlignment="1">
      <alignment horizontal="center" vertical="center"/>
    </xf>
    <xf numFmtId="164" fontId="110" fillId="13" borderId="63" xfId="0" applyNumberFormat="1" applyFont="1" applyFill="1" applyBorder="1" applyAlignment="1">
      <alignment horizontal="center" vertical="center"/>
    </xf>
    <xf numFmtId="164" fontId="59" fillId="13" borderId="126" xfId="0" applyNumberFormat="1" applyFont="1" applyFill="1" applyBorder="1" applyAlignment="1">
      <alignment horizontal="center" vertical="top"/>
    </xf>
    <xf numFmtId="164" fontId="111" fillId="13" borderId="129" xfId="0" applyNumberFormat="1" applyFont="1" applyFill="1" applyBorder="1" applyAlignment="1">
      <alignment horizontal="center" vertical="top"/>
    </xf>
    <xf numFmtId="164" fontId="111" fillId="13" borderId="154" xfId="0" applyNumberFormat="1" applyFont="1" applyFill="1" applyBorder="1" applyAlignment="1">
      <alignment horizontal="center" vertical="top"/>
    </xf>
    <xf numFmtId="0" fontId="111" fillId="0" borderId="21" xfId="0" applyFont="1" applyBorder="1" applyAlignment="1">
      <alignment horizontal="left" vertical="top" wrapText="1"/>
    </xf>
    <xf numFmtId="0" fontId="53" fillId="0" borderId="14" xfId="0" applyFont="1" applyBorder="1" applyAlignment="1">
      <alignment horizontal="left" vertical="top" wrapText="1"/>
    </xf>
    <xf numFmtId="0" fontId="53" fillId="0" borderId="21" xfId="0" applyFont="1" applyBorder="1" applyAlignment="1">
      <alignment vertical="top" wrapText="1"/>
    </xf>
    <xf numFmtId="0" fontId="55" fillId="0" borderId="14" xfId="0" applyFont="1" applyBorder="1" applyAlignment="1">
      <alignment wrapText="1"/>
    </xf>
    <xf numFmtId="0" fontId="111" fillId="0" borderId="129" xfId="0" applyNumberFormat="1" applyFont="1" applyBorder="1" applyAlignment="1">
      <alignment horizontal="left" vertical="center" wrapText="1"/>
    </xf>
    <xf numFmtId="0" fontId="55" fillId="0" borderId="127" xfId="0" applyFont="1" applyBorder="1" applyAlignment="1">
      <alignment horizontal="left" vertical="center" wrapText="1"/>
    </xf>
    <xf numFmtId="0" fontId="111" fillId="0" borderId="0" xfId="0" applyNumberFormat="1" applyFont="1" applyBorder="1" applyAlignment="1">
      <alignment horizontal="left" vertical="center" wrapText="1"/>
    </xf>
    <xf numFmtId="0" fontId="53" fillId="0" borderId="18" xfId="0" applyFont="1" applyBorder="1" applyAlignment="1">
      <alignment vertical="center" wrapText="1"/>
    </xf>
    <xf numFmtId="0" fontId="111" fillId="0" borderId="21" xfId="0" applyNumberFormat="1" applyFont="1" applyBorder="1" applyAlignment="1">
      <alignment horizontal="left" vertical="center" wrapText="1"/>
    </xf>
    <xf numFmtId="0" fontId="53" fillId="0" borderId="14" xfId="0" applyFont="1" applyBorder="1" applyAlignment="1"/>
    <xf numFmtId="0" fontId="63" fillId="0" borderId="0" xfId="3" applyNumberFormat="1" applyFont="1" applyAlignment="1" applyProtection="1">
      <alignment horizontal="center" vertical="center"/>
    </xf>
    <xf numFmtId="0" fontId="53" fillId="0" borderId="147" xfId="3" applyNumberFormat="1" applyFont="1" applyBorder="1" applyProtection="1"/>
    <xf numFmtId="0" fontId="53" fillId="0" borderId="148" xfId="3" applyNumberFormat="1" applyFont="1" applyBorder="1" applyProtection="1"/>
    <xf numFmtId="0" fontId="63" fillId="0" borderId="5" xfId="3" applyNumberFormat="1" applyFont="1" applyBorder="1" applyAlignment="1" applyProtection="1">
      <alignment horizontal="left" vertical="center" indent="1"/>
    </xf>
    <xf numFmtId="0" fontId="63" fillId="0" borderId="0" xfId="3" applyNumberFormat="1" applyFont="1" applyBorder="1" applyAlignment="1" applyProtection="1">
      <alignment horizontal="left" vertical="center" indent="1"/>
    </xf>
    <xf numFmtId="0" fontId="63" fillId="0" borderId="40" xfId="3" applyNumberFormat="1" applyFont="1" applyBorder="1" applyAlignment="1" applyProtection="1">
      <alignment horizontal="left" vertical="center" indent="1"/>
    </xf>
    <xf numFmtId="0" fontId="63" fillId="0" borderId="5" xfId="3" applyNumberFormat="1" applyFont="1" applyBorder="1" applyAlignment="1" applyProtection="1">
      <alignment horizontal="left" indent="1"/>
    </xf>
    <xf numFmtId="0" fontId="63" fillId="0" borderId="0" xfId="3" applyNumberFormat="1" applyFont="1" applyBorder="1" applyAlignment="1" applyProtection="1">
      <alignment horizontal="left" indent="1"/>
    </xf>
    <xf numFmtId="0" fontId="63" fillId="0" borderId="40" xfId="3" applyNumberFormat="1" applyFont="1" applyBorder="1" applyAlignment="1" applyProtection="1">
      <alignment horizontal="left" indent="1"/>
    </xf>
    <xf numFmtId="0" fontId="55" fillId="0" borderId="50" xfId="3" applyNumberFormat="1" applyFont="1" applyBorder="1" applyProtection="1"/>
    <xf numFmtId="0" fontId="55" fillId="0" borderId="9" xfId="3" applyNumberFormat="1" applyFont="1" applyBorder="1" applyProtection="1"/>
    <xf numFmtId="0" fontId="55" fillId="0" borderId="59" xfId="3" applyNumberFormat="1" applyFont="1" applyBorder="1" applyProtection="1"/>
    <xf numFmtId="0" fontId="63" fillId="0" borderId="50" xfId="3" applyNumberFormat="1" applyFont="1" applyBorder="1" applyAlignment="1" applyProtection="1"/>
    <xf numFmtId="0" fontId="63" fillId="0" borderId="9" xfId="3" applyFont="1" applyBorder="1" applyAlignment="1" applyProtection="1"/>
    <xf numFmtId="0" fontId="63" fillId="0" borderId="59" xfId="3" applyFont="1" applyBorder="1" applyAlignment="1" applyProtection="1"/>
    <xf numFmtId="0" fontId="81" fillId="0" borderId="5" xfId="3" applyNumberFormat="1" applyFont="1" applyBorder="1" applyAlignment="1" applyProtection="1"/>
    <xf numFmtId="0" fontId="81" fillId="0" borderId="0" xfId="3" applyFont="1" applyBorder="1" applyAlignment="1" applyProtection="1"/>
    <xf numFmtId="0" fontId="81" fillId="0" borderId="40" xfId="3" applyFont="1" applyBorder="1" applyAlignment="1" applyProtection="1"/>
    <xf numFmtId="0" fontId="63" fillId="0" borderId="148" xfId="3" applyNumberFormat="1" applyFont="1" applyBorder="1" applyAlignment="1" applyProtection="1">
      <alignment horizontal="left" indent="1"/>
      <protection locked="0"/>
    </xf>
    <xf numFmtId="0" fontId="63" fillId="0" borderId="148" xfId="3" applyFont="1" applyBorder="1" applyAlignment="1" applyProtection="1">
      <alignment horizontal="left" indent="1"/>
      <protection locked="0"/>
    </xf>
    <xf numFmtId="0" fontId="63" fillId="0" borderId="149" xfId="3" applyFont="1" applyBorder="1" applyAlignment="1" applyProtection="1">
      <alignment horizontal="left" indent="1"/>
      <protection locked="0"/>
    </xf>
    <xf numFmtId="0" fontId="55" fillId="0" borderId="0" xfId="3" applyFont="1" applyAlignment="1">
      <alignment horizontal="center" vertical="center"/>
    </xf>
    <xf numFmtId="0" fontId="63" fillId="0" borderId="50" xfId="3" applyNumberFormat="1" applyFont="1" applyBorder="1" applyAlignment="1" applyProtection="1">
      <alignment horizontal="left" indent="1"/>
    </xf>
    <xf numFmtId="0" fontId="63" fillId="0" borderId="9" xfId="3" applyFont="1" applyBorder="1" applyAlignment="1" applyProtection="1">
      <alignment horizontal="left" indent="1"/>
    </xf>
    <xf numFmtId="0" fontId="63" fillId="0" borderId="59" xfId="3" applyFont="1" applyBorder="1" applyAlignment="1" applyProtection="1">
      <alignment horizontal="left" indent="1"/>
    </xf>
    <xf numFmtId="165" fontId="63" fillId="0" borderId="50" xfId="3" applyNumberFormat="1" applyFont="1" applyBorder="1" applyAlignment="1" applyProtection="1">
      <alignment horizontal="left" indent="1"/>
    </xf>
    <xf numFmtId="165" fontId="63" fillId="0" borderId="59" xfId="3" applyNumberFormat="1" applyFont="1" applyBorder="1" applyAlignment="1" applyProtection="1">
      <alignment horizontal="left" indent="1"/>
    </xf>
    <xf numFmtId="0" fontId="63" fillId="0" borderId="59" xfId="3" applyNumberFormat="1" applyFont="1" applyBorder="1" applyAlignment="1" applyProtection="1">
      <alignment horizontal="left" indent="1"/>
    </xf>
    <xf numFmtId="0" fontId="63" fillId="0" borderId="5" xfId="3" applyFont="1" applyBorder="1" applyAlignment="1" applyProtection="1"/>
    <xf numFmtId="0" fontId="63" fillId="0" borderId="0" xfId="3" applyFont="1" applyBorder="1" applyAlignment="1" applyProtection="1"/>
    <xf numFmtId="0" fontId="63" fillId="0" borderId="40" xfId="3" applyFont="1" applyBorder="1" applyAlignment="1" applyProtection="1"/>
    <xf numFmtId="0" fontId="63" fillId="0" borderId="0" xfId="3" applyNumberFormat="1" applyFont="1" applyAlignment="1" applyProtection="1">
      <alignment horizontal="center"/>
    </xf>
    <xf numFmtId="0" fontId="63" fillId="0" borderId="50" xfId="3" applyNumberFormat="1" applyFont="1" applyBorder="1" applyAlignment="1" applyProtection="1">
      <alignment horizontal="left" indent="1"/>
      <protection locked="0"/>
    </xf>
    <xf numFmtId="0" fontId="63" fillId="0" borderId="9" xfId="3" applyFont="1" applyBorder="1" applyAlignment="1">
      <alignment horizontal="left" indent="1"/>
    </xf>
    <xf numFmtId="0" fontId="63" fillId="0" borderId="59" xfId="3" applyFont="1" applyBorder="1" applyAlignment="1">
      <alignment horizontal="left" indent="1"/>
    </xf>
    <xf numFmtId="0" fontId="63" fillId="0" borderId="5" xfId="3" applyNumberFormat="1" applyFont="1" applyBorder="1" applyAlignment="1" applyProtection="1">
      <alignment horizontal="left" indent="1"/>
      <protection locked="0"/>
    </xf>
    <xf numFmtId="0" fontId="63" fillId="0" borderId="0" xfId="3" applyFont="1" applyBorder="1" applyAlignment="1">
      <alignment horizontal="left" indent="1"/>
    </xf>
    <xf numFmtId="0" fontId="63" fillId="0" borderId="40" xfId="3" applyFont="1" applyBorder="1" applyAlignment="1">
      <alignment horizontal="left" indent="1"/>
    </xf>
    <xf numFmtId="0" fontId="63" fillId="0" borderId="0" xfId="3" applyFont="1" applyBorder="1" applyAlignment="1" applyProtection="1">
      <alignment horizontal="left" indent="1"/>
    </xf>
    <xf numFmtId="0" fontId="63" fillId="0" borderId="40" xfId="3" applyFont="1" applyBorder="1" applyAlignment="1" applyProtection="1">
      <alignment horizontal="left" indent="1"/>
    </xf>
    <xf numFmtId="0" fontId="55" fillId="0" borderId="50" xfId="3" applyNumberFormat="1" applyFont="1" applyBorder="1" applyAlignment="1" applyProtection="1">
      <alignment horizontal="left" vertical="center" indent="1"/>
    </xf>
    <xf numFmtId="0" fontId="55" fillId="0" borderId="9" xfId="3" applyFont="1" applyBorder="1" applyAlignment="1" applyProtection="1">
      <alignment horizontal="left" vertical="center" indent="1"/>
    </xf>
    <xf numFmtId="0" fontId="55" fillId="0" borderId="59" xfId="3" applyFont="1" applyBorder="1" applyAlignment="1" applyProtection="1">
      <alignment horizontal="left" vertical="center" indent="1"/>
    </xf>
    <xf numFmtId="0" fontId="63" fillId="0" borderId="5" xfId="3" applyNumberFormat="1" applyFont="1" applyBorder="1" applyAlignment="1" applyProtection="1"/>
    <xf numFmtId="0" fontId="52" fillId="0" borderId="0" xfId="3" applyFont="1" applyAlignment="1">
      <alignment horizontal="center" vertical="center"/>
    </xf>
    <xf numFmtId="174" fontId="52" fillId="0" borderId="0" xfId="3" applyNumberFormat="1" applyFont="1" applyAlignment="1">
      <alignment horizontal="center" vertical="center"/>
    </xf>
    <xf numFmtId="174" fontId="55" fillId="0" borderId="0" xfId="3" applyNumberFormat="1" applyFont="1" applyAlignment="1">
      <alignment horizontal="center" vertical="center"/>
    </xf>
    <xf numFmtId="0" fontId="55" fillId="0" borderId="69" xfId="3" applyFont="1" applyBorder="1" applyAlignment="1" applyProtection="1">
      <protection locked="0"/>
    </xf>
    <xf numFmtId="0" fontId="63" fillId="0" borderId="0" xfId="3" applyFont="1" applyAlignment="1" applyProtection="1">
      <alignment horizontal="center" vertical="center"/>
    </xf>
    <xf numFmtId="174" fontId="63" fillId="0" borderId="0" xfId="3" applyNumberFormat="1" applyFont="1" applyAlignment="1" applyProtection="1">
      <alignment horizontal="center" vertical="center"/>
    </xf>
    <xf numFmtId="0" fontId="55" fillId="0" borderId="69" xfId="3" applyFont="1" applyBorder="1" applyAlignment="1" applyProtection="1">
      <alignment horizontal="left"/>
      <protection locked="0"/>
    </xf>
    <xf numFmtId="0" fontId="63" fillId="0" borderId="0" xfId="3" quotePrefix="1" applyFont="1" applyAlignment="1" applyProtection="1">
      <alignment horizontal="center" vertical="center"/>
    </xf>
    <xf numFmtId="0" fontId="60" fillId="0" borderId="0" xfId="3" applyFont="1" applyAlignment="1" applyProtection="1">
      <alignment horizontal="left" vertical="center" wrapText="1"/>
    </xf>
    <xf numFmtId="3" fontId="53" fillId="0" borderId="77" xfId="3" applyNumberFormat="1" applyFont="1" applyBorder="1" applyAlignment="1" applyProtection="1">
      <alignment horizontal="right" indent="1"/>
      <protection locked="0"/>
    </xf>
    <xf numFmtId="0" fontId="53" fillId="0" borderId="0" xfId="3" applyFont="1" applyBorder="1" applyAlignment="1" applyProtection="1">
      <alignment vertical="center" wrapText="1"/>
      <protection locked="0"/>
    </xf>
    <xf numFmtId="5" fontId="63" fillId="0" borderId="150" xfId="3" applyNumberFormat="1" applyFont="1" applyBorder="1" applyAlignment="1" applyProtection="1">
      <protection locked="0"/>
    </xf>
    <xf numFmtId="0" fontId="63" fillId="0" borderId="151" xfId="3" applyFont="1" applyBorder="1" applyAlignment="1" applyProtection="1">
      <protection locked="0"/>
    </xf>
    <xf numFmtId="0" fontId="60" fillId="0" borderId="0" xfId="3" applyFont="1" applyBorder="1" applyAlignment="1" applyProtection="1">
      <alignment horizontal="left" vertical="top" wrapText="1"/>
    </xf>
    <xf numFmtId="0" fontId="52" fillId="0" borderId="0" xfId="3" applyFont="1" applyAlignment="1" applyProtection="1">
      <alignment horizontal="center"/>
    </xf>
    <xf numFmtId="0" fontId="52" fillId="0" borderId="78" xfId="3" applyFont="1" applyBorder="1" applyAlignment="1" applyProtection="1">
      <alignment horizontal="center"/>
    </xf>
    <xf numFmtId="0" fontId="53" fillId="0" borderId="0" xfId="3" applyFont="1" applyAlignment="1" applyProtection="1">
      <alignment horizontal="left" vertical="center" wrapText="1"/>
      <protection locked="0"/>
    </xf>
    <xf numFmtId="0" fontId="63" fillId="0" borderId="0" xfId="3" applyNumberFormat="1" applyFont="1" applyBorder="1" applyAlignment="1" applyProtection="1">
      <alignment horizontal="center"/>
    </xf>
    <xf numFmtId="165" fontId="63" fillId="0" borderId="0" xfId="3" applyNumberFormat="1" applyFont="1" applyAlignment="1" applyProtection="1">
      <alignment horizontal="center" vertical="center"/>
    </xf>
    <xf numFmtId="0" fontId="52" fillId="0" borderId="0" xfId="3" applyFont="1" applyAlignment="1" applyProtection="1">
      <alignment horizontal="center" vertical="center" readingOrder="1"/>
    </xf>
    <xf numFmtId="0" fontId="52" fillId="0" borderId="0" xfId="3" applyFont="1" applyAlignment="1" applyProtection="1">
      <alignment horizontal="center" vertical="center"/>
    </xf>
    <xf numFmtId="0" fontId="63" fillId="0" borderId="0" xfId="3" applyNumberFormat="1" applyFont="1" applyAlignment="1">
      <alignment horizontal="center"/>
    </xf>
    <xf numFmtId="165" fontId="52" fillId="0" borderId="0" xfId="3" applyNumberFormat="1" applyFont="1" applyAlignment="1" applyProtection="1">
      <alignment horizontal="center" vertical="center"/>
    </xf>
    <xf numFmtId="0" fontId="52" fillId="0" borderId="0" xfId="3" applyNumberFormat="1" applyFont="1" applyAlignment="1" applyProtection="1">
      <alignment horizontal="center" vertical="center"/>
    </xf>
    <xf numFmtId="0" fontId="62" fillId="0" borderId="150" xfId="3" applyFont="1" applyBorder="1" applyAlignment="1" applyProtection="1">
      <alignment horizontal="center" vertical="center"/>
      <protection locked="0"/>
    </xf>
    <xf numFmtId="0" fontId="62" fillId="0" borderId="76" xfId="3" applyFont="1" applyBorder="1" applyAlignment="1" applyProtection="1">
      <alignment horizontal="center" vertical="center"/>
      <protection locked="0"/>
    </xf>
    <xf numFmtId="0" fontId="62" fillId="0" borderId="151" xfId="3" applyFont="1" applyBorder="1" applyAlignment="1" applyProtection="1">
      <alignment horizontal="center" vertical="center"/>
      <protection locked="0"/>
    </xf>
    <xf numFmtId="6" fontId="60" fillId="0" borderId="77" xfId="3" applyNumberFormat="1" applyFont="1" applyBorder="1" applyAlignment="1" applyProtection="1">
      <alignment horizontal="right" vertical="center"/>
      <protection locked="0"/>
    </xf>
    <xf numFmtId="6" fontId="60" fillId="0" borderId="150" xfId="3" applyNumberFormat="1" applyFont="1" applyBorder="1" applyProtection="1">
      <protection locked="0"/>
    </xf>
    <xf numFmtId="6" fontId="60" fillId="0" borderId="151" xfId="3" applyNumberFormat="1" applyFont="1" applyBorder="1" applyProtection="1">
      <protection locked="0"/>
    </xf>
    <xf numFmtId="170" fontId="55" fillId="0" borderId="9" xfId="3" applyNumberFormat="1" applyFont="1" applyBorder="1" applyAlignment="1" applyProtection="1">
      <alignment horizontal="center"/>
      <protection locked="0"/>
    </xf>
    <xf numFmtId="0" fontId="60" fillId="0" borderId="150" xfId="3" applyFont="1" applyBorder="1" applyAlignment="1" applyProtection="1">
      <alignment horizontal="left" vertical="center"/>
      <protection locked="0"/>
    </xf>
    <xf numFmtId="0" fontId="60" fillId="0" borderId="76" xfId="3" applyFont="1" applyBorder="1" applyAlignment="1" applyProtection="1">
      <alignment horizontal="left" vertical="center"/>
      <protection locked="0"/>
    </xf>
    <xf numFmtId="0" fontId="60" fillId="0" borderId="151" xfId="3" applyFont="1" applyBorder="1" applyAlignment="1" applyProtection="1">
      <alignment horizontal="left" vertical="center"/>
      <protection locked="0"/>
    </xf>
    <xf numFmtId="38" fontId="60" fillId="0" borderId="77" xfId="3" applyNumberFormat="1" applyFont="1" applyBorder="1" applyAlignment="1" applyProtection="1">
      <alignment horizontal="right" vertical="center"/>
      <protection locked="0"/>
    </xf>
    <xf numFmtId="0" fontId="63" fillId="0" borderId="0" xfId="3" applyNumberFormat="1" applyFont="1" applyBorder="1" applyAlignment="1" applyProtection="1">
      <alignment horizontal="center" vertical="center" wrapText="1"/>
    </xf>
    <xf numFmtId="0" fontId="55" fillId="0" borderId="0" xfId="3" applyNumberFormat="1" applyFont="1" applyAlignment="1">
      <alignment horizontal="center" vertical="center" wrapText="1"/>
    </xf>
    <xf numFmtId="165" fontId="63" fillId="0" borderId="0" xfId="3" applyNumberFormat="1" applyFont="1" applyBorder="1" applyAlignment="1" applyProtection="1">
      <alignment horizontal="center" vertical="center" wrapText="1"/>
    </xf>
    <xf numFmtId="0" fontId="55" fillId="0" borderId="0" xfId="3" applyFont="1" applyAlignment="1">
      <alignment horizontal="center" vertical="center" wrapText="1"/>
    </xf>
    <xf numFmtId="169" fontId="52" fillId="0" borderId="0" xfId="3" applyNumberFormat="1" applyFont="1" applyAlignment="1" applyProtection="1">
      <alignment horizontal="center" vertical="center" wrapText="1"/>
    </xf>
    <xf numFmtId="0" fontId="53" fillId="0" borderId="0" xfId="3" applyFont="1" applyAlignment="1">
      <alignment horizontal="center" vertical="center" wrapText="1"/>
    </xf>
    <xf numFmtId="0" fontId="55" fillId="0" borderId="9" xfId="3" applyFont="1" applyBorder="1" applyAlignment="1" applyProtection="1">
      <alignment horizontal="center"/>
      <protection locked="0"/>
    </xf>
    <xf numFmtId="0" fontId="55" fillId="0" borderId="74" xfId="3" applyFont="1" applyBorder="1" applyAlignment="1" applyProtection="1">
      <alignment horizontal="center"/>
      <protection locked="0"/>
    </xf>
    <xf numFmtId="0" fontId="60" fillId="0" borderId="150" xfId="3" applyFont="1" applyBorder="1" applyAlignment="1" applyProtection="1">
      <alignment horizontal="center"/>
    </xf>
    <xf numFmtId="0" fontId="60" fillId="0" borderId="76" xfId="3" applyFont="1" applyBorder="1" applyAlignment="1" applyProtection="1">
      <alignment horizontal="center"/>
    </xf>
    <xf numFmtId="0" fontId="60" fillId="0" borderId="151" xfId="3" applyFont="1" applyBorder="1" applyAlignment="1" applyProtection="1">
      <alignment horizontal="center"/>
    </xf>
    <xf numFmtId="38" fontId="60" fillId="0" borderId="150" xfId="3" applyNumberFormat="1" applyFont="1" applyBorder="1" applyAlignment="1" applyProtection="1">
      <alignment horizontal="right" vertical="center"/>
      <protection locked="0"/>
    </xf>
    <xf numFmtId="38" fontId="60" fillId="0" borderId="76" xfId="3" applyNumberFormat="1" applyFont="1" applyBorder="1" applyAlignment="1" applyProtection="1">
      <alignment horizontal="right" vertical="center"/>
      <protection locked="0"/>
    </xf>
    <xf numFmtId="38" fontId="60" fillId="0" borderId="151" xfId="3" applyNumberFormat="1" applyFont="1" applyBorder="1" applyAlignment="1" applyProtection="1">
      <alignment horizontal="right" vertical="center"/>
      <protection locked="0"/>
    </xf>
    <xf numFmtId="0" fontId="55" fillId="0" borderId="0" xfId="3" applyFont="1" applyBorder="1" applyAlignment="1" applyProtection="1">
      <alignment horizontal="left" vertical="top" wrapText="1"/>
      <protection locked="0"/>
    </xf>
    <xf numFmtId="0" fontId="55" fillId="0" borderId="0" xfId="3" applyFont="1" applyAlignment="1" applyProtection="1">
      <alignment horizontal="left" vertical="top" wrapText="1"/>
      <protection locked="0"/>
    </xf>
    <xf numFmtId="0" fontId="52" fillId="0" borderId="0" xfId="3" applyFont="1" applyAlignment="1" applyProtection="1">
      <alignment horizontal="center" vertical="center" wrapText="1"/>
    </xf>
    <xf numFmtId="0" fontId="52" fillId="0" borderId="0" xfId="3" applyFont="1" applyBorder="1" applyAlignment="1" applyProtection="1">
      <alignment horizontal="center" vertical="center" wrapText="1"/>
    </xf>
    <xf numFmtId="0" fontId="55" fillId="0" borderId="0" xfId="3" applyFont="1" applyBorder="1" applyAlignment="1">
      <alignment horizontal="center" vertical="center" wrapText="1"/>
    </xf>
    <xf numFmtId="8" fontId="55" fillId="0" borderId="0" xfId="3" applyNumberFormat="1" applyFont="1" applyAlignment="1" applyProtection="1">
      <alignment horizontal="left" vertical="top" wrapText="1"/>
      <protection locked="0"/>
    </xf>
    <xf numFmtId="0" fontId="63" fillId="0" borderId="74" xfId="3" applyNumberFormat="1" applyFont="1" applyBorder="1" applyAlignment="1" applyProtection="1">
      <alignment horizontal="center"/>
      <protection locked="0"/>
    </xf>
    <xf numFmtId="0" fontId="63" fillId="0" borderId="74" xfId="3" applyFont="1" applyBorder="1" applyAlignment="1" applyProtection="1">
      <alignment horizontal="center"/>
      <protection locked="0"/>
    </xf>
    <xf numFmtId="0" fontId="63" fillId="0" borderId="74" xfId="3" applyFont="1" applyBorder="1" applyAlignment="1" applyProtection="1">
      <alignment horizontal="center" vertical="center"/>
      <protection locked="0"/>
    </xf>
    <xf numFmtId="0" fontId="52" fillId="0" borderId="0" xfId="3" applyNumberFormat="1" applyFont="1" applyBorder="1" applyAlignment="1" applyProtection="1">
      <alignment horizontal="center" vertical="center" wrapText="1"/>
    </xf>
    <xf numFmtId="165" fontId="52" fillId="0" borderId="0" xfId="3" applyNumberFormat="1" applyFont="1" applyBorder="1" applyAlignment="1" applyProtection="1">
      <alignment horizontal="center" vertical="center" wrapText="1"/>
    </xf>
    <xf numFmtId="0" fontId="52" fillId="0" borderId="145" xfId="3" applyFont="1" applyBorder="1" applyAlignment="1" applyProtection="1">
      <alignment horizontal="center" vertical="center" wrapText="1"/>
    </xf>
    <xf numFmtId="0" fontId="52" fillId="0" borderId="0" xfId="3" applyNumberFormat="1" applyFont="1" applyAlignment="1" applyProtection="1">
      <alignment horizontal="center" vertical="center" wrapText="1"/>
    </xf>
  </cellXfs>
  <cellStyles count="19">
    <cellStyle name="Comma" xfId="1" builtinId="3"/>
    <cellStyle name="Hyperlink" xfId="2" builtinId="8"/>
    <cellStyle name="Hyperlink 2" xfId="15"/>
    <cellStyle name="Normal" xfId="0" builtinId="0"/>
    <cellStyle name="Normal 2" xfId="3"/>
    <cellStyle name="Normal 3" xfId="4"/>
    <cellStyle name="Normal 3 2" xfId="14"/>
    <cellStyle name="Normal 3 2 2" xfId="18"/>
    <cellStyle name="Normal 4" xfId="16"/>
    <cellStyle name="Normal 5" xfId="17"/>
    <cellStyle name="Normal_AFRPG3" xfId="5"/>
    <cellStyle name="Normal_AFRPG41" xfId="6"/>
    <cellStyle name="Normal_AFRPG47" xfId="7"/>
    <cellStyle name="Normal_AFRPG56" xfId="8"/>
    <cellStyle name="Normal_AFRPG59" xfId="9"/>
    <cellStyle name="Normal_AFRPG63" xfId="10"/>
    <cellStyle name="Normal_AFRPG64" xfId="11"/>
    <cellStyle name="Normal_COVER" xfId="12"/>
    <cellStyle name="Normal_THRESHOLD CALCULATOR v3" xfId="1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xdr:row>
          <xdr:rowOff>0</xdr:rowOff>
        </xdr:from>
        <xdr:to>
          <xdr:col>1</xdr:col>
          <xdr:colOff>914400</xdr:colOff>
          <xdr:row>5</xdr:row>
          <xdr:rowOff>38100</xdr:rowOff>
        </xdr:to>
        <xdr:sp macro="" textlink="">
          <xdr:nvSpPr>
            <xdr:cNvPr id="35841" name="Object 1" hidden="1">
              <a:extLst>
                <a:ext uri="{63B3BB69-23CF-44E3-9099-C40C66FF867C}">
                  <a14:compatExt spid="_x0000_s3584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2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48"/>
  <sheetViews>
    <sheetView showGridLines="0" zoomScale="110" zoomScaleNormal="110" workbookViewId="0"/>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1686</v>
      </c>
      <c r="B1" s="45"/>
      <c r="C1" s="45"/>
      <c r="D1" s="46"/>
      <c r="I1" s="2035" t="s">
        <v>425</v>
      </c>
      <c r="J1" s="2036"/>
      <c r="K1" s="2036"/>
      <c r="L1" s="2036"/>
      <c r="M1" s="2036"/>
      <c r="N1" s="2036"/>
      <c r="O1" s="2036"/>
      <c r="P1" s="2036"/>
      <c r="Q1" s="2036"/>
      <c r="R1" s="2036"/>
      <c r="S1" s="2036"/>
    </row>
    <row r="2" spans="1:28" ht="12" customHeight="1" x14ac:dyDescent="0.2">
      <c r="A2" s="47" t="s">
        <v>1684</v>
      </c>
      <c r="D2" s="48"/>
      <c r="I2" s="2037" t="s">
        <v>1036</v>
      </c>
      <c r="J2" s="2036"/>
      <c r="K2" s="2036"/>
      <c r="L2" s="2036"/>
      <c r="M2" s="2036"/>
      <c r="N2" s="2036"/>
      <c r="O2" s="2036"/>
      <c r="P2" s="2036"/>
      <c r="Q2" s="2036"/>
      <c r="R2" s="2036"/>
      <c r="S2" s="2036"/>
    </row>
    <row r="3" spans="1:28" ht="12" customHeight="1" x14ac:dyDescent="0.2">
      <c r="A3" s="155" t="s">
        <v>1685</v>
      </c>
      <c r="B3" s="156"/>
      <c r="C3" s="156"/>
      <c r="D3" s="157"/>
      <c r="I3" s="2037" t="s">
        <v>54</v>
      </c>
      <c r="J3" s="2036"/>
      <c r="K3" s="2036"/>
      <c r="L3" s="2036"/>
      <c r="M3" s="2036"/>
      <c r="N3" s="2036"/>
      <c r="O3" s="2036"/>
      <c r="P3" s="2036"/>
      <c r="Q3" s="2036"/>
      <c r="R3" s="2036"/>
      <c r="S3" s="2036"/>
    </row>
    <row r="4" spans="1:28" ht="12" customHeight="1" x14ac:dyDescent="0.2">
      <c r="A4" s="37"/>
      <c r="I4" s="2037" t="s">
        <v>545</v>
      </c>
      <c r="J4" s="2036"/>
      <c r="K4" s="2036"/>
      <c r="L4" s="2036"/>
      <c r="M4" s="2036"/>
      <c r="N4" s="2036"/>
      <c r="O4" s="2036"/>
      <c r="P4" s="2036"/>
      <c r="Q4" s="2036"/>
      <c r="R4" s="2036"/>
      <c r="S4" s="2036"/>
    </row>
    <row r="5" spans="1:28" ht="14.1" customHeight="1" x14ac:dyDescent="0.2">
      <c r="B5" s="104" t="s">
        <v>2075</v>
      </c>
      <c r="C5" s="26" t="s">
        <v>966</v>
      </c>
      <c r="D5" s="84"/>
      <c r="E5" s="84"/>
      <c r="H5" s="38"/>
      <c r="I5" s="2044" t="s">
        <v>701</v>
      </c>
      <c r="J5" s="1988"/>
      <c r="K5" s="1988"/>
      <c r="L5" s="1988"/>
      <c r="M5" s="1988"/>
      <c r="N5" s="1988"/>
      <c r="O5" s="1988"/>
      <c r="P5" s="1988"/>
      <c r="Q5" s="1988"/>
      <c r="R5" s="1988"/>
      <c r="S5" s="1988"/>
    </row>
    <row r="6" spans="1:28" ht="14.1" customHeight="1" x14ac:dyDescent="0.2">
      <c r="B6" s="104"/>
      <c r="C6" s="26" t="s">
        <v>967</v>
      </c>
      <c r="D6" s="84"/>
      <c r="E6" s="84"/>
      <c r="I6" s="2043" t="s">
        <v>938</v>
      </c>
      <c r="J6" s="1988"/>
      <c r="K6" s="1988"/>
      <c r="L6" s="1988"/>
      <c r="M6" s="1988"/>
      <c r="N6" s="1988"/>
      <c r="O6" s="1988"/>
      <c r="P6" s="1988"/>
      <c r="Q6" s="1988"/>
      <c r="R6" s="1988"/>
      <c r="S6" s="1988"/>
    </row>
    <row r="7" spans="1:28" ht="12.2" customHeight="1" x14ac:dyDescent="0.2">
      <c r="I7" s="2038">
        <v>43281</v>
      </c>
      <c r="J7" s="2039"/>
      <c r="K7" s="2039"/>
      <c r="L7" s="2039"/>
      <c r="M7" s="2039"/>
      <c r="N7" s="2039"/>
      <c r="O7" s="2039"/>
      <c r="P7" s="2039"/>
      <c r="Q7" s="2039"/>
      <c r="R7" s="2039"/>
      <c r="S7" s="2039"/>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2040" t="s">
        <v>695</v>
      </c>
      <c r="J9" s="2041"/>
      <c r="K9" s="2041"/>
      <c r="L9" s="2041"/>
      <c r="M9" s="2041"/>
      <c r="N9" s="2041"/>
      <c r="O9" s="2041"/>
      <c r="P9" s="2041"/>
      <c r="Q9" s="2041"/>
      <c r="R9" s="2041"/>
      <c r="S9" s="2042"/>
      <c r="T9" s="1984" t="s">
        <v>554</v>
      </c>
      <c r="U9" s="1985"/>
      <c r="V9" s="1985"/>
      <c r="W9" s="1985"/>
      <c r="X9" s="1985"/>
      <c r="Y9" s="1985"/>
      <c r="Z9" s="1985"/>
      <c r="AA9" s="1986"/>
    </row>
    <row r="10" spans="1:28" ht="13.5" customHeight="1" x14ac:dyDescent="0.2">
      <c r="A10" s="1993" t="s">
        <v>696</v>
      </c>
      <c r="B10" s="1994"/>
      <c r="C10" s="1994"/>
      <c r="D10" s="1994"/>
      <c r="E10" s="1994"/>
      <c r="F10" s="1994"/>
      <c r="G10" s="1994"/>
      <c r="H10" s="1995"/>
      <c r="I10" s="29"/>
      <c r="J10" s="30"/>
      <c r="K10" s="28"/>
      <c r="R10" s="30"/>
      <c r="S10" s="30"/>
      <c r="T10" s="1987"/>
      <c r="U10" s="1988"/>
      <c r="V10" s="1988"/>
      <c r="W10" s="1988"/>
      <c r="X10" s="1988"/>
      <c r="Y10" s="1988"/>
      <c r="Z10" s="1988"/>
      <c r="AA10" s="1989"/>
    </row>
    <row r="11" spans="1:28" ht="14.25" customHeight="1" x14ac:dyDescent="0.2">
      <c r="A11" s="1996" t="s">
        <v>1012</v>
      </c>
      <c r="B11" s="1997"/>
      <c r="C11" s="1997"/>
      <c r="D11" s="1997"/>
      <c r="E11" s="1997"/>
      <c r="F11" s="1997"/>
      <c r="G11" s="1997"/>
      <c r="H11" s="1998"/>
      <c r="I11" s="27"/>
      <c r="J11" s="74"/>
      <c r="K11" s="27"/>
      <c r="O11" s="148" t="s">
        <v>2075</v>
      </c>
      <c r="P11" s="100" t="s">
        <v>210</v>
      </c>
      <c r="Q11" s="30"/>
      <c r="R11" s="28"/>
      <c r="S11" s="27"/>
      <c r="T11" s="1990"/>
      <c r="U11" s="1991"/>
      <c r="V11" s="1991"/>
      <c r="W11" s="1991"/>
      <c r="X11" s="1991"/>
      <c r="Y11" s="1991"/>
      <c r="Z11" s="1991"/>
      <c r="AA11" s="1992"/>
    </row>
    <row r="12" spans="1:28" ht="13.5" customHeight="1" x14ac:dyDescent="0.2">
      <c r="A12" s="85" t="s">
        <v>982</v>
      </c>
      <c r="B12" s="76"/>
      <c r="C12" s="76"/>
      <c r="D12" s="76"/>
      <c r="E12" s="76"/>
      <c r="F12" s="76"/>
      <c r="G12" s="76"/>
      <c r="H12" s="53"/>
      <c r="I12" s="29"/>
      <c r="J12" s="30"/>
      <c r="K12" s="28"/>
      <c r="O12" s="149"/>
      <c r="P12" s="100" t="s">
        <v>211</v>
      </c>
      <c r="Q12" s="74"/>
      <c r="R12" s="30"/>
      <c r="S12" s="30"/>
      <c r="T12" s="85" t="s">
        <v>283</v>
      </c>
      <c r="U12" s="51"/>
      <c r="V12" s="51"/>
      <c r="W12" s="51"/>
      <c r="X12" s="51"/>
      <c r="Y12" s="45"/>
      <c r="Z12" s="45"/>
      <c r="AA12" s="46"/>
    </row>
    <row r="13" spans="1:28" ht="13.5" customHeight="1" x14ac:dyDescent="0.2">
      <c r="A13" s="2004" t="s">
        <v>2076</v>
      </c>
      <c r="B13" s="2005"/>
      <c r="C13" s="2005"/>
      <c r="D13" s="2005"/>
      <c r="E13" s="2005"/>
      <c r="F13" s="2005"/>
      <c r="G13" s="2005"/>
      <c r="H13" s="2006"/>
      <c r="I13" s="31"/>
      <c r="J13" s="30"/>
      <c r="K13" s="28"/>
      <c r="L13" s="30"/>
      <c r="M13" s="30"/>
      <c r="N13" s="30"/>
      <c r="O13" s="30"/>
      <c r="P13" s="30"/>
      <c r="Q13" s="30"/>
      <c r="R13" s="30"/>
      <c r="S13" s="30"/>
      <c r="T13" s="2009" t="s">
        <v>2085</v>
      </c>
      <c r="U13" s="2010"/>
      <c r="V13" s="2010"/>
      <c r="W13" s="2010"/>
      <c r="X13" s="2010"/>
      <c r="Y13" s="2011"/>
      <c r="Z13" s="2011"/>
      <c r="AA13" s="2012"/>
    </row>
    <row r="14" spans="1:28" ht="14.1" customHeight="1" x14ac:dyDescent="0.2">
      <c r="A14" s="85" t="s">
        <v>737</v>
      </c>
      <c r="B14" s="76"/>
      <c r="C14" s="76"/>
      <c r="D14" s="76"/>
      <c r="E14" s="76"/>
      <c r="F14" s="76"/>
      <c r="G14" s="76"/>
      <c r="H14" s="53"/>
      <c r="I14" s="116"/>
      <c r="S14" s="48"/>
      <c r="T14" s="85" t="s">
        <v>1396</v>
      </c>
      <c r="U14" s="51"/>
      <c r="V14" s="51"/>
      <c r="W14" s="51"/>
      <c r="X14" s="51"/>
      <c r="Y14" s="45"/>
      <c r="Z14" s="45"/>
      <c r="AA14" s="46"/>
    </row>
    <row r="15" spans="1:28" ht="13.5" customHeight="1" x14ac:dyDescent="0.2">
      <c r="A15" s="2002" t="s">
        <v>2077</v>
      </c>
      <c r="B15" s="2007"/>
      <c r="C15" s="2007"/>
      <c r="D15" s="2007"/>
      <c r="E15" s="2007"/>
      <c r="F15" s="2007"/>
      <c r="G15" s="2007"/>
      <c r="H15" s="2008"/>
      <c r="T15" s="1970" t="s">
        <v>2086</v>
      </c>
      <c r="U15" s="1971"/>
      <c r="V15" s="1971"/>
      <c r="W15" s="1971"/>
      <c r="X15" s="1971"/>
      <c r="Y15" s="2013"/>
      <c r="Z15" s="2013"/>
      <c r="AA15" s="2014"/>
    </row>
    <row r="16" spans="1:28" ht="13.5" customHeight="1" x14ac:dyDescent="0.2">
      <c r="A16" s="85" t="s">
        <v>736</v>
      </c>
      <c r="B16" s="76"/>
      <c r="C16" s="76"/>
      <c r="D16" s="72"/>
      <c r="E16" s="72"/>
      <c r="F16" s="72"/>
      <c r="G16" s="72"/>
      <c r="H16" s="56"/>
      <c r="I16" s="68"/>
      <c r="J16" s="45"/>
      <c r="K16" s="45"/>
      <c r="L16" s="45"/>
      <c r="M16" s="45"/>
      <c r="N16" s="45"/>
      <c r="O16" s="45"/>
      <c r="P16" s="45"/>
      <c r="Q16" s="45"/>
      <c r="R16" s="45"/>
      <c r="S16" s="46"/>
      <c r="T16" s="85" t="s">
        <v>551</v>
      </c>
      <c r="U16" s="51"/>
      <c r="V16" s="51"/>
      <c r="W16" s="51"/>
      <c r="X16" s="51"/>
      <c r="Y16" s="45"/>
      <c r="Z16" s="73"/>
      <c r="AA16" s="46"/>
    </row>
    <row r="17" spans="1:27" ht="13.5" customHeight="1" x14ac:dyDescent="0.2">
      <c r="A17" s="2032" t="s">
        <v>2078</v>
      </c>
      <c r="B17" s="2033"/>
      <c r="C17" s="2033"/>
      <c r="D17" s="2033"/>
      <c r="E17" s="2033"/>
      <c r="F17" s="2033"/>
      <c r="G17" s="2033"/>
      <c r="H17" s="2034"/>
      <c r="T17" s="2019" t="s">
        <v>2087</v>
      </c>
      <c r="U17" s="2020"/>
      <c r="V17" s="2020"/>
      <c r="W17" s="2020"/>
      <c r="X17" s="2020"/>
      <c r="Y17" s="2020"/>
      <c r="Z17" s="2020"/>
      <c r="AA17" s="2021"/>
    </row>
    <row r="18" spans="1:27" ht="13.5" customHeight="1" x14ac:dyDescent="0.2">
      <c r="A18" s="85" t="s">
        <v>551</v>
      </c>
      <c r="B18" s="76"/>
      <c r="C18" s="72"/>
      <c r="D18" s="76"/>
      <c r="E18" s="76"/>
      <c r="F18" s="76"/>
      <c r="G18" s="76"/>
      <c r="H18" s="56"/>
      <c r="I18" s="2029" t="s">
        <v>697</v>
      </c>
      <c r="J18" s="2030"/>
      <c r="K18" s="2030"/>
      <c r="L18" s="2030"/>
      <c r="M18" s="2030"/>
      <c r="N18" s="2030"/>
      <c r="O18" s="2030"/>
      <c r="P18" s="2030"/>
      <c r="Q18" s="2030"/>
      <c r="R18" s="2030"/>
      <c r="S18" s="2031"/>
      <c r="T18" s="85" t="s">
        <v>735</v>
      </c>
      <c r="U18" s="51"/>
      <c r="V18" s="72"/>
      <c r="W18" s="50"/>
      <c r="X18" s="85" t="s">
        <v>284</v>
      </c>
      <c r="Y18" s="81"/>
      <c r="Z18" s="159" t="s">
        <v>698</v>
      </c>
      <c r="AA18" s="46"/>
    </row>
    <row r="19" spans="1:27" ht="13.5" customHeight="1" x14ac:dyDescent="0.2">
      <c r="A19" s="2002" t="s">
        <v>2079</v>
      </c>
      <c r="B19" s="2003"/>
      <c r="C19" s="2003"/>
      <c r="D19" s="2003"/>
      <c r="E19" s="2003"/>
      <c r="F19" s="2003"/>
      <c r="G19" s="2003"/>
      <c r="H19" s="2001"/>
      <c r="I19" s="30"/>
      <c r="J19" s="99"/>
      <c r="K19" s="40"/>
      <c r="L19" s="38"/>
      <c r="M19" s="112" t="s">
        <v>333</v>
      </c>
      <c r="P19" s="27"/>
      <c r="Q19" s="27"/>
      <c r="R19" s="27"/>
      <c r="S19" s="31"/>
      <c r="T19" s="2002" t="s">
        <v>2088</v>
      </c>
      <c r="U19" s="2000"/>
      <c r="V19" s="2000"/>
      <c r="W19" s="2001"/>
      <c r="X19" s="2017" t="s">
        <v>2089</v>
      </c>
      <c r="Y19" s="2018"/>
      <c r="Z19" s="2015">
        <v>60942</v>
      </c>
      <c r="AA19" s="2016"/>
    </row>
    <row r="20" spans="1:27" ht="13.5" customHeight="1" x14ac:dyDescent="0.2">
      <c r="A20" s="86" t="s">
        <v>735</v>
      </c>
      <c r="B20" s="58"/>
      <c r="C20" s="58"/>
      <c r="D20" s="58"/>
      <c r="E20" s="58"/>
      <c r="F20" s="58"/>
      <c r="G20" s="58"/>
      <c r="H20" s="62"/>
      <c r="M20" s="111"/>
      <c r="N20" s="28"/>
      <c r="P20" s="28"/>
      <c r="Q20" s="28"/>
      <c r="R20" s="28"/>
      <c r="T20" s="85" t="s">
        <v>285</v>
      </c>
      <c r="U20" s="51"/>
      <c r="V20" s="72"/>
      <c r="W20" s="51"/>
      <c r="X20" s="160" t="s">
        <v>984</v>
      </c>
      <c r="Z20" s="45"/>
      <c r="AA20" s="46"/>
    </row>
    <row r="21" spans="1:27" ht="13.5" customHeight="1" x14ac:dyDescent="0.2">
      <c r="A21" s="1999" t="s">
        <v>2080</v>
      </c>
      <c r="B21" s="2000"/>
      <c r="C21" s="2000"/>
      <c r="D21" s="2000"/>
      <c r="E21" s="2000"/>
      <c r="F21" s="2000"/>
      <c r="G21" s="2000"/>
      <c r="H21" s="2001"/>
      <c r="I21" s="2025" t="s">
        <v>699</v>
      </c>
      <c r="J21" s="1988"/>
      <c r="K21" s="1988"/>
      <c r="L21" s="1988"/>
      <c r="M21" s="1988"/>
      <c r="N21" s="1988"/>
      <c r="O21" s="1988"/>
      <c r="P21" s="1988"/>
      <c r="Q21" s="1988"/>
      <c r="R21" s="1988"/>
      <c r="S21" s="1989"/>
      <c r="T21" s="1967" t="s">
        <v>2090</v>
      </c>
      <c r="U21" s="1968"/>
      <c r="V21" s="1968"/>
      <c r="W21" s="1968"/>
      <c r="X21" s="1981" t="s">
        <v>2091</v>
      </c>
      <c r="Y21" s="1982"/>
      <c r="Z21" s="1982"/>
      <c r="AA21" s="1983"/>
    </row>
    <row r="22" spans="1:27" ht="13.5" customHeight="1" x14ac:dyDescent="0.2">
      <c r="A22" s="87" t="s">
        <v>552</v>
      </c>
      <c r="B22" s="59"/>
      <c r="C22" s="59"/>
      <c r="D22" s="59"/>
      <c r="E22" s="59"/>
      <c r="F22" s="59"/>
      <c r="G22" s="59"/>
      <c r="H22" s="60"/>
      <c r="I22" s="2026" t="s">
        <v>1504</v>
      </c>
      <c r="J22" s="2027"/>
      <c r="K22" s="2027"/>
      <c r="L22" s="2027"/>
      <c r="M22" s="2027"/>
      <c r="N22" s="2027"/>
      <c r="O22" s="2027"/>
      <c r="P22" s="2027"/>
      <c r="Q22" s="2027"/>
      <c r="R22" s="2027"/>
      <c r="S22" s="2028"/>
      <c r="T22" s="85" t="s">
        <v>1596</v>
      </c>
      <c r="U22" s="51"/>
      <c r="V22" s="72"/>
      <c r="W22" s="51"/>
      <c r="X22" s="160" t="s">
        <v>1385</v>
      </c>
      <c r="Z22" s="45"/>
      <c r="AA22" s="46"/>
    </row>
    <row r="23" spans="1:27" ht="13.5" customHeight="1" x14ac:dyDescent="0.2">
      <c r="A23" s="2022"/>
      <c r="B23" s="2023"/>
      <c r="C23" s="2023"/>
      <c r="D23" s="2023"/>
      <c r="E23" s="2023"/>
      <c r="F23" s="2023"/>
      <c r="G23" s="2023"/>
      <c r="H23" s="2024"/>
      <c r="T23" s="1962" t="s">
        <v>2092</v>
      </c>
      <c r="U23" s="1963"/>
      <c r="V23" s="1963"/>
      <c r="W23" s="1963"/>
      <c r="X23" s="1978">
        <v>44469</v>
      </c>
      <c r="Y23" s="1979"/>
      <c r="Z23" s="1979"/>
      <c r="AA23" s="1980"/>
    </row>
    <row r="24" spans="1:27" ht="14.1" customHeight="1" x14ac:dyDescent="0.2">
      <c r="A24" s="88" t="s">
        <v>698</v>
      </c>
      <c r="B24" s="49"/>
      <c r="C24" s="49"/>
      <c r="D24" s="49"/>
      <c r="E24" s="49"/>
      <c r="F24" s="49"/>
      <c r="G24" s="49"/>
      <c r="H24" s="61"/>
      <c r="J24" s="2065">
        <f>IF(B5="x",IF(AUDITCHECK!D29="AFR form Incomplete.","",IF(AUDITCHECK!D29="Deficit reduction plan is required.","School District must complete a deficit reduction plan in the 2018-2019 Budget",)),"")</f>
        <v>0</v>
      </c>
      <c r="K24" s="2065"/>
      <c r="L24" s="2065"/>
      <c r="M24" s="2065"/>
      <c r="N24" s="2065"/>
      <c r="O24" s="2065"/>
      <c r="P24" s="2065"/>
      <c r="Q24" s="2065"/>
      <c r="R24" s="2065"/>
      <c r="S24" s="2066"/>
      <c r="T24" s="105" t="s">
        <v>552</v>
      </c>
      <c r="U24" s="106"/>
      <c r="V24" s="106"/>
      <c r="W24" s="106"/>
      <c r="X24" s="107"/>
      <c r="Y24" s="107"/>
      <c r="Z24" s="107"/>
      <c r="AA24" s="108"/>
    </row>
    <row r="25" spans="1:27" ht="14.1" customHeight="1" x14ac:dyDescent="0.2">
      <c r="A25" s="1999">
        <v>61866</v>
      </c>
      <c r="B25" s="2000"/>
      <c r="C25" s="2000"/>
      <c r="D25" s="2000"/>
      <c r="E25" s="2000"/>
      <c r="F25" s="2000"/>
      <c r="G25" s="2000"/>
      <c r="H25" s="2001"/>
      <c r="I25" s="113"/>
      <c r="J25" s="2067"/>
      <c r="K25" s="2067"/>
      <c r="L25" s="2067"/>
      <c r="M25" s="2067"/>
      <c r="N25" s="2067"/>
      <c r="O25" s="2067"/>
      <c r="P25" s="2067"/>
      <c r="Q25" s="2067"/>
      <c r="R25" s="2067"/>
      <c r="S25" s="2068"/>
      <c r="T25" s="1959" t="s">
        <v>2093</v>
      </c>
      <c r="U25" s="1960"/>
      <c r="V25" s="1960"/>
      <c r="W25" s="1960"/>
      <c r="X25" s="1960"/>
      <c r="Y25" s="1960"/>
      <c r="Z25" s="1960"/>
      <c r="AA25" s="1961"/>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1224</v>
      </c>
      <c r="D27" s="119"/>
      <c r="E27" s="119"/>
      <c r="I27" s="2058" t="s">
        <v>1591</v>
      </c>
      <c r="J27" s="2030"/>
      <c r="K27" s="2030"/>
      <c r="L27" s="2030"/>
      <c r="M27" s="2030"/>
      <c r="N27" s="2030"/>
      <c r="O27" s="2030"/>
      <c r="P27" s="2030"/>
      <c r="Q27" s="2030"/>
      <c r="R27" s="2030"/>
      <c r="S27" s="2031"/>
      <c r="T27" s="130"/>
      <c r="U27" s="131"/>
      <c r="V27" s="131"/>
      <c r="W27" s="131"/>
      <c r="X27" s="131"/>
      <c r="Y27" s="131"/>
      <c r="Z27" s="131"/>
      <c r="AA27" s="132"/>
    </row>
    <row r="28" spans="1:27" ht="14.1" customHeight="1" x14ac:dyDescent="0.2">
      <c r="A28" s="152"/>
      <c r="B28" s="114"/>
      <c r="C28" s="118" t="s">
        <v>1225</v>
      </c>
      <c r="D28" s="114"/>
      <c r="E28" s="114"/>
      <c r="F28" s="114"/>
      <c r="G28" s="114"/>
      <c r="I28" s="116"/>
      <c r="S28" s="48"/>
      <c r="T28" s="130"/>
      <c r="U28" s="131"/>
      <c r="V28" s="131"/>
      <c r="W28" s="133" t="s">
        <v>1108</v>
      </c>
      <c r="X28" s="131"/>
      <c r="Y28" s="131"/>
      <c r="Z28" s="131"/>
      <c r="AA28" s="132"/>
    </row>
    <row r="29" spans="1:27" ht="14.1" customHeight="1" x14ac:dyDescent="0.2">
      <c r="A29" s="152"/>
      <c r="B29" s="136"/>
      <c r="C29" s="124" t="s">
        <v>874</v>
      </c>
      <c r="D29" s="114"/>
      <c r="E29" s="136"/>
      <c r="F29" s="141" t="s">
        <v>1383</v>
      </c>
      <c r="G29" s="114"/>
      <c r="I29" s="54"/>
      <c r="J29" s="148" t="s">
        <v>2075</v>
      </c>
      <c r="K29" s="28" t="s">
        <v>597</v>
      </c>
      <c r="L29" s="102"/>
      <c r="M29" s="40" t="s">
        <v>101</v>
      </c>
      <c r="N29" s="32" t="s">
        <v>1604</v>
      </c>
      <c r="O29" s="32"/>
      <c r="P29" s="32"/>
      <c r="Q29" s="32"/>
      <c r="R29" s="32"/>
      <c r="S29" s="123"/>
      <c r="T29" s="6"/>
      <c r="U29" s="6"/>
      <c r="V29" s="6"/>
      <c r="W29" s="6"/>
      <c r="X29" s="6"/>
      <c r="Y29" s="6"/>
      <c r="Z29" s="6"/>
      <c r="AA29" s="132"/>
    </row>
    <row r="30" spans="1:27" ht="13.5" customHeight="1" x14ac:dyDescent="0.2">
      <c r="A30" s="153"/>
      <c r="B30" s="136" t="s">
        <v>2075</v>
      </c>
      <c r="C30" s="124" t="s">
        <v>1226</v>
      </c>
      <c r="D30" s="28"/>
      <c r="E30" s="28"/>
      <c r="F30" s="140"/>
      <c r="G30" s="114"/>
      <c r="H30" s="114"/>
      <c r="I30" s="54"/>
      <c r="J30" s="148" t="s">
        <v>2075</v>
      </c>
      <c r="K30" s="28" t="s">
        <v>597</v>
      </c>
      <c r="L30" s="102"/>
      <c r="M30" s="40" t="s">
        <v>101</v>
      </c>
      <c r="N30" s="32" t="s">
        <v>1592</v>
      </c>
      <c r="O30" s="32"/>
      <c r="P30" s="32"/>
      <c r="Q30" s="32"/>
      <c r="R30" s="32"/>
      <c r="S30" s="55"/>
      <c r="T30" s="6"/>
      <c r="U30" s="6"/>
      <c r="V30" s="6"/>
      <c r="W30" s="6"/>
      <c r="X30" s="6"/>
      <c r="Y30" s="6"/>
      <c r="Z30" s="6"/>
      <c r="AA30" s="48"/>
    </row>
    <row r="31" spans="1:27" ht="13.5" customHeight="1" x14ac:dyDescent="0.2">
      <c r="A31" s="153"/>
      <c r="B31" s="136"/>
      <c r="C31" s="124" t="s">
        <v>1227</v>
      </c>
      <c r="D31" s="28"/>
      <c r="E31" s="28"/>
      <c r="F31" s="28"/>
      <c r="G31" s="28"/>
      <c r="H31" s="28"/>
      <c r="I31" s="54"/>
      <c r="J31" s="148"/>
      <c r="K31" s="40" t="s">
        <v>940</v>
      </c>
      <c r="L31" s="148" t="s">
        <v>2075</v>
      </c>
      <c r="M31" s="40" t="s">
        <v>101</v>
      </c>
      <c r="N31" s="32" t="s">
        <v>1682</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48" t="s">
        <v>2075</v>
      </c>
      <c r="C34" s="32" t="s">
        <v>563</v>
      </c>
      <c r="D34" s="31"/>
      <c r="E34" s="31"/>
      <c r="F34" s="31"/>
      <c r="G34" s="31"/>
      <c r="H34" s="31"/>
      <c r="I34" s="54"/>
      <c r="J34" s="83"/>
      <c r="L34" s="101"/>
      <c r="M34" s="93" t="s">
        <v>731</v>
      </c>
      <c r="N34" s="30"/>
      <c r="O34" s="30"/>
      <c r="P34" s="30"/>
      <c r="Q34" s="30"/>
      <c r="R34" s="30"/>
      <c r="S34" s="55"/>
      <c r="T34" s="30"/>
      <c r="U34" s="102"/>
      <c r="V34" s="32" t="s">
        <v>436</v>
      </c>
      <c r="W34" s="30"/>
      <c r="X34" s="30"/>
      <c r="AA34" s="48"/>
    </row>
    <row r="35" spans="1:27" ht="13.5" customHeight="1" x14ac:dyDescent="0.2">
      <c r="A35" s="54"/>
      <c r="B35" s="30"/>
      <c r="C35" s="30"/>
      <c r="D35" s="34"/>
      <c r="E35" s="34"/>
      <c r="F35" s="34"/>
      <c r="G35" s="34"/>
      <c r="H35" s="34"/>
      <c r="I35" s="54"/>
      <c r="J35" s="33"/>
      <c r="L35" s="32" t="s">
        <v>732</v>
      </c>
      <c r="N35" s="33"/>
      <c r="O35" s="33"/>
      <c r="P35" s="2003"/>
      <c r="Q35" s="2000"/>
      <c r="R35" s="2000"/>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727</v>
      </c>
      <c r="B37" s="76"/>
      <c r="C37" s="76"/>
      <c r="D37" s="76"/>
      <c r="E37" s="76"/>
      <c r="F37" s="78"/>
      <c r="G37" s="76"/>
      <c r="H37" s="56"/>
      <c r="I37" s="85" t="s">
        <v>499</v>
      </c>
      <c r="J37" s="126"/>
      <c r="K37" s="126"/>
      <c r="L37" s="126"/>
      <c r="M37" s="126"/>
      <c r="N37" s="126"/>
      <c r="O37" s="126"/>
      <c r="P37" s="75"/>
      <c r="Q37" s="79"/>
      <c r="R37" s="67"/>
      <c r="S37" s="56"/>
      <c r="T37" s="91" t="s">
        <v>435</v>
      </c>
      <c r="U37" s="92"/>
      <c r="V37" s="92"/>
      <c r="W37" s="92"/>
      <c r="X37" s="78"/>
      <c r="Y37" s="77"/>
      <c r="Z37" s="45"/>
      <c r="AA37" s="46"/>
    </row>
    <row r="38" spans="1:27" ht="13.5" customHeight="1" x14ac:dyDescent="0.2">
      <c r="A38" s="2032" t="s">
        <v>2081</v>
      </c>
      <c r="B38" s="2033"/>
      <c r="C38" s="2033"/>
      <c r="D38" s="2033"/>
      <c r="E38" s="2033"/>
      <c r="F38" s="2000"/>
      <c r="G38" s="2000"/>
      <c r="H38" s="2001"/>
      <c r="I38" s="2052"/>
      <c r="J38" s="1971"/>
      <c r="K38" s="1971"/>
      <c r="L38" s="1971"/>
      <c r="M38" s="1971"/>
      <c r="N38" s="1971"/>
      <c r="O38" s="1971"/>
      <c r="P38" s="1972"/>
      <c r="Q38" s="1972"/>
      <c r="R38" s="1972"/>
      <c r="S38" s="1973"/>
      <c r="T38" s="1970"/>
      <c r="U38" s="1971"/>
      <c r="V38" s="1971"/>
      <c r="W38" s="1971"/>
      <c r="X38" s="1972"/>
      <c r="Y38" s="1972"/>
      <c r="Z38" s="1972"/>
      <c r="AA38" s="1973"/>
    </row>
    <row r="39" spans="1:27" ht="12" customHeight="1" x14ac:dyDescent="0.2">
      <c r="A39" s="2056" t="s">
        <v>552</v>
      </c>
      <c r="B39" s="2057"/>
      <c r="C39" s="72"/>
      <c r="D39" s="69"/>
      <c r="E39" s="69"/>
      <c r="F39" s="79"/>
      <c r="G39" s="69"/>
      <c r="H39" s="56"/>
      <c r="I39" s="2056" t="s">
        <v>552</v>
      </c>
      <c r="J39" s="2057"/>
      <c r="K39" s="2057"/>
      <c r="L39" s="2057"/>
      <c r="M39" s="2057"/>
      <c r="N39" s="67"/>
      <c r="O39" s="72"/>
      <c r="P39" s="72"/>
      <c r="Q39" s="78"/>
      <c r="R39" s="72"/>
      <c r="S39" s="56"/>
      <c r="T39" s="72" t="s">
        <v>552</v>
      </c>
      <c r="U39" s="51"/>
      <c r="V39" s="72"/>
      <c r="W39" s="50"/>
      <c r="X39" s="78"/>
      <c r="Y39" s="45"/>
      <c r="Z39" s="45"/>
      <c r="AA39" s="46"/>
    </row>
    <row r="40" spans="1:27" ht="13.5" customHeight="1" x14ac:dyDescent="0.2">
      <c r="A40" s="2059" t="s">
        <v>2082</v>
      </c>
      <c r="B40" s="2060"/>
      <c r="C40" s="2061"/>
      <c r="D40" s="2061"/>
      <c r="E40" s="2061"/>
      <c r="F40" s="2062"/>
      <c r="G40" s="2062"/>
      <c r="H40" s="2063"/>
      <c r="I40" s="1974"/>
      <c r="J40" s="1976"/>
      <c r="K40" s="1976"/>
      <c r="L40" s="1976"/>
      <c r="M40" s="1976"/>
      <c r="N40" s="1976"/>
      <c r="O40" s="1976"/>
      <c r="P40" s="1976"/>
      <c r="Q40" s="1976"/>
      <c r="R40" s="1976"/>
      <c r="S40" s="1977"/>
      <c r="T40" s="1974"/>
      <c r="U40" s="1975"/>
      <c r="V40" s="1976"/>
      <c r="W40" s="1976"/>
      <c r="X40" s="1976"/>
      <c r="Y40" s="1976"/>
      <c r="Z40" s="1976"/>
      <c r="AA40" s="1977"/>
    </row>
    <row r="41" spans="1:27" ht="11.45" customHeight="1" x14ac:dyDescent="0.2">
      <c r="A41" s="89" t="s">
        <v>983</v>
      </c>
      <c r="B41" s="76"/>
      <c r="C41" s="76"/>
      <c r="D41" s="85" t="s">
        <v>984</v>
      </c>
      <c r="E41" s="72"/>
      <c r="F41" s="78"/>
      <c r="G41" s="76"/>
      <c r="H41" s="71"/>
      <c r="I41" s="90" t="s">
        <v>983</v>
      </c>
      <c r="J41" s="32"/>
      <c r="K41" s="31"/>
      <c r="L41" s="31"/>
      <c r="M41" s="31"/>
      <c r="N41" s="31"/>
      <c r="O41" s="31"/>
      <c r="P41" s="85" t="s">
        <v>984</v>
      </c>
      <c r="Q41" s="32"/>
      <c r="R41" s="31"/>
      <c r="S41" s="70"/>
      <c r="T41" s="72" t="s">
        <v>983</v>
      </c>
      <c r="U41" s="76"/>
      <c r="V41" s="76"/>
      <c r="W41" s="76"/>
      <c r="X41" s="85" t="s">
        <v>984</v>
      </c>
      <c r="Y41" s="80"/>
      <c r="Z41" s="81"/>
      <c r="AA41" s="82"/>
    </row>
    <row r="42" spans="1:27" ht="13.5" customHeight="1" x14ac:dyDescent="0.2">
      <c r="A42" s="2049" t="s">
        <v>2083</v>
      </c>
      <c r="B42" s="2050"/>
      <c r="C42" s="2051"/>
      <c r="D42" s="2064" t="s">
        <v>2084</v>
      </c>
      <c r="E42" s="2050"/>
      <c r="F42" s="2050"/>
      <c r="G42" s="2050"/>
      <c r="H42" s="2051"/>
      <c r="I42" s="1969"/>
      <c r="J42" s="1965"/>
      <c r="K42" s="1965"/>
      <c r="L42" s="1965"/>
      <c r="M42" s="1965"/>
      <c r="N42" s="1965"/>
      <c r="O42" s="1966"/>
      <c r="P42" s="1964"/>
      <c r="Q42" s="1965"/>
      <c r="R42" s="1965"/>
      <c r="S42" s="1966"/>
      <c r="T42" s="1969"/>
      <c r="U42" s="1965"/>
      <c r="V42" s="1965"/>
      <c r="W42" s="1966"/>
      <c r="X42" s="1964"/>
      <c r="Y42" s="1965"/>
      <c r="Z42" s="1965"/>
      <c r="AA42" s="1966"/>
    </row>
    <row r="43" spans="1:27" x14ac:dyDescent="0.2">
      <c r="A43" s="85" t="s">
        <v>985</v>
      </c>
      <c r="B43" s="76"/>
      <c r="C43" s="76"/>
      <c r="D43" s="76"/>
      <c r="E43" s="76"/>
      <c r="F43" s="76"/>
      <c r="G43" s="76"/>
      <c r="H43" s="53"/>
      <c r="I43" s="72" t="s">
        <v>985</v>
      </c>
      <c r="J43" s="76"/>
      <c r="K43" s="76"/>
      <c r="L43" s="76"/>
      <c r="M43" s="76"/>
      <c r="N43" s="76"/>
      <c r="O43" s="76"/>
      <c r="P43" s="76"/>
      <c r="Q43" s="76"/>
      <c r="R43" s="76"/>
      <c r="S43" s="53"/>
      <c r="T43" s="50" t="s">
        <v>985</v>
      </c>
      <c r="U43" s="51"/>
      <c r="V43" s="51"/>
      <c r="W43" s="51"/>
      <c r="X43" s="51"/>
      <c r="Y43" s="45"/>
      <c r="Z43" s="45"/>
      <c r="AA43" s="46"/>
    </row>
    <row r="44" spans="1:27" ht="13.5" customHeight="1" x14ac:dyDescent="0.2">
      <c r="A44" s="2053"/>
      <c r="B44" s="2054"/>
      <c r="C44" s="2054"/>
      <c r="D44" s="2054"/>
      <c r="E44" s="2054"/>
      <c r="F44" s="2054"/>
      <c r="G44" s="2054"/>
      <c r="H44" s="2055"/>
      <c r="I44" s="2045"/>
      <c r="J44" s="2047"/>
      <c r="K44" s="2047"/>
      <c r="L44" s="2047"/>
      <c r="M44" s="2047"/>
      <c r="N44" s="2047"/>
      <c r="O44" s="2047"/>
      <c r="P44" s="2047"/>
      <c r="Q44" s="2047"/>
      <c r="R44" s="2047"/>
      <c r="S44" s="2048"/>
      <c r="T44" s="2045"/>
      <c r="U44" s="2046"/>
      <c r="V44" s="2046"/>
      <c r="W44" s="2046"/>
      <c r="X44" s="2046"/>
      <c r="Y44" s="2046"/>
      <c r="Z44" s="2047"/>
      <c r="AA44" s="2048"/>
    </row>
    <row r="45" spans="1:27" ht="13.5" customHeight="1" x14ac:dyDescent="0.2">
      <c r="A45" s="41" t="s">
        <v>195</v>
      </c>
      <c r="Q45" s="41" t="s">
        <v>1491</v>
      </c>
      <c r="R45" s="41"/>
      <c r="S45" s="41"/>
      <c r="T45" s="147"/>
      <c r="U45" s="41"/>
      <c r="V45" s="41"/>
      <c r="W45" s="41"/>
      <c r="X45" s="41"/>
      <c r="Y45" s="41"/>
      <c r="Z45" s="41"/>
      <c r="AA45" s="41"/>
    </row>
    <row r="46" spans="1:27" ht="10.5" customHeight="1" x14ac:dyDescent="0.2">
      <c r="A46" s="42" t="s">
        <v>1687</v>
      </c>
      <c r="D46" s="41"/>
      <c r="E46" s="41"/>
      <c r="F46" s="41"/>
      <c r="G46" s="41"/>
      <c r="Q46" s="29" t="s">
        <v>1492</v>
      </c>
      <c r="R46" s="41"/>
      <c r="S46" s="41"/>
      <c r="T46" s="41"/>
      <c r="U46" s="41"/>
      <c r="V46" s="41"/>
      <c r="W46" s="41"/>
      <c r="X46" s="41"/>
      <c r="Y46" s="41"/>
      <c r="Z46" s="41"/>
      <c r="AA46" s="41"/>
    </row>
    <row r="47" spans="1:27" x14ac:dyDescent="0.2">
      <c r="A47" s="137"/>
      <c r="Q47" s="41" t="s">
        <v>2063</v>
      </c>
      <c r="R47" s="41"/>
      <c r="S47" s="41"/>
      <c r="T47" s="41"/>
      <c r="U47" s="41"/>
      <c r="V47" s="41"/>
      <c r="W47" s="41"/>
      <c r="X47" s="41"/>
      <c r="Y47" s="41"/>
      <c r="Z47" s="41"/>
      <c r="AA47" s="41"/>
    </row>
    <row r="48" spans="1:27" x14ac:dyDescent="0.2">
      <c r="Q48" s="41" t="s">
        <v>2064</v>
      </c>
      <c r="R48" s="41"/>
      <c r="S48" s="41"/>
      <c r="T48" s="41"/>
      <c r="U48" s="41"/>
      <c r="V48" s="41"/>
      <c r="W48" s="41"/>
      <c r="X48" s="41"/>
      <c r="Y48" s="41"/>
      <c r="Z48" s="41"/>
      <c r="AA48" s="41"/>
    </row>
  </sheetData>
  <sheetProtection algorithmName="SHA-512" hashValue="sGXhOj2gPh8kQyMPlawY2E2FlKH+ayz55qIMsj5thzZ05XfQVH1QqW6Aso+rtsZq65NFw6UG2/Riog6v7WZyLg==" saltValue="WuUFaUrg4mAiZ/KR9SP7jA==" spinCount="100000" sheet="1" objects="1" scenarios="1"/>
  <mergeCells count="52">
    <mergeCell ref="A25:H25"/>
    <mergeCell ref="I42:O42"/>
    <mergeCell ref="I39:M39"/>
    <mergeCell ref="A39:B39"/>
    <mergeCell ref="I44:S44"/>
    <mergeCell ref="I27:S27"/>
    <mergeCell ref="A40:H40"/>
    <mergeCell ref="D42:H42"/>
    <mergeCell ref="P35:R35"/>
    <mergeCell ref="J24:S25"/>
    <mergeCell ref="T44:AA44"/>
    <mergeCell ref="A42:C42"/>
    <mergeCell ref="I38:S38"/>
    <mergeCell ref="A44:H44"/>
    <mergeCell ref="A38:H38"/>
    <mergeCell ref="P42:S42"/>
    <mergeCell ref="I40:S40"/>
    <mergeCell ref="I1:S1"/>
    <mergeCell ref="I2:S2"/>
    <mergeCell ref="I7:S7"/>
    <mergeCell ref="I9:S9"/>
    <mergeCell ref="I6:S6"/>
    <mergeCell ref="I3:S3"/>
    <mergeCell ref="I4:S4"/>
    <mergeCell ref="I5:S5"/>
    <mergeCell ref="A23:H23"/>
    <mergeCell ref="I21:S21"/>
    <mergeCell ref="I22:S22"/>
    <mergeCell ref="I18:S18"/>
    <mergeCell ref="A17:H17"/>
    <mergeCell ref="T9:AA11"/>
    <mergeCell ref="A10:H10"/>
    <mergeCell ref="A11:H11"/>
    <mergeCell ref="A21:H21"/>
    <mergeCell ref="A19:H19"/>
    <mergeCell ref="A13:H13"/>
    <mergeCell ref="A15:H15"/>
    <mergeCell ref="T19:W19"/>
    <mergeCell ref="T13:AA13"/>
    <mergeCell ref="T15:AA15"/>
    <mergeCell ref="Z19:AA19"/>
    <mergeCell ref="X19:Y19"/>
    <mergeCell ref="T17:AA17"/>
    <mergeCell ref="T25:AA25"/>
    <mergeCell ref="T23:W23"/>
    <mergeCell ref="X42:AA42"/>
    <mergeCell ref="T21:W21"/>
    <mergeCell ref="T42:W42"/>
    <mergeCell ref="T38:AA38"/>
    <mergeCell ref="T40:AA40"/>
    <mergeCell ref="X23:AA23"/>
    <mergeCell ref="X21:AA21"/>
  </mergeCells>
  <phoneticPr fontId="13" type="noConversion"/>
  <hyperlinks>
    <hyperlink ref="I22" r:id="rId1" display="www.isbe.net/sfms/afr/afr.htm"/>
    <hyperlink ref="I22:S22" r:id="rId2" display="   Send ISBE a File"/>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36"/>
  <sheetViews>
    <sheetView showGridLines="0" defaultGridColor="0" colorId="8" zoomScale="110" zoomScaleNormal="110" workbookViewId="0"/>
  </sheetViews>
  <sheetFormatPr defaultRowHeight="12.75" x14ac:dyDescent="0.2"/>
  <cols>
    <col min="1" max="1" width="41.42578125" style="252" customWidth="1"/>
    <col min="2" max="3" width="17.7109375" style="713" customWidth="1"/>
    <col min="4" max="5" width="17.7109375" style="714"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908" t="s">
        <v>106</v>
      </c>
    </row>
    <row r="2" spans="1:6" ht="39.75" customHeight="1" x14ac:dyDescent="0.2">
      <c r="A2" s="2202" t="s">
        <v>1903</v>
      </c>
      <c r="B2" s="1550" t="s">
        <v>2033</v>
      </c>
      <c r="C2" s="715" t="s">
        <v>1908</v>
      </c>
      <c r="D2" s="715" t="s">
        <v>1909</v>
      </c>
      <c r="E2" s="715" t="s">
        <v>1910</v>
      </c>
      <c r="F2" s="715" t="s">
        <v>1911</v>
      </c>
    </row>
    <row r="3" spans="1:6" ht="12" customHeight="1" x14ac:dyDescent="0.2">
      <c r="A3" s="2203"/>
      <c r="B3" s="1547"/>
      <c r="C3" s="1548"/>
      <c r="D3" s="1549" t="s">
        <v>274</v>
      </c>
      <c r="E3" s="1548"/>
      <c r="F3" s="1549" t="s">
        <v>275</v>
      </c>
    </row>
    <row r="4" spans="1:6" ht="13.7" customHeight="1" x14ac:dyDescent="0.2">
      <c r="A4" s="716" t="s">
        <v>1217</v>
      </c>
      <c r="B4" s="1771">
        <f>'Revenues 9-14'!C5</f>
        <v>2920733</v>
      </c>
      <c r="C4" s="1546">
        <v>1535371</v>
      </c>
      <c r="D4" s="1774">
        <f>B4-C4</f>
        <v>1385362</v>
      </c>
      <c r="E4" s="1546">
        <v>3046030</v>
      </c>
      <c r="F4" s="1774">
        <f>E4-C4</f>
        <v>1510659</v>
      </c>
    </row>
    <row r="5" spans="1:6" ht="13.7" customHeight="1" x14ac:dyDescent="0.2">
      <c r="A5" s="716" t="s">
        <v>925</v>
      </c>
      <c r="B5" s="1772">
        <f>'Revenues 9-14'!D5</f>
        <v>277169</v>
      </c>
      <c r="C5" s="585">
        <v>142734</v>
      </c>
      <c r="D5" s="1775">
        <f t="shared" ref="D5:D18" si="0">B5-C5</f>
        <v>134435</v>
      </c>
      <c r="E5" s="585">
        <v>283245</v>
      </c>
      <c r="F5" s="1775">
        <f>E5-C5</f>
        <v>140511</v>
      </c>
    </row>
    <row r="6" spans="1:6" ht="13.7" customHeight="1" x14ac:dyDescent="0.2">
      <c r="A6" s="716" t="s">
        <v>431</v>
      </c>
      <c r="B6" s="1772">
        <f>'Revenues 9-14'!E5</f>
        <v>0</v>
      </c>
      <c r="C6" s="585"/>
      <c r="D6" s="1775">
        <f t="shared" si="0"/>
        <v>0</v>
      </c>
      <c r="E6" s="585"/>
      <c r="F6" s="1775">
        <f t="shared" ref="F6:F18" si="1">E6-C6</f>
        <v>0</v>
      </c>
    </row>
    <row r="7" spans="1:6" ht="13.7" customHeight="1" x14ac:dyDescent="0.2">
      <c r="A7" s="716" t="s">
        <v>157</v>
      </c>
      <c r="B7" s="1772">
        <f>'Revenues 9-14'!F5</f>
        <v>203930</v>
      </c>
      <c r="C7" s="585">
        <v>123182</v>
      </c>
      <c r="D7" s="1775">
        <f t="shared" si="0"/>
        <v>80748</v>
      </c>
      <c r="E7" s="585">
        <v>244217</v>
      </c>
      <c r="F7" s="1775">
        <f t="shared" si="1"/>
        <v>121035</v>
      </c>
    </row>
    <row r="8" spans="1:6" ht="13.7" customHeight="1" x14ac:dyDescent="0.2">
      <c r="A8" s="716" t="s">
        <v>1241</v>
      </c>
      <c r="B8" s="1772">
        <f>'Revenues 9-14'!G5</f>
        <v>280435</v>
      </c>
      <c r="C8" s="585">
        <v>145178</v>
      </c>
      <c r="D8" s="1775">
        <f t="shared" si="0"/>
        <v>135257</v>
      </c>
      <c r="E8" s="585">
        <v>288123</v>
      </c>
      <c r="F8" s="1775">
        <f t="shared" si="1"/>
        <v>142945</v>
      </c>
    </row>
    <row r="9" spans="1:6" ht="13.7" customHeight="1" x14ac:dyDescent="0.2">
      <c r="A9" s="716" t="s">
        <v>428</v>
      </c>
      <c r="B9" s="1772">
        <f>'Revenues 9-14'!H5</f>
        <v>0</v>
      </c>
      <c r="C9" s="585"/>
      <c r="D9" s="1775">
        <f t="shared" si="0"/>
        <v>0</v>
      </c>
      <c r="E9" s="585"/>
      <c r="F9" s="1775">
        <f t="shared" si="1"/>
        <v>0</v>
      </c>
    </row>
    <row r="10" spans="1:6" ht="13.7" customHeight="1" x14ac:dyDescent="0.2">
      <c r="A10" s="716" t="s">
        <v>427</v>
      </c>
      <c r="B10" s="1772">
        <f>'Revenues 9-14'!I5</f>
        <v>9973</v>
      </c>
      <c r="C10" s="585">
        <v>5133</v>
      </c>
      <c r="D10" s="1775">
        <f t="shared" si="0"/>
        <v>4840</v>
      </c>
      <c r="E10" s="585">
        <v>10342</v>
      </c>
      <c r="F10" s="1775">
        <f t="shared" si="1"/>
        <v>5209</v>
      </c>
    </row>
    <row r="11" spans="1:6" x14ac:dyDescent="0.2">
      <c r="A11" s="716" t="s">
        <v>429</v>
      </c>
      <c r="B11" s="1772">
        <f>'Revenues 9-14'!J5</f>
        <v>282057</v>
      </c>
      <c r="C11" s="585">
        <v>147622</v>
      </c>
      <c r="D11" s="1775">
        <f t="shared" si="0"/>
        <v>134435</v>
      </c>
      <c r="E11" s="585">
        <v>293100</v>
      </c>
      <c r="F11" s="1775">
        <f t="shared" si="1"/>
        <v>145478</v>
      </c>
    </row>
    <row r="12" spans="1:6" ht="13.7" customHeight="1" x14ac:dyDescent="0.2">
      <c r="A12" s="716" t="s">
        <v>159</v>
      </c>
      <c r="B12" s="1772">
        <f>'Revenues 9-14'!K5</f>
        <v>47128</v>
      </c>
      <c r="C12" s="585">
        <v>24685</v>
      </c>
      <c r="D12" s="1775">
        <f t="shared" si="0"/>
        <v>22443</v>
      </c>
      <c r="E12" s="585">
        <v>48785</v>
      </c>
      <c r="F12" s="1775">
        <f t="shared" si="1"/>
        <v>24100</v>
      </c>
    </row>
    <row r="13" spans="1:6" ht="13.7" customHeight="1" x14ac:dyDescent="0.2">
      <c r="A13" s="716" t="s">
        <v>993</v>
      </c>
      <c r="B13" s="1772">
        <f>SUM('Revenues 9-14'!C6:D6)</f>
        <v>0</v>
      </c>
      <c r="C13" s="585"/>
      <c r="D13" s="1775">
        <f t="shared" si="0"/>
        <v>0</v>
      </c>
      <c r="E13" s="585"/>
      <c r="F13" s="1775">
        <f t="shared" si="1"/>
        <v>0</v>
      </c>
    </row>
    <row r="14" spans="1:6" ht="13.7" customHeight="1" x14ac:dyDescent="0.2">
      <c r="A14" s="716" t="s">
        <v>430</v>
      </c>
      <c r="B14" s="1772">
        <f>SUM('Revenues 9-14'!C7:D7,'Revenues 9-14'!F7:H7)</f>
        <v>300151</v>
      </c>
      <c r="C14" s="585">
        <v>157643</v>
      </c>
      <c r="D14" s="1775">
        <f t="shared" si="0"/>
        <v>142508</v>
      </c>
      <c r="E14" s="585">
        <v>312613</v>
      </c>
      <c r="F14" s="1775">
        <f t="shared" si="1"/>
        <v>154970</v>
      </c>
    </row>
    <row r="15" spans="1:6" ht="13.7" customHeight="1" x14ac:dyDescent="0.2">
      <c r="A15" s="716" t="s">
        <v>1220</v>
      </c>
      <c r="B15" s="1772">
        <f>'Revenues 9-14'!E9</f>
        <v>0</v>
      </c>
      <c r="C15" s="585"/>
      <c r="D15" s="1775">
        <f t="shared" si="0"/>
        <v>0</v>
      </c>
      <c r="E15" s="585"/>
      <c r="F15" s="1775">
        <f t="shared" si="1"/>
        <v>0</v>
      </c>
    </row>
    <row r="16" spans="1:6" ht="13.7" customHeight="1" x14ac:dyDescent="0.2">
      <c r="A16" s="716" t="s">
        <v>1221</v>
      </c>
      <c r="B16" s="1772">
        <f>'Revenues 9-14'!G8</f>
        <v>322988</v>
      </c>
      <c r="C16" s="585">
        <v>162531</v>
      </c>
      <c r="D16" s="1775">
        <f t="shared" si="0"/>
        <v>160457</v>
      </c>
      <c r="E16" s="585">
        <v>322370</v>
      </c>
      <c r="F16" s="1775">
        <f t="shared" si="1"/>
        <v>159839</v>
      </c>
    </row>
    <row r="17" spans="1:6" ht="13.7" customHeight="1" x14ac:dyDescent="0.2">
      <c r="A17" s="716" t="s">
        <v>1222</v>
      </c>
      <c r="B17" s="1772">
        <f>'Revenues 9-14'!C10</f>
        <v>0</v>
      </c>
      <c r="C17" s="585"/>
      <c r="D17" s="1775">
        <f t="shared" si="0"/>
        <v>0</v>
      </c>
      <c r="E17" s="585"/>
      <c r="F17" s="1775">
        <f t="shared" si="1"/>
        <v>0</v>
      </c>
    </row>
    <row r="18" spans="1:6" ht="13.7" customHeight="1" x14ac:dyDescent="0.2">
      <c r="A18" s="716" t="s">
        <v>786</v>
      </c>
      <c r="B18" s="1772">
        <f>SUM('Revenues 9-14'!C11:K11)</f>
        <v>0</v>
      </c>
      <c r="C18" s="585"/>
      <c r="D18" s="1775">
        <f t="shared" si="0"/>
        <v>0</v>
      </c>
      <c r="E18" s="585"/>
      <c r="F18" s="1775">
        <f t="shared" si="1"/>
        <v>0</v>
      </c>
    </row>
    <row r="19" spans="1:6" ht="13.7" customHeight="1" thickBot="1" x14ac:dyDescent="0.25">
      <c r="A19" s="1776" t="s">
        <v>1223</v>
      </c>
      <c r="B19" s="1773">
        <f>SUM(B4:B18)</f>
        <v>4644564</v>
      </c>
      <c r="C19" s="1773">
        <f>SUM(C4:C18)</f>
        <v>2444079</v>
      </c>
      <c r="D19" s="1773">
        <f>SUM(D4:D18)</f>
        <v>2200485</v>
      </c>
      <c r="E19" s="1773">
        <f>SUM(E4:E18)</f>
        <v>4848825</v>
      </c>
      <c r="F19" s="1773">
        <f>SUM(F4:F18)</f>
        <v>2404746</v>
      </c>
    </row>
    <row r="20" spans="1:6" ht="13.5" thickTop="1" x14ac:dyDescent="0.2">
      <c r="B20" s="714"/>
      <c r="F20" s="717"/>
    </row>
    <row r="21" spans="1:6" x14ac:dyDescent="0.2">
      <c r="A21" s="718" t="s">
        <v>1913</v>
      </c>
      <c r="B21" s="719"/>
      <c r="F21" s="717"/>
    </row>
    <row r="22" spans="1:6" x14ac:dyDescent="0.2">
      <c r="A22" s="720" t="s">
        <v>649</v>
      </c>
      <c r="B22" s="721"/>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algorithmName="SHA-512" hashValue="0gVKO2ACOWsWtLB1/DkLGjqXpjmFSytVvI3lTzaWOWJne7Tep4Fci/OplnR0WiaWLXweKAJx0pNpGY3wqTAGzA==" saltValue="XmoAwrnpZc4Omv/g2mA4Jw==" spinCount="100000" sheet="1" objects="1" scenarios="1"/>
  <mergeCells count="1">
    <mergeCell ref="A2:A3"/>
  </mergeCells>
  <phoneticPr fontId="13"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K59"/>
  <sheetViews>
    <sheetView showGridLines="0" defaultGridColor="0" topLeftCell="A16" colorId="8" zoomScale="110" zoomScaleNormal="110" workbookViewId="0">
      <selection activeCell="H31" sqref="H31:H33"/>
    </sheetView>
  </sheetViews>
  <sheetFormatPr defaultColWidth="9.140625" defaultRowHeight="12.75" x14ac:dyDescent="0.2"/>
  <cols>
    <col min="1" max="1" width="44" style="401" customWidth="1"/>
    <col min="2" max="2" width="12.140625" style="723" customWidth="1"/>
    <col min="3" max="5" width="16.7109375" style="723"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208" t="s">
        <v>650</v>
      </c>
      <c r="B1" s="2209"/>
      <c r="C1" s="722"/>
    </row>
    <row r="2" spans="1:7" ht="33.75" x14ac:dyDescent="0.2">
      <c r="A2" s="2217" t="s">
        <v>1903</v>
      </c>
      <c r="B2" s="2218"/>
      <c r="C2" s="1909" t="s">
        <v>2034</v>
      </c>
      <c r="D2" s="724" t="s">
        <v>2041</v>
      </c>
      <c r="E2" s="724" t="s">
        <v>2042</v>
      </c>
      <c r="F2" s="1909" t="s">
        <v>2035</v>
      </c>
    </row>
    <row r="3" spans="1:7" ht="15.75" customHeight="1" x14ac:dyDescent="0.2">
      <c r="A3" s="2221" t="s">
        <v>1176</v>
      </c>
      <c r="B3" s="2222"/>
      <c r="C3" s="2210"/>
      <c r="D3" s="2211"/>
      <c r="E3" s="2211"/>
      <c r="F3" s="2212"/>
    </row>
    <row r="4" spans="1:7" ht="12.75" customHeight="1" thickBot="1" x14ac:dyDescent="0.25">
      <c r="A4" s="2219" t="s">
        <v>651</v>
      </c>
      <c r="B4" s="2220"/>
      <c r="C4" s="581"/>
      <c r="D4" s="581"/>
      <c r="E4" s="581"/>
      <c r="F4" s="1777">
        <f>SUM(C4+D4)-E4</f>
        <v>0</v>
      </c>
    </row>
    <row r="5" spans="1:7" ht="15.75" customHeight="1" thickTop="1" x14ac:dyDescent="0.2">
      <c r="A5" s="2204" t="s">
        <v>1172</v>
      </c>
      <c r="B5" s="2205"/>
      <c r="C5" s="2213"/>
      <c r="D5" s="2214"/>
      <c r="E5" s="2214"/>
      <c r="F5" s="2215"/>
    </row>
    <row r="6" spans="1:7" ht="12.75" customHeight="1" thickBot="1" x14ac:dyDescent="0.25">
      <c r="A6" s="725" t="s">
        <v>66</v>
      </c>
      <c r="B6" s="726"/>
      <c r="C6" s="727"/>
      <c r="D6" s="585"/>
      <c r="E6" s="727"/>
      <c r="F6" s="1777">
        <f t="shared" ref="F6:F14" si="0">SUM(C6+D6)-E6</f>
        <v>0</v>
      </c>
    </row>
    <row r="7" spans="1:7" ht="12.75" customHeight="1" thickTop="1" thickBot="1" x14ac:dyDescent="0.25">
      <c r="A7" s="725" t="s">
        <v>6</v>
      </c>
      <c r="B7" s="726"/>
      <c r="C7" s="727"/>
      <c r="D7" s="585"/>
      <c r="E7" s="727"/>
      <c r="F7" s="1777">
        <f t="shared" si="0"/>
        <v>0</v>
      </c>
    </row>
    <row r="8" spans="1:7" ht="12.75" customHeight="1" thickTop="1" thickBot="1" x14ac:dyDescent="0.25">
      <c r="A8" s="725" t="s">
        <v>529</v>
      </c>
      <c r="B8" s="726"/>
      <c r="C8" s="727"/>
      <c r="D8" s="585"/>
      <c r="E8" s="727"/>
      <c r="F8" s="1777">
        <f t="shared" si="0"/>
        <v>0</v>
      </c>
    </row>
    <row r="9" spans="1:7" ht="12.75" customHeight="1" thickTop="1" thickBot="1" x14ac:dyDescent="0.25">
      <c r="A9" s="725" t="s">
        <v>530</v>
      </c>
      <c r="B9" s="726"/>
      <c r="C9" s="727"/>
      <c r="D9" s="585"/>
      <c r="E9" s="727"/>
      <c r="F9" s="1777">
        <f t="shared" si="0"/>
        <v>0</v>
      </c>
    </row>
    <row r="10" spans="1:7" ht="12.75" customHeight="1" thickTop="1" thickBot="1" x14ac:dyDescent="0.25">
      <c r="A10" s="725" t="s">
        <v>531</v>
      </c>
      <c r="B10" s="726"/>
      <c r="C10" s="727"/>
      <c r="D10" s="585"/>
      <c r="E10" s="727"/>
      <c r="F10" s="1777">
        <f t="shared" si="0"/>
        <v>0</v>
      </c>
    </row>
    <row r="11" spans="1:7" ht="12.75" customHeight="1" thickTop="1" thickBot="1" x14ac:dyDescent="0.25">
      <c r="A11" s="725" t="s">
        <v>359</v>
      </c>
      <c r="B11" s="726"/>
      <c r="C11" s="727"/>
      <c r="D11" s="585"/>
      <c r="E11" s="727"/>
      <c r="F11" s="1777">
        <f t="shared" si="0"/>
        <v>0</v>
      </c>
    </row>
    <row r="12" spans="1:7" ht="12.75" customHeight="1" thickTop="1" thickBot="1" x14ac:dyDescent="0.25">
      <c r="A12" s="725" t="s">
        <v>1219</v>
      </c>
      <c r="B12" s="726"/>
      <c r="C12" s="727"/>
      <c r="D12" s="585"/>
      <c r="E12" s="727"/>
      <c r="F12" s="1777">
        <f t="shared" si="0"/>
        <v>0</v>
      </c>
    </row>
    <row r="13" spans="1:7" ht="12.75" customHeight="1" thickTop="1" thickBot="1" x14ac:dyDescent="0.25">
      <c r="A13" s="725" t="s">
        <v>406</v>
      </c>
      <c r="B13" s="726"/>
      <c r="C13" s="727"/>
      <c r="D13" s="585"/>
      <c r="E13" s="727"/>
      <c r="F13" s="1777">
        <f t="shared" si="0"/>
        <v>0</v>
      </c>
    </row>
    <row r="14" spans="1:7" ht="12.75" customHeight="1" thickTop="1" thickBot="1" x14ac:dyDescent="0.25">
      <c r="A14" s="725" t="s">
        <v>468</v>
      </c>
      <c r="B14" s="726"/>
      <c r="C14" s="727"/>
      <c r="D14" s="585"/>
      <c r="E14" s="727"/>
      <c r="F14" s="1777">
        <f t="shared" si="0"/>
        <v>0</v>
      </c>
    </row>
    <row r="15" spans="1:7" ht="14.25" thickTop="1" thickBot="1" x14ac:dyDescent="0.25">
      <c r="A15" s="2206" t="s">
        <v>652</v>
      </c>
      <c r="B15" s="2207"/>
      <c r="C15" s="1777">
        <f>SUM(C6:C14)</f>
        <v>0</v>
      </c>
      <c r="D15" s="1777">
        <f>SUM(D6:D14)</f>
        <v>0</v>
      </c>
      <c r="E15" s="1777">
        <f>SUM(E6:E14)</f>
        <v>0</v>
      </c>
      <c r="F15" s="1777">
        <f>SUM(F6:F14)</f>
        <v>0</v>
      </c>
      <c r="G15" s="552"/>
    </row>
    <row r="16" spans="1:7" s="202" customFormat="1" ht="15.75" customHeight="1" thickTop="1" x14ac:dyDescent="0.2">
      <c r="A16" s="2216" t="s">
        <v>1173</v>
      </c>
      <c r="B16" s="2205"/>
      <c r="C16" s="2213"/>
      <c r="D16" s="2214"/>
      <c r="E16" s="2214"/>
      <c r="F16" s="2215"/>
    </row>
    <row r="17" spans="1:11" ht="12.75" customHeight="1" thickBot="1" x14ac:dyDescent="0.25">
      <c r="A17" s="2229" t="s">
        <v>66</v>
      </c>
      <c r="B17" s="2230"/>
      <c r="C17" s="727"/>
      <c r="D17" s="585"/>
      <c r="E17" s="727"/>
      <c r="F17" s="1777">
        <f>SUM(C17+D17)-E17</f>
        <v>0</v>
      </c>
    </row>
    <row r="18" spans="1:11" ht="12.75" customHeight="1" thickTop="1" thickBot="1" x14ac:dyDescent="0.25">
      <c r="A18" s="2229" t="s">
        <v>6</v>
      </c>
      <c r="B18" s="2230"/>
      <c r="C18" s="727"/>
      <c r="D18" s="585"/>
      <c r="E18" s="727"/>
      <c r="F18" s="1777">
        <f>SUM(C18+D18)-E18</f>
        <v>0</v>
      </c>
    </row>
    <row r="19" spans="1:11" ht="12.75" customHeight="1" thickTop="1" thickBot="1" x14ac:dyDescent="0.25">
      <c r="A19" s="2229" t="s">
        <v>406</v>
      </c>
      <c r="B19" s="2230"/>
      <c r="C19" s="727"/>
      <c r="D19" s="585"/>
      <c r="E19" s="727"/>
      <c r="F19" s="1777">
        <f>SUM(C19+D19)-E19</f>
        <v>0</v>
      </c>
    </row>
    <row r="20" spans="1:11" ht="12.75" customHeight="1" thickTop="1" thickBot="1" x14ac:dyDescent="0.25">
      <c r="A20" s="2229" t="s">
        <v>468</v>
      </c>
      <c r="B20" s="2230"/>
      <c r="C20" s="727"/>
      <c r="D20" s="585"/>
      <c r="E20" s="727"/>
      <c r="F20" s="1777">
        <f>SUM(C20+D20)-E20</f>
        <v>0</v>
      </c>
    </row>
    <row r="21" spans="1:11" ht="14.25" thickTop="1" thickBot="1" x14ac:dyDescent="0.25">
      <c r="A21" s="2206" t="s">
        <v>653</v>
      </c>
      <c r="B21" s="2207"/>
      <c r="C21" s="1777">
        <f>SUM(C17:C20)</f>
        <v>0</v>
      </c>
      <c r="D21" s="1777">
        <f>SUM(D17:D20)</f>
        <v>0</v>
      </c>
      <c r="E21" s="1777">
        <f>SUM(E17:E20)</f>
        <v>0</v>
      </c>
      <c r="F21" s="1777">
        <f>SUM(F17:F20)</f>
        <v>0</v>
      </c>
      <c r="G21" s="552"/>
    </row>
    <row r="22" spans="1:11" ht="15.75" customHeight="1" thickTop="1" x14ac:dyDescent="0.2">
      <c r="A22" s="2231" t="s">
        <v>1174</v>
      </c>
      <c r="B22" s="2205"/>
      <c r="C22" s="2213"/>
      <c r="D22" s="2214"/>
      <c r="E22" s="2214"/>
      <c r="F22" s="2215"/>
    </row>
    <row r="23" spans="1:11" ht="13.5" thickBot="1" x14ac:dyDescent="0.25">
      <c r="A23" s="2219" t="s">
        <v>654</v>
      </c>
      <c r="B23" s="2220"/>
      <c r="C23" s="581"/>
      <c r="D23" s="581"/>
      <c r="E23" s="581"/>
      <c r="F23" s="1777">
        <f>SUM(C23+D23)-E23</f>
        <v>0</v>
      </c>
      <c r="G23" s="552"/>
    </row>
    <row r="24" spans="1:11" ht="15.75" customHeight="1" thickTop="1" x14ac:dyDescent="0.2">
      <c r="A24" s="2231" t="s">
        <v>1175</v>
      </c>
      <c r="B24" s="2205"/>
      <c r="C24" s="2213"/>
      <c r="D24" s="2214"/>
      <c r="E24" s="2214"/>
      <c r="F24" s="2215"/>
    </row>
    <row r="25" spans="1:11" ht="13.5" thickBot="1" x14ac:dyDescent="0.25">
      <c r="A25" s="2219" t="s">
        <v>655</v>
      </c>
      <c r="B25" s="2220"/>
      <c r="C25" s="581"/>
      <c r="D25" s="581"/>
      <c r="E25" s="581"/>
      <c r="F25" s="1777">
        <f>SUM(C25+D25)-E25</f>
        <v>0</v>
      </c>
      <c r="G25" s="552"/>
    </row>
    <row r="26" spans="1:11" ht="15.75" customHeight="1" thickTop="1" x14ac:dyDescent="0.2">
      <c r="A26" s="2204" t="s">
        <v>678</v>
      </c>
      <c r="B26" s="2205"/>
      <c r="C26" s="728"/>
      <c r="D26" s="728"/>
      <c r="E26" s="728"/>
      <c r="F26" s="729"/>
    </row>
    <row r="27" spans="1:11" ht="13.5" thickBot="1" x14ac:dyDescent="0.25">
      <c r="A27" s="2206" t="s">
        <v>1130</v>
      </c>
      <c r="B27" s="2207"/>
      <c r="C27" s="585"/>
      <c r="D27" s="585"/>
      <c r="E27" s="585"/>
      <c r="F27" s="1777">
        <f>SUM(C27+D27)-E27</f>
        <v>0</v>
      </c>
      <c r="G27" s="552"/>
    </row>
    <row r="28" spans="1:11" ht="7.5" customHeight="1" thickTop="1" x14ac:dyDescent="0.2">
      <c r="A28" s="594"/>
    </row>
    <row r="29" spans="1:11" ht="23.25" customHeight="1" x14ac:dyDescent="0.2">
      <c r="A29" s="2232" t="s">
        <v>603</v>
      </c>
      <c r="B29" s="2209"/>
      <c r="C29" s="730"/>
      <c r="D29" s="730"/>
      <c r="E29" s="730"/>
      <c r="F29" s="730"/>
      <c r="G29" s="730"/>
      <c r="H29" s="730"/>
      <c r="I29" s="730"/>
      <c r="J29" s="730"/>
    </row>
    <row r="30" spans="1:11" ht="33.75" x14ac:dyDescent="0.2">
      <c r="A30" s="1551" t="s">
        <v>1131</v>
      </c>
      <c r="B30" s="731" t="s">
        <v>1186</v>
      </c>
      <c r="C30" s="1910" t="s">
        <v>604</v>
      </c>
      <c r="D30" s="1910" t="s">
        <v>1772</v>
      </c>
      <c r="E30" s="1910" t="s">
        <v>2036</v>
      </c>
      <c r="F30" s="1910" t="s">
        <v>2037</v>
      </c>
      <c r="G30" s="1910" t="s">
        <v>2040</v>
      </c>
      <c r="H30" s="1910" t="s">
        <v>2038</v>
      </c>
      <c r="I30" s="1910" t="s">
        <v>2039</v>
      </c>
      <c r="J30" s="1911" t="s">
        <v>2</v>
      </c>
      <c r="K30" s="732"/>
    </row>
    <row r="31" spans="1:11" ht="12" customHeight="1" x14ac:dyDescent="0.2">
      <c r="A31" s="733" t="s">
        <v>2095</v>
      </c>
      <c r="B31" s="734">
        <v>40238</v>
      </c>
      <c r="C31" s="735">
        <v>8500000</v>
      </c>
      <c r="D31" s="736">
        <v>2</v>
      </c>
      <c r="E31" s="735">
        <v>5960000</v>
      </c>
      <c r="F31" s="735"/>
      <c r="G31" s="735"/>
      <c r="H31" s="735">
        <v>460000</v>
      </c>
      <c r="I31" s="1778">
        <f>((E31+F31)-H31)+G31</f>
        <v>5500000</v>
      </c>
      <c r="J31" s="735">
        <v>5154572</v>
      </c>
      <c r="K31" s="737"/>
    </row>
    <row r="32" spans="1:11" ht="12" customHeight="1" x14ac:dyDescent="0.2">
      <c r="A32" s="733" t="s">
        <v>2096</v>
      </c>
      <c r="B32" s="734">
        <v>40386</v>
      </c>
      <c r="C32" s="735">
        <v>6500000</v>
      </c>
      <c r="D32" s="736">
        <v>2</v>
      </c>
      <c r="E32" s="735">
        <v>5390000</v>
      </c>
      <c r="F32" s="735"/>
      <c r="G32" s="735"/>
      <c r="H32" s="735">
        <v>190000</v>
      </c>
      <c r="I32" s="1778">
        <f>((E32+F32)-H32)+G32</f>
        <v>5200000</v>
      </c>
      <c r="J32" s="735">
        <v>5200000</v>
      </c>
      <c r="K32" s="737"/>
    </row>
    <row r="33" spans="1:11" ht="12" customHeight="1" x14ac:dyDescent="0.2">
      <c r="A33" s="733" t="s">
        <v>2097</v>
      </c>
      <c r="B33" s="734">
        <v>42492</v>
      </c>
      <c r="C33" s="735">
        <v>10000000</v>
      </c>
      <c r="D33" s="736">
        <v>6</v>
      </c>
      <c r="E33" s="735">
        <v>9790000</v>
      </c>
      <c r="F33" s="735"/>
      <c r="G33" s="735"/>
      <c r="H33" s="735">
        <v>195000</v>
      </c>
      <c r="I33" s="1778">
        <f t="shared" ref="I33:I48" si="1">((E33+F33)-H33)+G33</f>
        <v>9595000</v>
      </c>
      <c r="J33" s="735">
        <v>9595000</v>
      </c>
      <c r="K33" s="737"/>
    </row>
    <row r="34" spans="1:11" ht="12" customHeight="1" x14ac:dyDescent="0.2">
      <c r="A34" s="733" t="s">
        <v>2098</v>
      </c>
      <c r="B34" s="734">
        <v>40085</v>
      </c>
      <c r="C34" s="735">
        <v>115906</v>
      </c>
      <c r="D34" s="736">
        <v>7</v>
      </c>
      <c r="E34" s="735">
        <v>56149</v>
      </c>
      <c r="F34" s="735"/>
      <c r="G34" s="735"/>
      <c r="H34" s="735">
        <v>30240</v>
      </c>
      <c r="I34" s="1778">
        <f t="shared" si="1"/>
        <v>25909</v>
      </c>
      <c r="J34" s="735">
        <v>25909</v>
      </c>
      <c r="K34" s="738"/>
    </row>
    <row r="35" spans="1:11" ht="12" customHeight="1" x14ac:dyDescent="0.2">
      <c r="A35" s="733"/>
      <c r="B35" s="734"/>
      <c r="C35" s="739"/>
      <c r="D35" s="736"/>
      <c r="E35" s="739"/>
      <c r="F35" s="739"/>
      <c r="G35" s="739"/>
      <c r="H35" s="739"/>
      <c r="I35" s="1778">
        <f t="shared" si="1"/>
        <v>0</v>
      </c>
      <c r="J35" s="739"/>
      <c r="K35" s="738"/>
    </row>
    <row r="36" spans="1:11" ht="12" customHeight="1" x14ac:dyDescent="0.2">
      <c r="A36" s="733"/>
      <c r="B36" s="734"/>
      <c r="C36" s="735"/>
      <c r="D36" s="736"/>
      <c r="E36" s="735"/>
      <c r="F36" s="735"/>
      <c r="G36" s="735"/>
      <c r="H36" s="735"/>
      <c r="I36" s="1778">
        <f t="shared" si="1"/>
        <v>0</v>
      </c>
      <c r="J36" s="735"/>
      <c r="K36" s="740"/>
    </row>
    <row r="37" spans="1:11" ht="12" customHeight="1" x14ac:dyDescent="0.2">
      <c r="A37" s="733"/>
      <c r="B37" s="734"/>
      <c r="C37" s="467"/>
      <c r="D37" s="741"/>
      <c r="E37" s="467"/>
      <c r="F37" s="467"/>
      <c r="G37" s="467"/>
      <c r="H37" s="467"/>
      <c r="I37" s="1778">
        <f t="shared" si="1"/>
        <v>0</v>
      </c>
      <c r="J37" s="467"/>
      <c r="K37" s="738"/>
    </row>
    <row r="38" spans="1:11" ht="12" customHeight="1" x14ac:dyDescent="0.2">
      <c r="A38" s="733"/>
      <c r="B38" s="734"/>
      <c r="C38" s="735"/>
      <c r="D38" s="742"/>
      <c r="E38" s="743"/>
      <c r="F38" s="743"/>
      <c r="G38" s="743"/>
      <c r="H38" s="743"/>
      <c r="I38" s="1778">
        <f t="shared" si="1"/>
        <v>0</v>
      </c>
      <c r="J38" s="744" t="s">
        <v>282</v>
      </c>
      <c r="K38" s="745"/>
    </row>
    <row r="39" spans="1:11" ht="12" customHeight="1" x14ac:dyDescent="0.2">
      <c r="A39" s="733"/>
      <c r="B39" s="734"/>
      <c r="C39" s="735"/>
      <c r="D39" s="742"/>
      <c r="E39" s="743"/>
      <c r="F39" s="743"/>
      <c r="G39" s="743"/>
      <c r="H39" s="743"/>
      <c r="I39" s="1778">
        <f t="shared" si="1"/>
        <v>0</v>
      </c>
      <c r="J39" s="744"/>
      <c r="K39" s="745"/>
    </row>
    <row r="40" spans="1:11" ht="12" customHeight="1" x14ac:dyDescent="0.2">
      <c r="A40" s="733"/>
      <c r="B40" s="734"/>
      <c r="C40" s="735"/>
      <c r="D40" s="742"/>
      <c r="E40" s="743"/>
      <c r="F40" s="743"/>
      <c r="G40" s="743"/>
      <c r="H40" s="743"/>
      <c r="I40" s="1778">
        <f t="shared" si="1"/>
        <v>0</v>
      </c>
      <c r="J40" s="744"/>
      <c r="K40" s="745"/>
    </row>
    <row r="41" spans="1:11" ht="12" customHeight="1" x14ac:dyDescent="0.2">
      <c r="A41" s="733"/>
      <c r="B41" s="734"/>
      <c r="C41" s="735"/>
      <c r="D41" s="742"/>
      <c r="E41" s="743"/>
      <c r="F41" s="743"/>
      <c r="G41" s="743"/>
      <c r="H41" s="743"/>
      <c r="I41" s="1778">
        <f t="shared" si="1"/>
        <v>0</v>
      </c>
      <c r="J41" s="744"/>
      <c r="K41" s="745"/>
    </row>
    <row r="42" spans="1:11" ht="12" customHeight="1" x14ac:dyDescent="0.2">
      <c r="A42" s="733"/>
      <c r="B42" s="734"/>
      <c r="C42" s="735"/>
      <c r="D42" s="742"/>
      <c r="E42" s="743"/>
      <c r="F42" s="743"/>
      <c r="G42" s="743"/>
      <c r="H42" s="743"/>
      <c r="I42" s="1778">
        <f t="shared" si="1"/>
        <v>0</v>
      </c>
      <c r="J42" s="744"/>
      <c r="K42" s="745"/>
    </row>
    <row r="43" spans="1:11" ht="12" customHeight="1" x14ac:dyDescent="0.2">
      <c r="A43" s="733"/>
      <c r="B43" s="734"/>
      <c r="C43" s="735"/>
      <c r="D43" s="742"/>
      <c r="E43" s="743"/>
      <c r="F43" s="743"/>
      <c r="G43" s="743"/>
      <c r="H43" s="743"/>
      <c r="I43" s="1778">
        <f t="shared" si="1"/>
        <v>0</v>
      </c>
      <c r="J43" s="744"/>
      <c r="K43" s="745"/>
    </row>
    <row r="44" spans="1:11" ht="12" customHeight="1" x14ac:dyDescent="0.2">
      <c r="A44" s="733"/>
      <c r="B44" s="734"/>
      <c r="C44" s="735"/>
      <c r="D44" s="736"/>
      <c r="E44" s="735"/>
      <c r="F44" s="735"/>
      <c r="G44" s="735"/>
      <c r="H44" s="735"/>
      <c r="I44" s="1778">
        <f t="shared" si="1"/>
        <v>0</v>
      </c>
      <c r="J44" s="735"/>
      <c r="K44" s="738"/>
    </row>
    <row r="45" spans="1:11" ht="12" customHeight="1" x14ac:dyDescent="0.2">
      <c r="A45" s="733"/>
      <c r="B45" s="734"/>
      <c r="C45" s="735"/>
      <c r="D45" s="736"/>
      <c r="E45" s="735"/>
      <c r="F45" s="735"/>
      <c r="G45" s="735"/>
      <c r="H45" s="735"/>
      <c r="I45" s="1778">
        <f t="shared" si="1"/>
        <v>0</v>
      </c>
      <c r="J45" s="735"/>
      <c r="K45" s="738"/>
    </row>
    <row r="46" spans="1:11" ht="12" customHeight="1" x14ac:dyDescent="0.2">
      <c r="A46" s="733"/>
      <c r="B46" s="734"/>
      <c r="C46" s="735"/>
      <c r="D46" s="736"/>
      <c r="E46" s="735"/>
      <c r="F46" s="735"/>
      <c r="G46" s="735"/>
      <c r="H46" s="735"/>
      <c r="I46" s="1778">
        <f t="shared" si="1"/>
        <v>0</v>
      </c>
      <c r="J46" s="735"/>
      <c r="K46" s="738"/>
    </row>
    <row r="47" spans="1:11" ht="12" customHeight="1" x14ac:dyDescent="0.2">
      <c r="A47" s="733"/>
      <c r="B47" s="734"/>
      <c r="C47" s="739"/>
      <c r="D47" s="736"/>
      <c r="E47" s="739"/>
      <c r="F47" s="739"/>
      <c r="G47" s="739"/>
      <c r="H47" s="739"/>
      <c r="I47" s="1778">
        <f t="shared" si="1"/>
        <v>0</v>
      </c>
      <c r="J47" s="739"/>
      <c r="K47" s="738"/>
    </row>
    <row r="48" spans="1:11" ht="12" customHeight="1" x14ac:dyDescent="0.2">
      <c r="A48" s="733"/>
      <c r="B48" s="734"/>
      <c r="C48" s="735"/>
      <c r="D48" s="736"/>
      <c r="E48" s="735"/>
      <c r="F48" s="735"/>
      <c r="G48" s="735"/>
      <c r="H48" s="735"/>
      <c r="I48" s="1778">
        <f t="shared" si="1"/>
        <v>0</v>
      </c>
      <c r="J48" s="735"/>
      <c r="K48" s="738"/>
    </row>
    <row r="49" spans="1:11" ht="12" customHeight="1" x14ac:dyDescent="0.2">
      <c r="A49" s="733"/>
      <c r="B49" s="734"/>
      <c r="C49" s="1778">
        <f>SUM(C31:C48)</f>
        <v>25115906</v>
      </c>
      <c r="D49" s="746"/>
      <c r="E49" s="1778">
        <f t="shared" ref="E49:J49" si="2">SUM(E31:E48)</f>
        <v>21196149</v>
      </c>
      <c r="F49" s="1778">
        <f t="shared" si="2"/>
        <v>0</v>
      </c>
      <c r="G49" s="1778">
        <f t="shared" si="2"/>
        <v>0</v>
      </c>
      <c r="H49" s="1778">
        <f t="shared" si="2"/>
        <v>875240</v>
      </c>
      <c r="I49" s="1778">
        <f t="shared" si="2"/>
        <v>20320909</v>
      </c>
      <c r="J49" s="1778">
        <f t="shared" si="2"/>
        <v>19975481</v>
      </c>
      <c r="K49" s="738"/>
    </row>
    <row r="50" spans="1:11" ht="6" customHeight="1" x14ac:dyDescent="0.2">
      <c r="A50" s="747"/>
      <c r="B50" s="737"/>
      <c r="C50" s="737"/>
      <c r="D50" s="737"/>
      <c r="E50" s="737"/>
      <c r="F50" s="737"/>
      <c r="G50" s="737"/>
      <c r="H50" s="737"/>
      <c r="I50" s="737"/>
      <c r="J50" s="747"/>
    </row>
    <row r="51" spans="1:11" x14ac:dyDescent="0.2">
      <c r="A51" s="748" t="s">
        <v>1912</v>
      </c>
      <c r="B51" s="747"/>
      <c r="C51" s="738"/>
      <c r="D51" s="738"/>
      <c r="E51" s="738"/>
      <c r="F51" s="738"/>
      <c r="G51" s="738"/>
      <c r="H51" s="737"/>
      <c r="I51" s="737"/>
      <c r="J51" s="747"/>
    </row>
    <row r="52" spans="1:11" ht="11.25" customHeight="1" x14ac:dyDescent="0.2">
      <c r="A52" s="749" t="s">
        <v>968</v>
      </c>
      <c r="B52" s="2223" t="s">
        <v>605</v>
      </c>
      <c r="C52" s="2224"/>
      <c r="D52" s="2224"/>
      <c r="E52" s="750" t="s">
        <v>900</v>
      </c>
      <c r="F52" s="2225" t="s">
        <v>2099</v>
      </c>
      <c r="G52" s="2226"/>
      <c r="H52" s="737"/>
      <c r="I52" s="737"/>
      <c r="J52" s="747"/>
    </row>
    <row r="53" spans="1:11" ht="11.25" customHeight="1" x14ac:dyDescent="0.2">
      <c r="A53" s="751" t="s">
        <v>969</v>
      </c>
      <c r="B53" s="752" t="s">
        <v>1008</v>
      </c>
      <c r="C53" s="747"/>
      <c r="D53" s="738"/>
      <c r="E53" s="750" t="s">
        <v>518</v>
      </c>
      <c r="F53" s="2227"/>
      <c r="G53" s="2228"/>
      <c r="H53" s="737"/>
      <c r="I53" s="737"/>
      <c r="J53" s="747"/>
    </row>
    <row r="54" spans="1:11" ht="11.25" customHeight="1" x14ac:dyDescent="0.2">
      <c r="A54" s="753" t="s">
        <v>970</v>
      </c>
      <c r="B54" s="748" t="s">
        <v>1009</v>
      </c>
      <c r="C54" s="747"/>
      <c r="D54" s="738"/>
      <c r="E54" s="750" t="s">
        <v>519</v>
      </c>
      <c r="F54" s="2227"/>
      <c r="G54" s="2228"/>
      <c r="H54" s="737"/>
      <c r="I54" s="737"/>
      <c r="J54" s="747"/>
    </row>
    <row r="55" spans="1:11" ht="6" customHeight="1" x14ac:dyDescent="0.2">
      <c r="A55" s="738"/>
      <c r="B55" s="754"/>
      <c r="C55" s="755"/>
      <c r="D55" s="756"/>
      <c r="E55" s="757"/>
      <c r="F55" s="758"/>
      <c r="G55" s="747"/>
      <c r="H55" s="737"/>
      <c r="I55" s="737"/>
      <c r="J55" s="747"/>
    </row>
    <row r="56" spans="1:11" ht="11.25" customHeight="1" x14ac:dyDescent="0.2">
      <c r="A56" s="754"/>
      <c r="B56" s="759"/>
      <c r="C56" s="738"/>
      <c r="D56" s="738"/>
      <c r="E56" s="738"/>
      <c r="F56" s="738"/>
      <c r="G56" s="737"/>
      <c r="H56" s="737"/>
      <c r="I56" s="737"/>
      <c r="J56" s="747"/>
    </row>
    <row r="57" spans="1:11" ht="11.25" customHeight="1" x14ac:dyDescent="0.2">
      <c r="A57" s="738"/>
      <c r="B57" s="760"/>
      <c r="C57" s="738"/>
      <c r="D57" s="738"/>
      <c r="E57" s="738"/>
      <c r="F57" s="738"/>
      <c r="G57" s="737"/>
      <c r="H57" s="737"/>
      <c r="I57" s="737"/>
      <c r="J57" s="747"/>
    </row>
    <row r="58" spans="1:11" ht="11.25" customHeight="1" x14ac:dyDescent="0.2">
      <c r="A58" s="754"/>
      <c r="B58" s="759"/>
      <c r="C58" s="738"/>
      <c r="D58" s="738"/>
      <c r="E58" s="738"/>
      <c r="F58" s="738"/>
      <c r="G58" s="737"/>
      <c r="H58" s="737"/>
      <c r="I58" s="737"/>
      <c r="J58" s="747"/>
    </row>
    <row r="59" spans="1:11" ht="11.25" customHeight="1" x14ac:dyDescent="0.2"/>
  </sheetData>
  <sheetProtection algorithmName="SHA-512" hashValue="HxMZFrwignvs/aoa4ezopqKk0YZU4G7/NsYGZD40GsA+ppV5a1F9qQ1gknF0M6TgEDuDAPbqmMSdcGwy6Hu+1w==" saltValue="vTIRy3lHq+n3k3KannVYpQ==" spinCount="100000" sheet="1" objects="1" scenarios="1"/>
  <mergeCells count="28">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 ref="A26:B26"/>
    <mergeCell ref="A27:B27"/>
    <mergeCell ref="A1:B1"/>
    <mergeCell ref="C3:F3"/>
    <mergeCell ref="C5:F5"/>
    <mergeCell ref="C16:F16"/>
    <mergeCell ref="A16:B16"/>
    <mergeCell ref="A2:B2"/>
    <mergeCell ref="A4:B4"/>
    <mergeCell ref="A5:B5"/>
    <mergeCell ref="A15:B15"/>
    <mergeCell ref="A3:B3"/>
  </mergeCells>
  <phoneticPr fontId="13" type="noConversion"/>
  <dataValidations count="2">
    <dataValidation type="whole" operator="greaterThan" allowBlank="1" showInputMessage="1" showErrorMessage="1" sqref="C31:C48 E31:E48 H31:H48">
      <formula1>0</formula1>
    </dataValidation>
    <dataValidation operator="greaterThan" allowBlank="1" showInputMessage="1" showErrorMessage="1" sqref="A1"/>
  </dataValidations>
  <printOptions headings="1" gridLinesSet="0"/>
  <pageMargins left="0.25" right="0.15" top="0.4" bottom="0.25" header="0.17" footer="0.1"/>
  <pageSetup scale="73"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48"/>
  <sheetViews>
    <sheetView showGridLines="0" defaultGridColor="0" colorId="8" zoomScale="110" zoomScaleNormal="110" workbookViewId="0"/>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57" t="s">
        <v>911</v>
      </c>
      <c r="B1" s="2258"/>
      <c r="C1" s="2258"/>
      <c r="D1" s="2258"/>
      <c r="E1" s="2258"/>
      <c r="F1" s="2258"/>
      <c r="G1" s="2259"/>
      <c r="H1" s="1552"/>
      <c r="I1" s="761"/>
      <c r="J1" s="433"/>
    </row>
    <row r="2" spans="1:11" ht="26.25" x14ac:dyDescent="0.2">
      <c r="A2" s="2236" t="s">
        <v>1776</v>
      </c>
      <c r="B2" s="2237"/>
      <c r="C2" s="2237"/>
      <c r="D2" s="2237"/>
      <c r="E2" s="2238"/>
      <c r="F2" s="762" t="s">
        <v>960</v>
      </c>
      <c r="G2" s="763" t="s">
        <v>1773</v>
      </c>
      <c r="H2" s="763" t="s">
        <v>430</v>
      </c>
      <c r="I2" s="763" t="s">
        <v>1220</v>
      </c>
      <c r="J2" s="763" t="s">
        <v>1917</v>
      </c>
      <c r="K2" s="763" t="s">
        <v>140</v>
      </c>
    </row>
    <row r="3" spans="1:11" x14ac:dyDescent="0.2">
      <c r="A3" s="2239" t="s">
        <v>1698</v>
      </c>
      <c r="B3" s="2240"/>
      <c r="C3" s="2240"/>
      <c r="D3" s="2240"/>
      <c r="E3" s="2241"/>
      <c r="F3" s="764"/>
      <c r="G3" s="765"/>
      <c r="H3" s="765"/>
      <c r="I3" s="765"/>
      <c r="J3" s="766"/>
      <c r="K3" s="766"/>
    </row>
    <row r="4" spans="1:11" x14ac:dyDescent="0.2">
      <c r="A4" s="2242" t="s">
        <v>387</v>
      </c>
      <c r="B4" s="2243"/>
      <c r="C4" s="2243"/>
      <c r="D4" s="2243"/>
      <c r="E4" s="2224"/>
      <c r="F4" s="767"/>
      <c r="G4" s="768"/>
      <c r="H4" s="769"/>
      <c r="I4" s="768"/>
      <c r="J4" s="770"/>
      <c r="K4" s="770"/>
    </row>
    <row r="5" spans="1:11" x14ac:dyDescent="0.2">
      <c r="A5" s="2260" t="s">
        <v>1129</v>
      </c>
      <c r="B5" s="2233"/>
      <c r="C5" s="2233"/>
      <c r="D5" s="2233"/>
      <c r="E5" s="2261"/>
      <c r="F5" s="771" t="s">
        <v>903</v>
      </c>
      <c r="G5" s="772"/>
      <c r="H5" s="765">
        <v>300151</v>
      </c>
      <c r="I5" s="773"/>
      <c r="J5" s="774"/>
      <c r="K5" s="774"/>
    </row>
    <row r="6" spans="1:11" x14ac:dyDescent="0.2">
      <c r="A6" s="775" t="s">
        <v>744</v>
      </c>
      <c r="B6" s="776"/>
      <c r="C6" s="776"/>
      <c r="D6" s="776"/>
      <c r="E6" s="777"/>
      <c r="F6" s="778" t="s">
        <v>904</v>
      </c>
      <c r="G6" s="765"/>
      <c r="H6" s="765"/>
      <c r="I6" s="765"/>
      <c r="J6" s="766"/>
      <c r="K6" s="766"/>
    </row>
    <row r="7" spans="1:11" x14ac:dyDescent="0.2">
      <c r="A7" s="779" t="s">
        <v>264</v>
      </c>
      <c r="B7" s="780"/>
      <c r="C7" s="780"/>
      <c r="D7" s="780"/>
      <c r="E7" s="781"/>
      <c r="F7" s="771" t="s">
        <v>905</v>
      </c>
      <c r="G7" s="768"/>
      <c r="H7" s="768"/>
      <c r="I7" s="768"/>
      <c r="J7" s="782"/>
      <c r="K7" s="766"/>
    </row>
    <row r="8" spans="1:11" x14ac:dyDescent="0.2">
      <c r="A8" s="779" t="s">
        <v>363</v>
      </c>
      <c r="B8" s="780"/>
      <c r="C8" s="780"/>
      <c r="D8" s="780"/>
      <c r="E8" s="781"/>
      <c r="F8" s="771" t="s">
        <v>906</v>
      </c>
      <c r="G8" s="783"/>
      <c r="H8" s="783"/>
      <c r="I8" s="783"/>
      <c r="J8" s="766">
        <v>1273743</v>
      </c>
      <c r="K8" s="770"/>
    </row>
    <row r="9" spans="1:11" x14ac:dyDescent="0.2">
      <c r="A9" s="779" t="s">
        <v>140</v>
      </c>
      <c r="B9" s="780"/>
      <c r="C9" s="780"/>
      <c r="D9" s="780"/>
      <c r="E9" s="781"/>
      <c r="F9" s="778" t="s">
        <v>908</v>
      </c>
      <c r="G9" s="783"/>
      <c r="H9" s="772"/>
      <c r="I9" s="772"/>
      <c r="J9" s="782"/>
      <c r="K9" s="766"/>
    </row>
    <row r="10" spans="1:11" x14ac:dyDescent="0.2">
      <c r="A10" s="2260" t="s">
        <v>1918</v>
      </c>
      <c r="B10" s="2233"/>
      <c r="C10" s="2233"/>
      <c r="D10" s="2233"/>
      <c r="E10" s="2262"/>
      <c r="F10" s="784" t="s">
        <v>917</v>
      </c>
      <c r="G10" s="783"/>
      <c r="H10" s="785"/>
      <c r="I10" s="765"/>
      <c r="J10" s="766"/>
      <c r="K10" s="766"/>
    </row>
    <row r="11" spans="1:11" x14ac:dyDescent="0.2">
      <c r="A11" s="2260" t="s">
        <v>162</v>
      </c>
      <c r="B11" s="2233"/>
      <c r="C11" s="2233"/>
      <c r="D11" s="2233"/>
      <c r="E11" s="2261"/>
      <c r="F11" s="771" t="s">
        <v>907</v>
      </c>
      <c r="G11" s="772"/>
      <c r="H11" s="765"/>
      <c r="I11" s="765"/>
      <c r="J11" s="766"/>
      <c r="K11" s="774"/>
    </row>
    <row r="12" spans="1:11" ht="13.5" thickBot="1" x14ac:dyDescent="0.25">
      <c r="A12" s="2250" t="s">
        <v>961</v>
      </c>
      <c r="B12" s="2251"/>
      <c r="C12" s="2251"/>
      <c r="D12" s="2251"/>
      <c r="E12" s="2252"/>
      <c r="F12" s="1779"/>
      <c r="G12" s="1780">
        <f>SUM(G5:G11)</f>
        <v>0</v>
      </c>
      <c r="H12" s="1780">
        <f>SUM(H5:H11)</f>
        <v>300151</v>
      </c>
      <c r="I12" s="1780">
        <f>SUM(I5:I11)</f>
        <v>0</v>
      </c>
      <c r="J12" s="1780">
        <f>SUM(J5:J11)</f>
        <v>1273743</v>
      </c>
      <c r="K12" s="1780">
        <f>SUM(K5:K11)</f>
        <v>0</v>
      </c>
    </row>
    <row r="13" spans="1:11" ht="13.5" thickTop="1" x14ac:dyDescent="0.2">
      <c r="A13" s="2244" t="s">
        <v>388</v>
      </c>
      <c r="B13" s="2245"/>
      <c r="C13" s="2245"/>
      <c r="D13" s="2245"/>
      <c r="E13" s="2246"/>
      <c r="F13" s="786"/>
      <c r="G13" s="787"/>
      <c r="H13" s="788"/>
      <c r="I13" s="789"/>
      <c r="J13" s="789"/>
      <c r="K13" s="789"/>
    </row>
    <row r="14" spans="1:11" x14ac:dyDescent="0.2">
      <c r="A14" s="2266" t="s">
        <v>476</v>
      </c>
      <c r="B14" s="2266"/>
      <c r="C14" s="2266"/>
      <c r="D14" s="2266"/>
      <c r="E14" s="2267"/>
      <c r="F14" s="790" t="s">
        <v>909</v>
      </c>
      <c r="G14" s="783"/>
      <c r="H14" s="765">
        <v>300151</v>
      </c>
      <c r="I14" s="772"/>
      <c r="J14" s="774"/>
      <c r="K14" s="766"/>
    </row>
    <row r="15" spans="1:11" x14ac:dyDescent="0.2">
      <c r="A15" s="2233" t="s">
        <v>4</v>
      </c>
      <c r="B15" s="2233"/>
      <c r="C15" s="2233"/>
      <c r="D15" s="2233"/>
      <c r="E15" s="2261"/>
      <c r="F15" s="790" t="s">
        <v>910</v>
      </c>
      <c r="G15" s="772"/>
      <c r="H15" s="765"/>
      <c r="I15" s="765"/>
      <c r="J15" s="766">
        <v>200774</v>
      </c>
      <c r="K15" s="766"/>
    </row>
    <row r="16" spans="1:11" x14ac:dyDescent="0.2">
      <c r="A16" s="2233" t="s">
        <v>316</v>
      </c>
      <c r="B16" s="2233"/>
      <c r="C16" s="2233"/>
      <c r="D16" s="2233"/>
      <c r="E16" s="2261"/>
      <c r="F16" s="790" t="s">
        <v>980</v>
      </c>
      <c r="G16" s="773"/>
      <c r="H16" s="768"/>
      <c r="I16" s="768"/>
      <c r="J16" s="770"/>
      <c r="K16" s="770"/>
    </row>
    <row r="17" spans="1:11" x14ac:dyDescent="0.2">
      <c r="A17" s="2255" t="s">
        <v>992</v>
      </c>
      <c r="B17" s="2255"/>
      <c r="C17" s="2255"/>
      <c r="D17" s="2255"/>
      <c r="E17" s="2256"/>
      <c r="F17" s="791"/>
      <c r="G17" s="792"/>
      <c r="H17" s="793"/>
      <c r="I17" s="793"/>
      <c r="J17" s="794"/>
      <c r="K17" s="795"/>
    </row>
    <row r="18" spans="1:11" x14ac:dyDescent="0.2">
      <c r="A18" s="2247" t="s">
        <v>386</v>
      </c>
      <c r="B18" s="2248"/>
      <c r="C18" s="2248"/>
      <c r="D18" s="2248"/>
      <c r="E18" s="2249"/>
      <c r="F18" s="790" t="s">
        <v>989</v>
      </c>
      <c r="G18" s="783"/>
      <c r="H18" s="783"/>
      <c r="I18" s="783"/>
      <c r="J18" s="766">
        <v>1072969</v>
      </c>
      <c r="K18" s="796"/>
    </row>
    <row r="19" spans="1:11" ht="21.75" customHeight="1" x14ac:dyDescent="0.2">
      <c r="A19" s="2268" t="s">
        <v>1914</v>
      </c>
      <c r="B19" s="2268"/>
      <c r="C19" s="2268"/>
      <c r="D19" s="2268"/>
      <c r="E19" s="2269"/>
      <c r="F19" s="790" t="s">
        <v>990</v>
      </c>
      <c r="G19" s="783"/>
      <c r="H19" s="783"/>
      <c r="I19" s="783"/>
      <c r="J19" s="766"/>
      <c r="K19" s="796"/>
    </row>
    <row r="20" spans="1:11" x14ac:dyDescent="0.2">
      <c r="A20" s="2247" t="s">
        <v>1919</v>
      </c>
      <c r="B20" s="2248"/>
      <c r="C20" s="2248"/>
      <c r="D20" s="2248"/>
      <c r="E20" s="2249"/>
      <c r="F20" s="790" t="s">
        <v>991</v>
      </c>
      <c r="G20" s="783"/>
      <c r="H20" s="783"/>
      <c r="I20" s="783"/>
      <c r="J20" s="766"/>
      <c r="K20" s="796"/>
    </row>
    <row r="21" spans="1:11" ht="13.5" thickBot="1" x14ac:dyDescent="0.25">
      <c r="A21" s="2253" t="s">
        <v>659</v>
      </c>
      <c r="B21" s="2253"/>
      <c r="C21" s="2253"/>
      <c r="D21" s="2253"/>
      <c r="E21" s="2253"/>
      <c r="F21" s="1781"/>
      <c r="G21" s="793"/>
      <c r="H21" s="797"/>
      <c r="I21" s="797"/>
      <c r="J21" s="1782">
        <f>SUM(J18:J20)</f>
        <v>1072969</v>
      </c>
      <c r="K21" s="794"/>
    </row>
    <row r="22" spans="1:11" ht="13.5" thickTop="1" x14ac:dyDescent="0.2">
      <c r="A22" s="2233" t="s">
        <v>1920</v>
      </c>
      <c r="B22" s="2233"/>
      <c r="C22" s="2233"/>
      <c r="D22" s="2233"/>
      <c r="E22" s="2261"/>
      <c r="F22" s="790" t="s">
        <v>917</v>
      </c>
      <c r="G22" s="783"/>
      <c r="H22" s="765"/>
      <c r="I22" s="765"/>
      <c r="J22" s="798"/>
      <c r="K22" s="766"/>
    </row>
    <row r="23" spans="1:11" ht="13.5" thickBot="1" x14ac:dyDescent="0.25">
      <c r="A23" s="2254" t="s">
        <v>962</v>
      </c>
      <c r="B23" s="2253"/>
      <c r="C23" s="2253"/>
      <c r="D23" s="2253"/>
      <c r="E23" s="2253"/>
      <c r="F23" s="1783"/>
      <c r="G23" s="1780">
        <f>SUM(G14:G16,G21,G22)</f>
        <v>0</v>
      </c>
      <c r="H23" s="1780">
        <f>SUM(H14:H16,H21,H22)</f>
        <v>300151</v>
      </c>
      <c r="I23" s="1780">
        <f>SUM(I14:I16,I21,I22)</f>
        <v>0</v>
      </c>
      <c r="J23" s="1780">
        <f>SUM(J14:J16,J21,J22)</f>
        <v>1273743</v>
      </c>
      <c r="K23" s="1780">
        <f>SUM(K14:K16,K21,K22)</f>
        <v>0</v>
      </c>
    </row>
    <row r="24" spans="1:11" ht="14.25" thickTop="1" thickBot="1" x14ac:dyDescent="0.25">
      <c r="A24" s="2254" t="s">
        <v>2022</v>
      </c>
      <c r="B24" s="2253"/>
      <c r="C24" s="2253"/>
      <c r="D24" s="2253"/>
      <c r="E24" s="2253"/>
      <c r="F24" s="1784"/>
      <c r="G24" s="1785">
        <f>SUM(G3,G12)-G23</f>
        <v>0</v>
      </c>
      <c r="H24" s="1785">
        <f>SUM(H3,H12)-H23</f>
        <v>0</v>
      </c>
      <c r="I24" s="1785">
        <f>SUM(I3,I12)-I23</f>
        <v>0</v>
      </c>
      <c r="J24" s="1785">
        <f>SUM(J3,J12)-J23</f>
        <v>0</v>
      </c>
      <c r="K24" s="1785">
        <f>SUM(K3,K12)-K23</f>
        <v>0</v>
      </c>
    </row>
    <row r="25" spans="1:11" ht="13.5" thickTop="1" x14ac:dyDescent="0.2">
      <c r="A25" s="799" t="s">
        <v>440</v>
      </c>
      <c r="B25" s="800"/>
      <c r="C25" s="800"/>
      <c r="D25" s="800"/>
      <c r="E25" s="801"/>
      <c r="F25" s="802">
        <v>714</v>
      </c>
      <c r="G25" s="803"/>
      <c r="H25" s="803"/>
      <c r="I25" s="803"/>
      <c r="J25" s="798"/>
      <c r="K25" s="798"/>
    </row>
    <row r="26" spans="1:11" ht="13.5" thickBot="1" x14ac:dyDescent="0.25">
      <c r="A26" s="799" t="s">
        <v>360</v>
      </c>
      <c r="B26" s="800"/>
      <c r="C26" s="800"/>
      <c r="D26" s="800"/>
      <c r="E26" s="801"/>
      <c r="F26" s="802">
        <v>730</v>
      </c>
      <c r="G26" s="1780">
        <f>G24-G25</f>
        <v>0</v>
      </c>
      <c r="H26" s="1780">
        <f>H24-H25</f>
        <v>0</v>
      </c>
      <c r="I26" s="1780">
        <f>I24-I25</f>
        <v>0</v>
      </c>
      <c r="J26" s="1780">
        <f>J24-J25</f>
        <v>0</v>
      </c>
      <c r="K26" s="1780">
        <f>K24-K25</f>
        <v>0</v>
      </c>
    </row>
    <row r="27" spans="1:11" ht="5.25" customHeight="1" thickTop="1" x14ac:dyDescent="0.2">
      <c r="I27" s="202"/>
      <c r="J27" s="202"/>
    </row>
    <row r="28" spans="1:11" ht="29.25" customHeight="1" x14ac:dyDescent="0.2">
      <c r="A28" s="1905" t="s">
        <v>2032</v>
      </c>
      <c r="B28" s="1906"/>
      <c r="C28" s="1906"/>
      <c r="D28" s="1906"/>
      <c r="E28" s="1907"/>
      <c r="F28" s="804"/>
      <c r="G28" s="805"/>
    </row>
    <row r="29" spans="1:11" x14ac:dyDescent="0.2">
      <c r="B29" s="501"/>
      <c r="C29" s="501"/>
      <c r="D29" s="501"/>
      <c r="F29" s="202"/>
      <c r="G29" s="806"/>
    </row>
    <row r="30" spans="1:11" x14ac:dyDescent="0.2">
      <c r="A30" s="807" t="s">
        <v>593</v>
      </c>
      <c r="B30" s="808"/>
      <c r="C30" s="807" t="s">
        <v>401</v>
      </c>
      <c r="D30" s="808"/>
      <c r="E30" s="809" t="s">
        <v>792</v>
      </c>
      <c r="F30" s="202"/>
      <c r="G30" s="806"/>
    </row>
    <row r="31" spans="1:11" x14ac:dyDescent="0.2">
      <c r="A31" s="810"/>
      <c r="D31" s="237"/>
      <c r="E31" s="811" t="s">
        <v>793</v>
      </c>
      <c r="F31" s="812" t="s">
        <v>560</v>
      </c>
      <c r="G31" s="765"/>
      <c r="H31" s="2263"/>
      <c r="I31" s="2264"/>
      <c r="J31" s="2264"/>
      <c r="K31" s="2264"/>
    </row>
    <row r="32" spans="1:11" x14ac:dyDescent="0.2">
      <c r="A32" s="810"/>
      <c r="B32" s="237"/>
      <c r="C32" s="237"/>
      <c r="D32" s="237"/>
      <c r="E32" s="806"/>
      <c r="F32" s="812" t="s">
        <v>561</v>
      </c>
      <c r="G32" s="765"/>
      <c r="H32" s="2265"/>
      <c r="I32" s="2264"/>
      <c r="J32" s="2264"/>
      <c r="K32" s="2264"/>
    </row>
    <row r="33" spans="1:11" ht="1.5" customHeight="1" x14ac:dyDescent="0.2">
      <c r="A33" s="813" t="s">
        <v>1231</v>
      </c>
      <c r="B33" s="364"/>
      <c r="C33" s="364"/>
      <c r="D33" s="364"/>
      <c r="E33" s="364"/>
      <c r="F33" s="364"/>
      <c r="G33" s="814"/>
      <c r="H33" s="2265"/>
      <c r="I33" s="2264"/>
      <c r="J33" s="2264"/>
      <c r="K33" s="2264"/>
    </row>
    <row r="34" spans="1:11" x14ac:dyDescent="0.2">
      <c r="A34" s="815" t="s">
        <v>1921</v>
      </c>
      <c r="B34" s="364"/>
      <c r="C34" s="364"/>
      <c r="D34" s="364"/>
      <c r="E34" s="364"/>
      <c r="F34" s="364"/>
      <c r="G34" s="814"/>
    </row>
    <row r="35" spans="1:11" ht="15" x14ac:dyDescent="0.2">
      <c r="A35" s="826" t="s">
        <v>963</v>
      </c>
      <c r="B35" s="816"/>
      <c r="C35" s="816"/>
      <c r="D35" s="816"/>
      <c r="E35" s="816"/>
      <c r="F35" s="816"/>
      <c r="G35" s="817"/>
      <c r="H35" s="818"/>
    </row>
    <row r="36" spans="1:11" x14ac:dyDescent="0.2">
      <c r="A36" s="779" t="s">
        <v>1171</v>
      </c>
      <c r="B36" s="819"/>
      <c r="C36" s="819"/>
      <c r="D36" s="819"/>
      <c r="E36" s="819"/>
      <c r="F36" s="820"/>
      <c r="G36" s="766"/>
    </row>
    <row r="37" spans="1:11" x14ac:dyDescent="0.2">
      <c r="A37" s="821" t="s">
        <v>952</v>
      </c>
      <c r="B37" s="819"/>
      <c r="C37" s="819"/>
      <c r="D37" s="819"/>
      <c r="E37" s="819"/>
      <c r="F37" s="820"/>
      <c r="G37" s="766"/>
    </row>
    <row r="38" spans="1:11" x14ac:dyDescent="0.2">
      <c r="A38" s="821" t="s">
        <v>1050</v>
      </c>
      <c r="B38" s="819"/>
      <c r="C38" s="819"/>
      <c r="D38" s="819"/>
      <c r="E38" s="819"/>
      <c r="F38" s="820"/>
      <c r="G38" s="766"/>
    </row>
    <row r="39" spans="1:11" x14ac:dyDescent="0.2">
      <c r="A39" s="821" t="s">
        <v>1051</v>
      </c>
      <c r="B39" s="819"/>
      <c r="C39" s="819"/>
      <c r="D39" s="819"/>
      <c r="E39" s="819"/>
      <c r="F39" s="820"/>
      <c r="G39" s="766"/>
    </row>
    <row r="40" spans="1:11" x14ac:dyDescent="0.2">
      <c r="A40" s="821" t="s">
        <v>1052</v>
      </c>
      <c r="B40" s="819"/>
      <c r="C40" s="819"/>
      <c r="D40" s="819"/>
      <c r="E40" s="819"/>
      <c r="F40" s="820"/>
      <c r="G40" s="766"/>
    </row>
    <row r="41" spans="1:11" x14ac:dyDescent="0.2">
      <c r="A41" s="2233" t="s">
        <v>562</v>
      </c>
      <c r="B41" s="2234"/>
      <c r="C41" s="2234"/>
      <c r="D41" s="2234"/>
      <c r="E41" s="2234"/>
      <c r="F41" s="2235"/>
      <c r="G41" s="766"/>
    </row>
    <row r="42" spans="1:11" x14ac:dyDescent="0.2">
      <c r="A42" s="821" t="s">
        <v>1027</v>
      </c>
      <c r="B42" s="819"/>
      <c r="C42" s="819"/>
      <c r="D42" s="819"/>
      <c r="E42" s="819"/>
      <c r="F42" s="820"/>
      <c r="G42" s="766"/>
    </row>
    <row r="43" spans="1:11" x14ac:dyDescent="0.2">
      <c r="A43" s="821" t="s">
        <v>1028</v>
      </c>
      <c r="B43" s="819"/>
      <c r="C43" s="819"/>
      <c r="D43" s="819"/>
      <c r="E43" s="819"/>
      <c r="F43" s="820"/>
      <c r="G43" s="766"/>
    </row>
    <row r="44" spans="1:11" x14ac:dyDescent="0.2">
      <c r="A44" s="821" t="s">
        <v>1029</v>
      </c>
      <c r="B44" s="819"/>
      <c r="C44" s="819"/>
      <c r="D44" s="819"/>
      <c r="E44" s="819"/>
      <c r="F44" s="820"/>
      <c r="G44" s="766"/>
    </row>
    <row r="45" spans="1:11" ht="6.75" customHeight="1" x14ac:dyDescent="0.2"/>
    <row r="46" spans="1:11" ht="15" x14ac:dyDescent="0.2">
      <c r="A46" s="1553" t="s">
        <v>1915</v>
      </c>
      <c r="B46" s="408" t="s">
        <v>1774</v>
      </c>
    </row>
    <row r="47" spans="1:11" s="824" customFormat="1" ht="12.75" customHeight="1" x14ac:dyDescent="0.2">
      <c r="A47" s="822"/>
      <c r="B47" s="823" t="s">
        <v>1775</v>
      </c>
      <c r="E47" s="823"/>
      <c r="K47" s="825"/>
    </row>
    <row r="48" spans="1:11" ht="12.75" customHeight="1" x14ac:dyDescent="0.2">
      <c r="A48" s="1554" t="s">
        <v>1916</v>
      </c>
      <c r="B48" s="408" t="s">
        <v>981</v>
      </c>
    </row>
  </sheetData>
  <sheetProtection algorithmName="SHA-512" hashValue="g0OnclEqfYI1pGyPL+NnnCp4pBte2d90XF0hURPmnBifUSaHQEXHioZAWWAQyuOR/wfu/Jiiuu1vdtbG+2DeWA==" saltValue="jtrivQuvpHoYAadijOBfyg==" spinCount="100000" sheet="1" objects="1" scenarios="1"/>
  <mergeCells count="22">
    <mergeCell ref="A1:G1"/>
    <mergeCell ref="A5:E5"/>
    <mergeCell ref="A11:E11"/>
    <mergeCell ref="A10:E10"/>
    <mergeCell ref="H31:K33"/>
    <mergeCell ref="A14:E14"/>
    <mergeCell ref="A15:E15"/>
    <mergeCell ref="A16:E16"/>
    <mergeCell ref="A22:E22"/>
    <mergeCell ref="A19:E19"/>
    <mergeCell ref="A20:E20"/>
    <mergeCell ref="A41:F41"/>
    <mergeCell ref="A2:E2"/>
    <mergeCell ref="A3:E3"/>
    <mergeCell ref="A4:E4"/>
    <mergeCell ref="A13:E13"/>
    <mergeCell ref="A18:E18"/>
    <mergeCell ref="A12:E12"/>
    <mergeCell ref="A21:E21"/>
    <mergeCell ref="A23:E23"/>
    <mergeCell ref="A24:E24"/>
    <mergeCell ref="A17:E17"/>
  </mergeCells>
  <phoneticPr fontId="13"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27"/>
  <sheetViews>
    <sheetView showGridLines="0" defaultGridColor="0" colorId="8" zoomScale="110" zoomScaleNormal="110" workbookViewId="0">
      <selection sqref="A1:C1"/>
    </sheetView>
  </sheetViews>
  <sheetFormatPr defaultColWidth="9.140625" defaultRowHeight="12.75" x14ac:dyDescent="0.2"/>
  <cols>
    <col min="1" max="1" width="28.85546875" style="809"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272" t="s">
        <v>2031</v>
      </c>
      <c r="B1" s="2273"/>
      <c r="C1" s="2274"/>
      <c r="D1" s="827"/>
      <c r="E1" s="828"/>
      <c r="F1" s="828"/>
      <c r="G1" s="829"/>
      <c r="H1" s="830"/>
      <c r="I1" s="831"/>
      <c r="J1" s="2270"/>
      <c r="K1" s="2271"/>
      <c r="L1" s="2271"/>
    </row>
    <row r="2" spans="1:14" ht="69.75" customHeight="1" x14ac:dyDescent="0.2">
      <c r="A2" s="832" t="s">
        <v>1777</v>
      </c>
      <c r="B2" s="833" t="s">
        <v>396</v>
      </c>
      <c r="C2" s="834" t="s">
        <v>2026</v>
      </c>
      <c r="D2" s="834" t="s">
        <v>2023</v>
      </c>
      <c r="E2" s="834" t="s">
        <v>2024</v>
      </c>
      <c r="F2" s="834" t="s">
        <v>2025</v>
      </c>
      <c r="G2" s="834" t="s">
        <v>626</v>
      </c>
      <c r="H2" s="834" t="s">
        <v>2027</v>
      </c>
      <c r="I2" s="834" t="s">
        <v>2028</v>
      </c>
      <c r="J2" s="834" t="s">
        <v>2043</v>
      </c>
      <c r="K2" s="834" t="s">
        <v>2029</v>
      </c>
      <c r="L2" s="834" t="s">
        <v>2030</v>
      </c>
      <c r="M2" s="835"/>
      <c r="N2" s="835"/>
    </row>
    <row r="3" spans="1:14" ht="13.5" thickBot="1" x14ac:dyDescent="0.25">
      <c r="A3" s="1651" t="s">
        <v>948</v>
      </c>
      <c r="B3" s="1652">
        <v>210</v>
      </c>
      <c r="C3" s="836"/>
      <c r="D3" s="836"/>
      <c r="E3" s="836"/>
      <c r="F3" s="1782">
        <f>(C3+D3)-E3</f>
        <v>0</v>
      </c>
      <c r="G3" s="837"/>
      <c r="H3" s="836"/>
      <c r="I3" s="836"/>
      <c r="J3" s="836"/>
      <c r="K3" s="1791">
        <f>(H3+I3)-J3</f>
        <v>0</v>
      </c>
      <c r="L3" s="1791">
        <f>F3-K3</f>
        <v>0</v>
      </c>
      <c r="M3" s="835"/>
      <c r="N3" s="835"/>
    </row>
    <row r="4" spans="1:14" ht="15" customHeight="1" thickTop="1" x14ac:dyDescent="0.2">
      <c r="A4" s="1653" t="s">
        <v>160</v>
      </c>
      <c r="B4" s="1652">
        <v>220</v>
      </c>
      <c r="C4" s="782"/>
      <c r="D4" s="782"/>
      <c r="E4" s="782"/>
      <c r="F4" s="774"/>
      <c r="G4" s="838"/>
      <c r="H4" s="839"/>
      <c r="I4" s="839"/>
      <c r="J4" s="839"/>
      <c r="K4" s="840"/>
      <c r="L4" s="774"/>
    </row>
    <row r="5" spans="1:14" ht="13.5" thickBot="1" x14ac:dyDescent="0.25">
      <c r="A5" s="779" t="s">
        <v>949</v>
      </c>
      <c r="B5" s="841">
        <v>221</v>
      </c>
      <c r="C5" s="842">
        <v>100231</v>
      </c>
      <c r="D5" s="842"/>
      <c r="E5" s="842"/>
      <c r="F5" s="1782">
        <f>(C5+D5)-E5</f>
        <v>100231</v>
      </c>
      <c r="G5" s="838"/>
      <c r="H5" s="843"/>
      <c r="I5" s="843"/>
      <c r="J5" s="843"/>
      <c r="K5" s="794"/>
      <c r="L5" s="1791">
        <f>F5-K5</f>
        <v>100231</v>
      </c>
    </row>
    <row r="6" spans="1:14" ht="14.25" thickTop="1" thickBot="1" x14ac:dyDescent="0.25">
      <c r="A6" s="779" t="s">
        <v>1179</v>
      </c>
      <c r="B6" s="841">
        <v>222</v>
      </c>
      <c r="C6" s="766"/>
      <c r="D6" s="766"/>
      <c r="E6" s="766"/>
      <c r="F6" s="1782">
        <f>(C6+D6)-E6</f>
        <v>0</v>
      </c>
      <c r="G6" s="838">
        <v>50</v>
      </c>
      <c r="H6" s="766"/>
      <c r="I6" s="766"/>
      <c r="J6" s="766"/>
      <c r="K6" s="1791">
        <f>(H6+I6)-J6</f>
        <v>0</v>
      </c>
      <c r="L6" s="1791">
        <f>F6-K6</f>
        <v>0</v>
      </c>
    </row>
    <row r="7" spans="1:14" ht="15" customHeight="1" thickTop="1" x14ac:dyDescent="0.2">
      <c r="A7" s="1653" t="s">
        <v>161</v>
      </c>
      <c r="B7" s="1652">
        <v>230</v>
      </c>
      <c r="C7" s="782"/>
      <c r="D7" s="782"/>
      <c r="E7" s="782"/>
      <c r="F7" s="774"/>
      <c r="G7" s="844"/>
      <c r="H7" s="782"/>
      <c r="I7" s="782"/>
      <c r="J7" s="782"/>
      <c r="K7" s="774"/>
      <c r="L7" s="774"/>
    </row>
    <row r="8" spans="1:14" ht="13.5" thickBot="1" x14ac:dyDescent="0.25">
      <c r="A8" s="779" t="s">
        <v>1180</v>
      </c>
      <c r="B8" s="841">
        <v>231</v>
      </c>
      <c r="C8" s="845">
        <v>29176738</v>
      </c>
      <c r="D8" s="845">
        <v>3098244</v>
      </c>
      <c r="E8" s="845"/>
      <c r="F8" s="1782">
        <f>(C8+D8)-E8</f>
        <v>32274982</v>
      </c>
      <c r="G8" s="844">
        <v>50</v>
      </c>
      <c r="H8" s="766">
        <v>10530718</v>
      </c>
      <c r="I8" s="766">
        <v>1424500</v>
      </c>
      <c r="J8" s="766"/>
      <c r="K8" s="1791">
        <f>(H8+I8)-J8</f>
        <v>11955218</v>
      </c>
      <c r="L8" s="1791">
        <f>F8-K8</f>
        <v>20319764</v>
      </c>
    </row>
    <row r="9" spans="1:14" ht="14.25" thickTop="1" thickBot="1" x14ac:dyDescent="0.25">
      <c r="A9" s="779" t="s">
        <v>1181</v>
      </c>
      <c r="B9" s="841">
        <v>232</v>
      </c>
      <c r="C9" s="766"/>
      <c r="D9" s="766"/>
      <c r="E9" s="766"/>
      <c r="F9" s="1782">
        <f>(C9+D9)-E9</f>
        <v>0</v>
      </c>
      <c r="G9" s="844">
        <v>20</v>
      </c>
      <c r="H9" s="766"/>
      <c r="I9" s="766"/>
      <c r="J9" s="766"/>
      <c r="K9" s="1791">
        <f>(H9+I9)-J9</f>
        <v>0</v>
      </c>
      <c r="L9" s="1791">
        <f>F9-K9</f>
        <v>0</v>
      </c>
    </row>
    <row r="10" spans="1:14" ht="24" thickTop="1" thickBot="1" x14ac:dyDescent="0.25">
      <c r="A10" s="846" t="s">
        <v>1182</v>
      </c>
      <c r="B10" s="841">
        <v>240</v>
      </c>
      <c r="C10" s="847">
        <v>720198</v>
      </c>
      <c r="D10" s="847"/>
      <c r="E10" s="847"/>
      <c r="F10" s="1786">
        <f>(C10+D10)-E10</f>
        <v>720198</v>
      </c>
      <c r="G10" s="844">
        <v>20</v>
      </c>
      <c r="H10" s="848">
        <v>342150</v>
      </c>
      <c r="I10" s="848">
        <v>35058</v>
      </c>
      <c r="J10" s="848"/>
      <c r="K10" s="1791">
        <f>(H10+I10)-J10</f>
        <v>377208</v>
      </c>
      <c r="L10" s="1791">
        <f>F10-K10</f>
        <v>342990</v>
      </c>
    </row>
    <row r="11" spans="1:14" ht="13.5" thickTop="1" x14ac:dyDescent="0.2">
      <c r="A11" s="1654" t="s">
        <v>1198</v>
      </c>
      <c r="B11" s="1652">
        <v>250</v>
      </c>
      <c r="C11" s="782"/>
      <c r="D11" s="782"/>
      <c r="E11" s="782"/>
      <c r="F11" s="774"/>
      <c r="G11" s="844"/>
      <c r="H11" s="782"/>
      <c r="I11" s="782"/>
      <c r="J11" s="782"/>
      <c r="K11" s="774"/>
      <c r="L11" s="774"/>
    </row>
    <row r="12" spans="1:14" ht="13.5" thickBot="1" x14ac:dyDescent="0.25">
      <c r="A12" s="849" t="s">
        <v>1183</v>
      </c>
      <c r="B12" s="841">
        <v>251</v>
      </c>
      <c r="C12" s="845">
        <v>3978146</v>
      </c>
      <c r="D12" s="845">
        <v>154541</v>
      </c>
      <c r="E12" s="845"/>
      <c r="F12" s="1782">
        <f>(C12+D12)-E12</f>
        <v>4132687</v>
      </c>
      <c r="G12" s="844">
        <v>10</v>
      </c>
      <c r="H12" s="766">
        <v>3057036</v>
      </c>
      <c r="I12" s="766">
        <v>291890</v>
      </c>
      <c r="J12" s="766"/>
      <c r="K12" s="1791">
        <f>(H12+I12)-J12</f>
        <v>3348926</v>
      </c>
      <c r="L12" s="1791">
        <f>F12-K12</f>
        <v>783761</v>
      </c>
    </row>
    <row r="13" spans="1:14" ht="14.25" thickTop="1" thickBot="1" x14ac:dyDescent="0.25">
      <c r="A13" s="849" t="s">
        <v>1184</v>
      </c>
      <c r="B13" s="841">
        <v>252</v>
      </c>
      <c r="C13" s="845">
        <v>1799</v>
      </c>
      <c r="D13" s="845"/>
      <c r="E13" s="845"/>
      <c r="F13" s="1782">
        <f>(C13+D13)-E13</f>
        <v>1799</v>
      </c>
      <c r="G13" s="844">
        <v>5</v>
      </c>
      <c r="H13" s="766">
        <v>1799</v>
      </c>
      <c r="I13" s="766"/>
      <c r="J13" s="766"/>
      <c r="K13" s="1791">
        <f>(H13+I13)-J13</f>
        <v>1799</v>
      </c>
      <c r="L13" s="1791">
        <f>F13-K13</f>
        <v>0</v>
      </c>
    </row>
    <row r="14" spans="1:14" ht="14.25" thickTop="1" thickBot="1" x14ac:dyDescent="0.25">
      <c r="A14" s="849" t="s">
        <v>1185</v>
      </c>
      <c r="B14" s="841">
        <v>253</v>
      </c>
      <c r="C14" s="766"/>
      <c r="D14" s="766"/>
      <c r="E14" s="766"/>
      <c r="F14" s="1782">
        <f>(C14+D14)-E14</f>
        <v>0</v>
      </c>
      <c r="G14" s="844">
        <v>3</v>
      </c>
      <c r="H14" s="766"/>
      <c r="I14" s="766"/>
      <c r="J14" s="766"/>
      <c r="K14" s="1791">
        <f>(H14+I14)-J14</f>
        <v>0</v>
      </c>
      <c r="L14" s="1791">
        <f>F14-K14</f>
        <v>0</v>
      </c>
    </row>
    <row r="15" spans="1:14" ht="15" customHeight="1" thickTop="1" thickBot="1" x14ac:dyDescent="0.25">
      <c r="A15" s="1653" t="s">
        <v>549</v>
      </c>
      <c r="B15" s="1652">
        <v>260</v>
      </c>
      <c r="C15" s="845">
        <v>20252</v>
      </c>
      <c r="D15" s="845"/>
      <c r="E15" s="845">
        <v>20252</v>
      </c>
      <c r="F15" s="1782">
        <f>(C15+D15)-E15</f>
        <v>0</v>
      </c>
      <c r="G15" s="850" t="s">
        <v>917</v>
      </c>
      <c r="H15" s="782"/>
      <c r="I15" s="782"/>
      <c r="J15" s="782"/>
      <c r="K15" s="782"/>
      <c r="L15" s="1791">
        <f>F15-K15</f>
        <v>0</v>
      </c>
    </row>
    <row r="16" spans="1:14" ht="15" customHeight="1" thickTop="1" thickBot="1" x14ac:dyDescent="0.25">
      <c r="A16" s="1787" t="s">
        <v>664</v>
      </c>
      <c r="B16" s="1788">
        <v>200</v>
      </c>
      <c r="C16" s="1782">
        <f>SUM(C3,C5:C6,C8:C10,C12:C15)</f>
        <v>33997364</v>
      </c>
      <c r="D16" s="1782">
        <f>SUM(D3,D5:D6,D8:D10,D12:D15)</f>
        <v>3252785</v>
      </c>
      <c r="E16" s="1782">
        <f>SUM(E3,E5:E6,E8:E10,E12:E15)</f>
        <v>20252</v>
      </c>
      <c r="F16" s="1782">
        <f>SUM(F3,F5:F6,F8:F10,F12:F15)</f>
        <v>37229897</v>
      </c>
      <c r="G16" s="844"/>
      <c r="H16" s="1782">
        <f>SUM(H3,H6,H8:H10,H12:H14,)</f>
        <v>13931703</v>
      </c>
      <c r="I16" s="1782">
        <f>SUM(I3,I6,I8:I10,I12:I14,)</f>
        <v>1751448</v>
      </c>
      <c r="J16" s="1782">
        <f>SUM(J3,J6,J8:J10,J12:J14,)</f>
        <v>0</v>
      </c>
      <c r="K16" s="1782">
        <f>(H16+I16)-J16</f>
        <v>15683151</v>
      </c>
      <c r="L16" s="1782">
        <f>F16-K16</f>
        <v>21546746</v>
      </c>
    </row>
    <row r="17" spans="1:12" ht="15" customHeight="1" thickTop="1" thickBot="1" x14ac:dyDescent="0.25">
      <c r="A17" s="1655" t="s">
        <v>309</v>
      </c>
      <c r="B17" s="1652">
        <v>700</v>
      </c>
      <c r="C17" s="770"/>
      <c r="D17" s="770"/>
      <c r="E17" s="770"/>
      <c r="F17" s="1782">
        <f>SUM('Expenditures 15-22'!I114,'Expenditures 15-22'!I151,'Expenditures 15-22'!I210,'Expenditures 15-22'!I312,'Expenditures 15-22'!I342,'Expenditures 15-22'!I367)</f>
        <v>0</v>
      </c>
      <c r="G17" s="838">
        <v>10</v>
      </c>
      <c r="H17" s="770"/>
      <c r="I17" s="1791">
        <f>F17/G17</f>
        <v>0</v>
      </c>
      <c r="J17" s="770"/>
      <c r="K17" s="796"/>
      <c r="L17" s="796"/>
    </row>
    <row r="18" spans="1:12" ht="14.25" thickTop="1" thickBot="1" x14ac:dyDescent="0.25">
      <c r="A18" s="1789" t="s">
        <v>706</v>
      </c>
      <c r="B18" s="1790"/>
      <c r="C18" s="772"/>
      <c r="D18" s="772"/>
      <c r="E18" s="772"/>
      <c r="F18" s="851"/>
      <c r="G18" s="852"/>
      <c r="H18" s="774"/>
      <c r="I18" s="1782">
        <f>SUM(I16,I17)</f>
        <v>1751448</v>
      </c>
      <c r="J18" s="774"/>
      <c r="K18" s="774"/>
      <c r="L18" s="774"/>
    </row>
    <row r="19" spans="1:12" ht="12" customHeight="1" thickTop="1" x14ac:dyDescent="0.2">
      <c r="F19" s="503"/>
      <c r="L19" s="503"/>
    </row>
    <row r="20" spans="1:12" ht="12" customHeight="1" x14ac:dyDescent="0.2">
      <c r="A20" s="853"/>
      <c r="B20" s="501"/>
      <c r="F20" s="503"/>
      <c r="L20" s="503"/>
    </row>
    <row r="21" spans="1:12" ht="12" customHeight="1" x14ac:dyDescent="0.2">
      <c r="B21" s="501"/>
      <c r="F21" s="503"/>
      <c r="L21" s="503"/>
    </row>
    <row r="22" spans="1:12" ht="12" customHeight="1" x14ac:dyDescent="0.2">
      <c r="B22" s="501"/>
      <c r="F22" s="503"/>
      <c r="L22" s="503"/>
    </row>
    <row r="23" spans="1:12" ht="12" customHeight="1" x14ac:dyDescent="0.2">
      <c r="A23" s="854"/>
      <c r="B23" s="501"/>
      <c r="F23" s="503"/>
      <c r="L23" s="503"/>
    </row>
    <row r="24" spans="1:12" ht="12" customHeight="1" x14ac:dyDescent="0.2">
      <c r="B24" s="501"/>
      <c r="F24" s="503"/>
      <c r="L24" s="503"/>
    </row>
    <row r="25" spans="1:12" x14ac:dyDescent="0.2">
      <c r="F25" s="503"/>
      <c r="L25" s="503"/>
    </row>
    <row r="26" spans="1:12" ht="10.9" customHeight="1" x14ac:dyDescent="0.2">
      <c r="A26" s="855"/>
      <c r="B26" s="247"/>
      <c r="D26" s="347"/>
    </row>
    <row r="27" spans="1:12" x14ac:dyDescent="0.2">
      <c r="A27" s="855"/>
      <c r="B27" s="247"/>
      <c r="D27" s="347"/>
    </row>
  </sheetData>
  <sheetProtection algorithmName="SHA-512" hashValue="xZ2szsCmXf5MRA5xjsAiZVj4XdIOktGZmv6+YnkDyXkVzDFKrDztzJk6hCvs3tIOe5VQ4NXwQenkoDqRIZAe1g==" saltValue="5ODqHlfbFjdT6ylUEyOkdA==" spinCount="100000" sheet="1" objects="1" scenarios="1"/>
  <mergeCells count="2">
    <mergeCell ref="J1:L1"/>
    <mergeCell ref="A1:C1"/>
  </mergeCells>
  <phoneticPr fontId="13"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H206"/>
  <sheetViews>
    <sheetView showGridLines="0" defaultGridColor="0" colorId="8" zoomScale="110" zoomScaleNormal="110" workbookViewId="0">
      <pane ySplit="5" topLeftCell="A6" activePane="bottomLeft" state="frozen"/>
      <selection pane="bottomLeft" sqref="A1:F1"/>
    </sheetView>
  </sheetViews>
  <sheetFormatPr defaultColWidth="8.7109375" defaultRowHeight="11.25" x14ac:dyDescent="0.2"/>
  <cols>
    <col min="1" max="1" width="22.140625" style="857" customWidth="1"/>
    <col min="2" max="2" width="31.85546875" style="857" customWidth="1"/>
    <col min="3" max="3" width="6.7109375" style="864" customWidth="1"/>
    <col min="4" max="4" width="55.7109375" style="857" customWidth="1"/>
    <col min="5" max="5" width="3.140625" style="864" customWidth="1"/>
    <col min="6" max="6" width="17.42578125" style="857" customWidth="1"/>
    <col min="7" max="7" width="0.85546875" style="857" customWidth="1"/>
    <col min="8" max="8" width="2.28515625" style="857" customWidth="1"/>
    <col min="9" max="16384" width="8.7109375" style="857"/>
  </cols>
  <sheetData>
    <row r="1" spans="1:7" ht="19.5" customHeight="1" thickTop="1" x14ac:dyDescent="0.2">
      <c r="A1" s="2278" t="s">
        <v>1699</v>
      </c>
      <c r="B1" s="2279"/>
      <c r="C1" s="2279"/>
      <c r="D1" s="2279"/>
      <c r="E1" s="2279"/>
      <c r="F1" s="2280"/>
      <c r="G1" s="856"/>
    </row>
    <row r="2" spans="1:7" ht="15" customHeight="1" thickBot="1" x14ac:dyDescent="0.25">
      <c r="A2" s="2281" t="s">
        <v>498</v>
      </c>
      <c r="B2" s="2282"/>
      <c r="C2" s="2282"/>
      <c r="D2" s="2282"/>
      <c r="E2" s="2282"/>
      <c r="F2" s="2283"/>
      <c r="G2" s="858"/>
    </row>
    <row r="3" spans="1:7" ht="5.25" customHeight="1" thickTop="1" x14ac:dyDescent="0.2">
      <c r="A3" s="859"/>
      <c r="B3" s="860"/>
      <c r="C3" s="861"/>
      <c r="D3" s="860"/>
      <c r="E3" s="861"/>
      <c r="F3" s="860"/>
      <c r="G3" s="860"/>
    </row>
    <row r="4" spans="1:7" ht="12.2" customHeight="1" x14ac:dyDescent="0.2">
      <c r="A4" s="862" t="s">
        <v>1137</v>
      </c>
      <c r="B4" s="863" t="s">
        <v>117</v>
      </c>
      <c r="D4" s="865" t="s">
        <v>532</v>
      </c>
      <c r="F4" s="863" t="s">
        <v>920</v>
      </c>
    </row>
    <row r="5" spans="1:7" ht="7.5" customHeight="1" x14ac:dyDescent="0.2">
      <c r="A5" s="2284"/>
      <c r="B5" s="2285"/>
      <c r="C5" s="2285"/>
      <c r="D5" s="2285"/>
      <c r="E5" s="2285"/>
      <c r="F5" s="2285"/>
    </row>
    <row r="6" spans="1:7" ht="13.5" customHeight="1" thickBot="1" x14ac:dyDescent="0.25">
      <c r="A6" s="2275" t="s">
        <v>1166</v>
      </c>
      <c r="B6" s="2276"/>
      <c r="C6" s="2276"/>
      <c r="D6" s="2276"/>
      <c r="E6" s="2276"/>
      <c r="F6" s="2277"/>
      <c r="G6" s="866"/>
    </row>
    <row r="7" spans="1:7" s="866" customFormat="1" ht="12" thickTop="1" x14ac:dyDescent="0.2">
      <c r="A7" s="867" t="s">
        <v>523</v>
      </c>
      <c r="B7" s="868"/>
      <c r="C7" s="869"/>
      <c r="D7" s="868"/>
      <c r="E7" s="869"/>
      <c r="F7" s="868"/>
    </row>
    <row r="8" spans="1:7" x14ac:dyDescent="0.2">
      <c r="A8" s="870" t="s">
        <v>479</v>
      </c>
      <c r="B8" s="871" t="s">
        <v>1544</v>
      </c>
      <c r="C8" s="872"/>
      <c r="D8" s="870" t="s">
        <v>522</v>
      </c>
      <c r="E8" s="869" t="s">
        <v>1015</v>
      </c>
      <c r="F8" s="1934">
        <f>'Expenditures 15-22'!K114</f>
        <v>16757504</v>
      </c>
      <c r="G8" s="866"/>
    </row>
    <row r="9" spans="1:7" x14ac:dyDescent="0.2">
      <c r="A9" s="870" t="s">
        <v>480</v>
      </c>
      <c r="B9" s="871" t="s">
        <v>1986</v>
      </c>
      <c r="C9" s="872"/>
      <c r="D9" s="870" t="s">
        <v>522</v>
      </c>
      <c r="E9" s="869"/>
      <c r="F9" s="1935">
        <f>'Expenditures 15-22'!K151</f>
        <v>1248253</v>
      </c>
      <c r="G9" s="873"/>
    </row>
    <row r="10" spans="1:7" x14ac:dyDescent="0.2">
      <c r="A10" s="870" t="s">
        <v>520</v>
      </c>
      <c r="B10" s="871" t="s">
        <v>1987</v>
      </c>
      <c r="C10" s="872"/>
      <c r="D10" s="870" t="s">
        <v>522</v>
      </c>
      <c r="E10" s="869"/>
      <c r="F10" s="1935">
        <f>'Expenditures 15-22'!K174</f>
        <v>1904666</v>
      </c>
      <c r="G10" s="873"/>
    </row>
    <row r="11" spans="1:7" x14ac:dyDescent="0.2">
      <c r="A11" s="870" t="s">
        <v>481</v>
      </c>
      <c r="B11" s="871" t="s">
        <v>1988</v>
      </c>
      <c r="C11" s="872"/>
      <c r="D11" s="870" t="s">
        <v>522</v>
      </c>
      <c r="E11" s="869"/>
      <c r="F11" s="1935">
        <f>'Expenditures 15-22'!K210</f>
        <v>720351</v>
      </c>
      <c r="G11" s="873"/>
    </row>
    <row r="12" spans="1:7" x14ac:dyDescent="0.2">
      <c r="A12" s="870" t="s">
        <v>482</v>
      </c>
      <c r="B12" s="871" t="s">
        <v>1989</v>
      </c>
      <c r="C12" s="872"/>
      <c r="D12" s="870" t="s">
        <v>522</v>
      </c>
      <c r="E12" s="869"/>
      <c r="F12" s="1935">
        <f>'Expenditures 15-22'!K295</f>
        <v>582943</v>
      </c>
      <c r="G12" s="873"/>
    </row>
    <row r="13" spans="1:7" x14ac:dyDescent="0.2">
      <c r="A13" s="870" t="s">
        <v>108</v>
      </c>
      <c r="B13" s="871" t="s">
        <v>1990</v>
      </c>
      <c r="C13" s="872"/>
      <c r="D13" s="870" t="s">
        <v>522</v>
      </c>
      <c r="E13" s="869"/>
      <c r="F13" s="1935">
        <f>'Expenditures 15-22'!K342</f>
        <v>311755</v>
      </c>
      <c r="G13" s="874"/>
    </row>
    <row r="14" spans="1:7" ht="12" customHeight="1" thickBot="1" x14ac:dyDescent="0.25">
      <c r="A14" s="1792"/>
      <c r="B14" s="1793"/>
      <c r="C14" s="1794"/>
      <c r="D14" s="1795" t="s">
        <v>522</v>
      </c>
      <c r="E14" s="1796" t="s">
        <v>1015</v>
      </c>
      <c r="F14" s="1797">
        <f>SUM(F8:F13)</f>
        <v>21525472</v>
      </c>
      <c r="G14" s="866"/>
    </row>
    <row r="15" spans="1:7" ht="3.75" customHeight="1" thickTop="1" x14ac:dyDescent="0.2">
      <c r="A15" s="866"/>
      <c r="B15" s="866"/>
      <c r="C15" s="872"/>
      <c r="D15" s="866"/>
      <c r="E15" s="869"/>
      <c r="F15" s="866"/>
      <c r="G15" s="866"/>
    </row>
    <row r="16" spans="1:7" ht="12" customHeight="1" x14ac:dyDescent="0.2">
      <c r="A16" s="875" t="s">
        <v>533</v>
      </c>
      <c r="B16" s="231"/>
      <c r="C16" s="231"/>
      <c r="D16" s="868"/>
      <c r="E16" s="869"/>
      <c r="F16" s="868"/>
      <c r="G16" s="866"/>
    </row>
    <row r="17" spans="1:7" ht="4.5" customHeight="1" x14ac:dyDescent="0.2">
      <c r="A17" s="875"/>
      <c r="B17" s="231"/>
      <c r="C17" s="231"/>
      <c r="D17" s="868"/>
      <c r="E17" s="869"/>
      <c r="F17" s="868"/>
      <c r="G17" s="866"/>
    </row>
    <row r="18" spans="1:7" x14ac:dyDescent="0.2">
      <c r="A18" s="870" t="s">
        <v>481</v>
      </c>
      <c r="B18" s="871" t="s">
        <v>1068</v>
      </c>
      <c r="C18" s="876">
        <f>'Revenues 9-14'!B43</f>
        <v>1412</v>
      </c>
      <c r="D18" s="877" t="str">
        <f>'Revenues 9-14'!A43</f>
        <v>Regular - Transp Fees from Other Districts (In State)</v>
      </c>
      <c r="E18" s="869" t="s">
        <v>1015</v>
      </c>
      <c r="F18" s="1936">
        <f>'Revenues 9-14'!F43</f>
        <v>0</v>
      </c>
      <c r="G18" s="866"/>
    </row>
    <row r="19" spans="1:7" x14ac:dyDescent="0.2">
      <c r="A19" s="870" t="s">
        <v>481</v>
      </c>
      <c r="B19" s="871" t="s">
        <v>1069</v>
      </c>
      <c r="C19" s="878">
        <f>'Revenues 9-14'!B47</f>
        <v>1421</v>
      </c>
      <c r="D19" s="879" t="str">
        <f>'Revenues 9-14'!A47</f>
        <v>Summer Sch - Transp. Fees from Pupils or Parents (In State)</v>
      </c>
      <c r="E19" s="880"/>
      <c r="F19" s="1937">
        <f>'Revenues 9-14'!F47</f>
        <v>0</v>
      </c>
      <c r="G19" s="866"/>
    </row>
    <row r="20" spans="1:7" x14ac:dyDescent="0.2">
      <c r="A20" s="870" t="s">
        <v>481</v>
      </c>
      <c r="B20" s="871" t="s">
        <v>1070</v>
      </c>
      <c r="C20" s="876">
        <f>'Revenues 9-14'!B48</f>
        <v>1422</v>
      </c>
      <c r="D20" s="877" t="str">
        <f>'Revenues 9-14'!A48</f>
        <v>Summer Sch - Transp. Fees from Other Districts (In State)</v>
      </c>
      <c r="E20" s="869"/>
      <c r="F20" s="1938">
        <f>'Revenues 9-14'!F48</f>
        <v>0</v>
      </c>
      <c r="G20" s="866"/>
    </row>
    <row r="21" spans="1:7" x14ac:dyDescent="0.2">
      <c r="A21" s="870" t="s">
        <v>481</v>
      </c>
      <c r="B21" s="871" t="s">
        <v>1071</v>
      </c>
      <c r="C21" s="878">
        <f>'Revenues 9-14'!B49</f>
        <v>1423</v>
      </c>
      <c r="D21" s="877" t="str">
        <f>'Revenues 9-14'!A49</f>
        <v>Summer Sch - Transp. Fees from Other Sources (In State)</v>
      </c>
      <c r="E21" s="869"/>
      <c r="F21" s="1939">
        <f>'Revenues 9-14'!F49</f>
        <v>0</v>
      </c>
      <c r="G21" s="866"/>
    </row>
    <row r="22" spans="1:7" x14ac:dyDescent="0.2">
      <c r="A22" s="870" t="s">
        <v>481</v>
      </c>
      <c r="B22" s="871" t="s">
        <v>1072</v>
      </c>
      <c r="C22" s="878">
        <f>'Revenues 9-14'!B50</f>
        <v>1424</v>
      </c>
      <c r="D22" s="877" t="str">
        <f>'Revenues 9-14'!A50</f>
        <v>Summer Sch - Transp. Fees from Other Sources (Out of State)</v>
      </c>
      <c r="E22" s="869"/>
      <c r="F22" s="1939">
        <f>'Revenues 9-14'!F50</f>
        <v>0</v>
      </c>
      <c r="G22" s="866"/>
    </row>
    <row r="23" spans="1:7" x14ac:dyDescent="0.2">
      <c r="A23" s="870" t="s">
        <v>481</v>
      </c>
      <c r="B23" s="871" t="s">
        <v>1073</v>
      </c>
      <c r="C23" s="876">
        <f>'Revenues 9-14'!B52</f>
        <v>1432</v>
      </c>
      <c r="D23" s="877" t="str">
        <f>'Revenues 9-14'!A52</f>
        <v>CTE - Transp Fees from Other Districts (In State)</v>
      </c>
      <c r="E23" s="869"/>
      <c r="F23" s="1939">
        <f>'Revenues 9-14'!F52</f>
        <v>0</v>
      </c>
      <c r="G23" s="866"/>
    </row>
    <row r="24" spans="1:7" x14ac:dyDescent="0.2">
      <c r="A24" s="870" t="s">
        <v>481</v>
      </c>
      <c r="B24" s="871" t="s">
        <v>1074</v>
      </c>
      <c r="C24" s="876">
        <f>'Revenues 9-14'!B56</f>
        <v>1442</v>
      </c>
      <c r="D24" s="877" t="str">
        <f>'Revenues 9-14'!A56</f>
        <v>Special Ed - Transp Fees from Other Districts (In State)</v>
      </c>
      <c r="E24" s="869"/>
      <c r="F24" s="1939">
        <f>'Revenues 9-14'!F56</f>
        <v>0</v>
      </c>
      <c r="G24" s="866"/>
    </row>
    <row r="25" spans="1:7" x14ac:dyDescent="0.2">
      <c r="A25" s="870" t="s">
        <v>481</v>
      </c>
      <c r="B25" s="871" t="s">
        <v>1075</v>
      </c>
      <c r="C25" s="876">
        <f>'Revenues 9-14'!B59</f>
        <v>1451</v>
      </c>
      <c r="D25" s="877" t="str">
        <f>'Revenues 9-14'!A59</f>
        <v>Adult - Transp Fees from Pupils or Parents (In State)</v>
      </c>
      <c r="E25" s="869"/>
      <c r="F25" s="1939">
        <f>'Revenues 9-14'!F59</f>
        <v>0</v>
      </c>
      <c r="G25" s="866"/>
    </row>
    <row r="26" spans="1:7" x14ac:dyDescent="0.2">
      <c r="A26" s="870" t="s">
        <v>481</v>
      </c>
      <c r="B26" s="871" t="s">
        <v>1076</v>
      </c>
      <c r="C26" s="876">
        <f>'Revenues 9-14'!B60</f>
        <v>1452</v>
      </c>
      <c r="D26" s="877" t="str">
        <f>'Revenues 9-14'!A60</f>
        <v>Adult - Transp Fees from Other Districts (In State)</v>
      </c>
      <c r="E26" s="869"/>
      <c r="F26" s="1939">
        <f>'Revenues 9-14'!F60</f>
        <v>0</v>
      </c>
      <c r="G26" s="866"/>
    </row>
    <row r="27" spans="1:7" x14ac:dyDescent="0.2">
      <c r="A27" s="870" t="s">
        <v>481</v>
      </c>
      <c r="B27" s="871" t="s">
        <v>1077</v>
      </c>
      <c r="C27" s="876">
        <f>'Revenues 9-14'!B61</f>
        <v>1453</v>
      </c>
      <c r="D27" s="877" t="str">
        <f>'Revenues 9-14'!A61</f>
        <v>Adult - Transp Fees from Other Sources (In State)</v>
      </c>
      <c r="E27" s="869"/>
      <c r="F27" s="1939">
        <f>'Revenues 9-14'!F61</f>
        <v>0</v>
      </c>
      <c r="G27" s="866"/>
    </row>
    <row r="28" spans="1:7" x14ac:dyDescent="0.2">
      <c r="A28" s="870" t="s">
        <v>481</v>
      </c>
      <c r="B28" s="871" t="s">
        <v>1078</v>
      </c>
      <c r="C28" s="876">
        <f>'Revenues 9-14'!B62</f>
        <v>1454</v>
      </c>
      <c r="D28" s="877" t="str">
        <f>'Revenues 9-14'!A62</f>
        <v>Adult - Transp Fees from Other Sources (Out of State)</v>
      </c>
      <c r="E28" s="869"/>
      <c r="F28" s="1939">
        <f>'Revenues 9-14'!F62</f>
        <v>0</v>
      </c>
      <c r="G28" s="866"/>
    </row>
    <row r="29" spans="1:7" x14ac:dyDescent="0.2">
      <c r="A29" s="870" t="s">
        <v>1159</v>
      </c>
      <c r="B29" s="871" t="s">
        <v>1683</v>
      </c>
      <c r="C29" s="881">
        <f>'Revenues 9-14'!B148</f>
        <v>3410</v>
      </c>
      <c r="D29" s="882" t="str">
        <f>'Revenues 9-14'!A148</f>
        <v>Adult Ed (from ICCB)</v>
      </c>
      <c r="E29" s="869"/>
      <c r="F29" s="1939">
        <f>SUM('Revenues 9-14'!D148,F149)</f>
        <v>0</v>
      </c>
      <c r="G29" s="866"/>
    </row>
    <row r="30" spans="1:7" x14ac:dyDescent="0.2">
      <c r="A30" s="870" t="s">
        <v>1159</v>
      </c>
      <c r="B30" s="871" t="s">
        <v>861</v>
      </c>
      <c r="C30" s="881">
        <f>'Revenues 9-14'!B149</f>
        <v>3499</v>
      </c>
      <c r="D30" s="882" t="str">
        <f>'Revenues 9-14'!A149</f>
        <v>Adult Ed - Other (Describe &amp; Itemize)</v>
      </c>
      <c r="E30" s="869"/>
      <c r="F30" s="1940">
        <f>('Revenues 9-14'!D149+'Revenues 9-14'!F149)</f>
        <v>0</v>
      </c>
      <c r="G30" s="866"/>
    </row>
    <row r="31" spans="1:7" x14ac:dyDescent="0.2">
      <c r="A31" s="870" t="s">
        <v>1159</v>
      </c>
      <c r="B31" s="871" t="s">
        <v>862</v>
      </c>
      <c r="C31" s="876">
        <f>'Revenues 9-14'!B218</f>
        <v>4600</v>
      </c>
      <c r="D31" s="884" t="str">
        <f>'Revenues 9-14'!A218</f>
        <v>Fed - Spec Education - Preschool Flow-Through</v>
      </c>
      <c r="E31" s="885"/>
      <c r="F31" s="1939">
        <f>SUM('Revenues 9-14'!D218,'Revenues 9-14'!F218)</f>
        <v>0</v>
      </c>
      <c r="G31" s="866"/>
    </row>
    <row r="32" spans="1:7" x14ac:dyDescent="0.2">
      <c r="A32" s="870" t="s">
        <v>1159</v>
      </c>
      <c r="B32" s="871" t="s">
        <v>800</v>
      </c>
      <c r="C32" s="876">
        <f>'Revenues 9-14'!B219</f>
        <v>4605</v>
      </c>
      <c r="D32" s="886" t="str">
        <f>'Revenues 9-14'!A219</f>
        <v>Fed - Spec Education - Preschool Discretionary</v>
      </c>
      <c r="E32" s="885"/>
      <c r="F32" s="1939">
        <f>SUM('Revenues 9-14'!D219,'Revenues 9-14'!F219)</f>
        <v>0</v>
      </c>
      <c r="G32" s="866"/>
    </row>
    <row r="33" spans="1:7" x14ac:dyDescent="0.2">
      <c r="A33" s="870" t="s">
        <v>480</v>
      </c>
      <c r="B33" s="871" t="s">
        <v>801</v>
      </c>
      <c r="C33" s="876">
        <f>'Revenues 9-14'!B229</f>
        <v>4810</v>
      </c>
      <c r="D33" s="884" t="str">
        <f>'Revenues 9-14'!A229</f>
        <v>Federal - Adult Education</v>
      </c>
      <c r="E33" s="869"/>
      <c r="F33" s="1939">
        <f>'Revenues 9-14'!D229</f>
        <v>0</v>
      </c>
      <c r="G33" s="866"/>
    </row>
    <row r="34" spans="1:7" x14ac:dyDescent="0.2">
      <c r="A34" s="870" t="s">
        <v>479</v>
      </c>
      <c r="B34" s="870" t="s">
        <v>1545</v>
      </c>
      <c r="C34" s="887" t="str">
        <f>'Expenditures 15-22'!B7</f>
        <v>1125</v>
      </c>
      <c r="D34" s="888" t="str">
        <f>'Expenditures 15-22'!A7</f>
        <v>Pre-K Programs</v>
      </c>
      <c r="E34" s="869"/>
      <c r="F34" s="1939">
        <f>'Expenditures 15-22'!K7-SUM('Expenditures 15-22'!G7,'Expenditures 15-22'!I7)</f>
        <v>301201</v>
      </c>
      <c r="G34" s="866"/>
    </row>
    <row r="35" spans="1:7" x14ac:dyDescent="0.2">
      <c r="A35" s="870" t="s">
        <v>479</v>
      </c>
      <c r="B35" s="870" t="s">
        <v>1546</v>
      </c>
      <c r="C35" s="887" t="str">
        <f>'Expenditures 15-22'!B9</f>
        <v>1225</v>
      </c>
      <c r="D35" s="888" t="str">
        <f>'Expenditures 15-22'!A9</f>
        <v>Special Education Programs Pre-K</v>
      </c>
      <c r="E35" s="869"/>
      <c r="F35" s="1939">
        <f>'Expenditures 15-22'!K9-SUM('Expenditures 15-22'!G9+'Expenditures 15-22'!I9)</f>
        <v>21789</v>
      </c>
      <c r="G35" s="866"/>
    </row>
    <row r="36" spans="1:7" x14ac:dyDescent="0.2">
      <c r="A36" s="870" t="s">
        <v>479</v>
      </c>
      <c r="B36" s="870" t="s">
        <v>118</v>
      </c>
      <c r="C36" s="887" t="str">
        <f>'Expenditures 15-22'!B11</f>
        <v>1275</v>
      </c>
      <c r="D36" s="888" t="str">
        <f>'Expenditures 15-22'!A11</f>
        <v>Remedial and Supplemental Programs Pre-K</v>
      </c>
      <c r="E36" s="869"/>
      <c r="F36" s="1939">
        <f>'Expenditures 15-22'!K11-SUM('Expenditures 15-22'!G11,'Expenditures 15-22'!I11)</f>
        <v>0</v>
      </c>
      <c r="G36" s="866"/>
    </row>
    <row r="37" spans="1:7" x14ac:dyDescent="0.2">
      <c r="A37" s="870" t="s">
        <v>479</v>
      </c>
      <c r="B37" s="870" t="s">
        <v>1547</v>
      </c>
      <c r="C37" s="887">
        <f>'Expenditures 15-22'!B12</f>
        <v>1300</v>
      </c>
      <c r="D37" s="889" t="str">
        <f>'Expenditures 15-22'!A12</f>
        <v>Adult/Continuing Education Programs</v>
      </c>
      <c r="E37" s="869"/>
      <c r="F37" s="1939">
        <f>'Expenditures 15-22'!K12-SUM('Expenditures 15-22'!G12+'Expenditures 15-22'!I12)</f>
        <v>0</v>
      </c>
      <c r="G37" s="866"/>
    </row>
    <row r="38" spans="1:7" x14ac:dyDescent="0.2">
      <c r="A38" s="870" t="s">
        <v>479</v>
      </c>
      <c r="B38" s="870" t="s">
        <v>1548</v>
      </c>
      <c r="C38" s="887">
        <f>'Expenditures 15-22'!B15</f>
        <v>1600</v>
      </c>
      <c r="D38" s="889" t="str">
        <f>'Expenditures 15-22'!A15</f>
        <v>Summer School Programs</v>
      </c>
      <c r="E38" s="869"/>
      <c r="F38" s="1939">
        <f>'Expenditures 15-22'!K15-SUM('Expenditures 15-22'!G15,'Expenditures 15-22'!I15)</f>
        <v>4280</v>
      </c>
      <c r="G38" s="866"/>
    </row>
    <row r="39" spans="1:7" x14ac:dyDescent="0.2">
      <c r="A39" s="870" t="s">
        <v>479</v>
      </c>
      <c r="B39" s="870" t="s">
        <v>119</v>
      </c>
      <c r="C39" s="887" t="str">
        <f>'Expenditures 15-22'!B20</f>
        <v>1910</v>
      </c>
      <c r="D39" s="889" t="str">
        <f>'Expenditures 15-22'!A20</f>
        <v>Pre-K Programs - Private Tuition</v>
      </c>
      <c r="E39" s="869"/>
      <c r="F39" s="1939">
        <f>'Expenditures 15-22'!K20</f>
        <v>0</v>
      </c>
      <c r="G39" s="866"/>
    </row>
    <row r="40" spans="1:7" x14ac:dyDescent="0.2">
      <c r="A40" s="870" t="s">
        <v>479</v>
      </c>
      <c r="B40" s="870" t="s">
        <v>120</v>
      </c>
      <c r="C40" s="887" t="str">
        <f>'Expenditures 15-22'!B21</f>
        <v>1911</v>
      </c>
      <c r="D40" s="889" t="str">
        <f>'Expenditures 15-22'!A21</f>
        <v>Regular K-12 Programs - Private Tuition</v>
      </c>
      <c r="E40" s="869"/>
      <c r="F40" s="1939">
        <f>'Expenditures 15-22'!K21</f>
        <v>0</v>
      </c>
      <c r="G40" s="866"/>
    </row>
    <row r="41" spans="1:7" x14ac:dyDescent="0.2">
      <c r="A41" s="870" t="s">
        <v>479</v>
      </c>
      <c r="B41" s="870" t="s">
        <v>121</v>
      </c>
      <c r="C41" s="887" t="str">
        <f>'Expenditures 15-22'!B22</f>
        <v>1912</v>
      </c>
      <c r="D41" s="889" t="str">
        <f>'Expenditures 15-22'!A22</f>
        <v>Special Education Programs K-12 - Private Tuition</v>
      </c>
      <c r="E41" s="869"/>
      <c r="F41" s="1939">
        <f>'Expenditures 15-22'!K22</f>
        <v>0</v>
      </c>
      <c r="G41" s="866"/>
    </row>
    <row r="42" spans="1:7" x14ac:dyDescent="0.2">
      <c r="A42" s="870" t="s">
        <v>479</v>
      </c>
      <c r="B42" s="870" t="s">
        <v>122</v>
      </c>
      <c r="C42" s="890" t="str">
        <f>'Expenditures 15-22'!B23</f>
        <v>1913</v>
      </c>
      <c r="D42" s="889" t="str">
        <f>'Expenditures 15-22'!A23</f>
        <v>Special Education Programs Pre-K - Tuition</v>
      </c>
      <c r="E42" s="869"/>
      <c r="F42" s="1939">
        <f>'Expenditures 15-22'!K23</f>
        <v>0</v>
      </c>
      <c r="G42" s="866"/>
    </row>
    <row r="43" spans="1:7" x14ac:dyDescent="0.2">
      <c r="A43" s="870" t="s">
        <v>479</v>
      </c>
      <c r="B43" s="870" t="s">
        <v>123</v>
      </c>
      <c r="C43" s="887" t="str">
        <f>'Expenditures 15-22'!B24</f>
        <v>1914</v>
      </c>
      <c r="D43" s="889" t="str">
        <f>'Expenditures 15-22'!A24</f>
        <v>Remedial/Supplemental Programs K-12 - Private Tuition</v>
      </c>
      <c r="E43" s="869"/>
      <c r="F43" s="1939">
        <f>'Expenditures 15-22'!K24</f>
        <v>0</v>
      </c>
      <c r="G43" s="866"/>
    </row>
    <row r="44" spans="1:7" x14ac:dyDescent="0.2">
      <c r="A44" s="870" t="s">
        <v>479</v>
      </c>
      <c r="B44" s="870" t="s">
        <v>124</v>
      </c>
      <c r="C44" s="890" t="str">
        <f>'Expenditures 15-22'!B25</f>
        <v>1915</v>
      </c>
      <c r="D44" s="889" t="str">
        <f>'Expenditures 15-22'!A25</f>
        <v>Remedial/Supplemental Programs Pre-K - Private Tuition</v>
      </c>
      <c r="E44" s="869"/>
      <c r="F44" s="1939">
        <f>'Expenditures 15-22'!K25</f>
        <v>0</v>
      </c>
      <c r="G44" s="866"/>
    </row>
    <row r="45" spans="1:7" x14ac:dyDescent="0.2">
      <c r="A45" s="870" t="s">
        <v>479</v>
      </c>
      <c r="B45" s="870" t="s">
        <v>125</v>
      </c>
      <c r="C45" s="890" t="str">
        <f>'Expenditures 15-22'!B26</f>
        <v>1916</v>
      </c>
      <c r="D45" s="889" t="str">
        <f>'Expenditures 15-22'!A26</f>
        <v>Adult/Continuing Education Programs - Private Tuition</v>
      </c>
      <c r="E45" s="869"/>
      <c r="F45" s="1939">
        <f>'Expenditures 15-22'!K26</f>
        <v>0</v>
      </c>
      <c r="G45" s="866"/>
    </row>
    <row r="46" spans="1:7" x14ac:dyDescent="0.2">
      <c r="A46" s="870" t="s">
        <v>479</v>
      </c>
      <c r="B46" s="870" t="s">
        <v>126</v>
      </c>
      <c r="C46" s="887" t="str">
        <f>'Expenditures 15-22'!B27</f>
        <v>1917</v>
      </c>
      <c r="D46" s="889" t="str">
        <f>'Expenditures 15-22'!A27</f>
        <v>CTE Programs - Private Tuition</v>
      </c>
      <c r="E46" s="869"/>
      <c r="F46" s="1939">
        <f>'Expenditures 15-22'!K27</f>
        <v>0</v>
      </c>
      <c r="G46" s="866"/>
    </row>
    <row r="47" spans="1:7" x14ac:dyDescent="0.2">
      <c r="A47" s="870" t="s">
        <v>479</v>
      </c>
      <c r="B47" s="870" t="s">
        <v>127</v>
      </c>
      <c r="C47" s="891" t="str">
        <f>'Expenditures 15-22'!B28</f>
        <v>1918</v>
      </c>
      <c r="D47" s="892" t="str">
        <f>'Expenditures 15-22'!A28</f>
        <v>Interscholastic Programs - Private Tuition</v>
      </c>
      <c r="E47" s="869"/>
      <c r="F47" s="1939">
        <f>'Expenditures 15-22'!K28</f>
        <v>0</v>
      </c>
      <c r="G47" s="866"/>
    </row>
    <row r="48" spans="1:7" x14ac:dyDescent="0.2">
      <c r="A48" s="870" t="s">
        <v>479</v>
      </c>
      <c r="B48" s="870" t="s">
        <v>128</v>
      </c>
      <c r="C48" s="890" t="str">
        <f>'Expenditures 15-22'!B29</f>
        <v>1919</v>
      </c>
      <c r="D48" s="889" t="str">
        <f>'Expenditures 15-22'!A29</f>
        <v>Summer School Programs - Private Tuition</v>
      </c>
      <c r="E48" s="869"/>
      <c r="F48" s="1939">
        <f>'Expenditures 15-22'!K29</f>
        <v>0</v>
      </c>
      <c r="G48" s="866"/>
    </row>
    <row r="49" spans="1:7" x14ac:dyDescent="0.2">
      <c r="A49" s="870" t="s">
        <v>479</v>
      </c>
      <c r="B49" s="870" t="s">
        <v>129</v>
      </c>
      <c r="C49" s="887" t="str">
        <f>'Expenditures 15-22'!B30</f>
        <v>1920</v>
      </c>
      <c r="D49" s="889" t="str">
        <f>'Expenditures 15-22'!A30</f>
        <v>Gifted Programs - Private Tuition</v>
      </c>
      <c r="E49" s="869"/>
      <c r="F49" s="1939">
        <f>'Expenditures 15-22'!K30</f>
        <v>0</v>
      </c>
      <c r="G49" s="866"/>
    </row>
    <row r="50" spans="1:7" x14ac:dyDescent="0.2">
      <c r="A50" s="870" t="s">
        <v>479</v>
      </c>
      <c r="B50" s="870" t="s">
        <v>130</v>
      </c>
      <c r="C50" s="887" t="str">
        <f>'Expenditures 15-22'!B31</f>
        <v>1921</v>
      </c>
      <c r="D50" s="889" t="str">
        <f>'Expenditures 15-22'!A31</f>
        <v>Bilingual Programs - Private Tuition</v>
      </c>
      <c r="E50" s="869"/>
      <c r="F50" s="1939">
        <f>'Expenditures 15-22'!K31</f>
        <v>0</v>
      </c>
      <c r="G50" s="866"/>
    </row>
    <row r="51" spans="1:7" x14ac:dyDescent="0.2">
      <c r="A51" s="870" t="s">
        <v>479</v>
      </c>
      <c r="B51" s="870" t="s">
        <v>1549</v>
      </c>
      <c r="C51" s="887" t="str">
        <f>'Expenditures 15-22'!B32</f>
        <v>1922</v>
      </c>
      <c r="D51" s="889" t="str">
        <f>'Expenditures 15-22'!A32</f>
        <v>Truants Alternative/Optional Ed Progms - Private Tuition</v>
      </c>
      <c r="E51" s="869"/>
      <c r="F51" s="1939">
        <f>'Expenditures 15-22'!K32</f>
        <v>0</v>
      </c>
      <c r="G51" s="866"/>
    </row>
    <row r="52" spans="1:7" x14ac:dyDescent="0.2">
      <c r="A52" s="870" t="s">
        <v>479</v>
      </c>
      <c r="B52" s="870" t="s">
        <v>1550</v>
      </c>
      <c r="C52" s="890" t="str">
        <f>'Expenditures 15-22'!B75</f>
        <v>3000</v>
      </c>
      <c r="D52" s="889" t="s">
        <v>469</v>
      </c>
      <c r="E52" s="869"/>
      <c r="F52" s="1939">
        <f>'Expenditures 15-22'!K75-SUM('Expenditures 15-22'!G75,'Expenditures 15-22'!I75)</f>
        <v>39186</v>
      </c>
      <c r="G52" s="866"/>
    </row>
    <row r="53" spans="1:7" x14ac:dyDescent="0.2">
      <c r="A53" s="870" t="s">
        <v>479</v>
      </c>
      <c r="B53" s="870" t="s">
        <v>1551</v>
      </c>
      <c r="C53" s="890">
        <f>'Expenditures 15-22'!B102</f>
        <v>4000</v>
      </c>
      <c r="D53" s="889" t="str">
        <f>'Expenditures 15-22'!A102</f>
        <v>Total Payments to Other Govt Units</v>
      </c>
      <c r="E53" s="869"/>
      <c r="F53" s="1939">
        <f>'Expenditures 15-22'!K102</f>
        <v>507297</v>
      </c>
      <c r="G53" s="866"/>
    </row>
    <row r="54" spans="1:7" x14ac:dyDescent="0.2">
      <c r="A54" s="870" t="s">
        <v>479</v>
      </c>
      <c r="B54" s="870" t="s">
        <v>1552</v>
      </c>
      <c r="C54" s="890" t="s">
        <v>1039</v>
      </c>
      <c r="D54" s="886" t="s">
        <v>1157</v>
      </c>
      <c r="E54" s="869"/>
      <c r="F54" s="1939">
        <f>'Expenditures 15-22'!G114</f>
        <v>154541</v>
      </c>
      <c r="G54" s="866"/>
    </row>
    <row r="55" spans="1:7" x14ac:dyDescent="0.2">
      <c r="A55" s="870" t="s">
        <v>479</v>
      </c>
      <c r="B55" s="870" t="s">
        <v>1553</v>
      </c>
      <c r="C55" s="890" t="s">
        <v>1039</v>
      </c>
      <c r="D55" s="886" t="s">
        <v>309</v>
      </c>
      <c r="E55" s="869"/>
      <c r="F55" s="1939">
        <f>'Expenditures 15-22'!I114</f>
        <v>0</v>
      </c>
      <c r="G55" s="866"/>
    </row>
    <row r="56" spans="1:7" x14ac:dyDescent="0.2">
      <c r="A56" s="870" t="s">
        <v>480</v>
      </c>
      <c r="B56" s="870" t="s">
        <v>1554</v>
      </c>
      <c r="C56" s="887" t="str">
        <f>'Expenditures 15-22'!B130</f>
        <v>3000</v>
      </c>
      <c r="D56" s="893" t="s">
        <v>469</v>
      </c>
      <c r="E56" s="869"/>
      <c r="F56" s="1939">
        <f>'Expenditures 15-22'!K130-SUM('Expenditures 15-22'!G130+'Expenditures 15-22'!I130)</f>
        <v>0</v>
      </c>
      <c r="G56" s="866"/>
    </row>
    <row r="57" spans="1:7" x14ac:dyDescent="0.2">
      <c r="A57" s="870" t="s">
        <v>480</v>
      </c>
      <c r="B57" s="870" t="s">
        <v>1991</v>
      </c>
      <c r="C57" s="890">
        <f>'Expenditures 15-22'!B139</f>
        <v>4000</v>
      </c>
      <c r="D57" s="888" t="str">
        <f>'Expenditures 15-22'!A139</f>
        <v>Total Payments to Other Govt Units</v>
      </c>
      <c r="E57" s="869"/>
      <c r="F57" s="1939">
        <f>'Expenditures 15-22'!K139</f>
        <v>0</v>
      </c>
      <c r="G57" s="866"/>
    </row>
    <row r="58" spans="1:7" x14ac:dyDescent="0.2">
      <c r="A58" s="870" t="s">
        <v>480</v>
      </c>
      <c r="B58" s="870" t="s">
        <v>1992</v>
      </c>
      <c r="C58" s="887" t="s">
        <v>1039</v>
      </c>
      <c r="D58" s="886" t="s">
        <v>1157</v>
      </c>
      <c r="E58" s="869"/>
      <c r="F58" s="1941">
        <f>'Expenditures 15-22'!G151</f>
        <v>95275</v>
      </c>
      <c r="G58" s="866"/>
    </row>
    <row r="59" spans="1:7" x14ac:dyDescent="0.2">
      <c r="A59" s="894" t="s">
        <v>480</v>
      </c>
      <c r="B59" s="857" t="s">
        <v>1993</v>
      </c>
      <c r="C59" s="895" t="s">
        <v>1039</v>
      </c>
      <c r="D59" s="857" t="s">
        <v>309</v>
      </c>
      <c r="F59" s="1942">
        <f>'Expenditures 15-22'!I151</f>
        <v>0</v>
      </c>
      <c r="G59" s="866"/>
    </row>
    <row r="60" spans="1:7" x14ac:dyDescent="0.2">
      <c r="A60" s="894" t="s">
        <v>520</v>
      </c>
      <c r="B60" s="857" t="s">
        <v>1994</v>
      </c>
      <c r="C60" s="895">
        <v>4000</v>
      </c>
      <c r="D60" s="857" t="s">
        <v>330</v>
      </c>
      <c r="F60" s="1940">
        <f>'Expenditures 15-22'!K160</f>
        <v>0</v>
      </c>
      <c r="G60" s="866"/>
    </row>
    <row r="61" spans="1:7" x14ac:dyDescent="0.2">
      <c r="A61" s="896" t="s">
        <v>520</v>
      </c>
      <c r="B61" s="896" t="s">
        <v>1995</v>
      </c>
      <c r="C61" s="897" t="str">
        <f>'Expenditures 15-22'!B170</f>
        <v>5300</v>
      </c>
      <c r="D61" s="898" t="s">
        <v>329</v>
      </c>
      <c r="E61" s="880"/>
      <c r="F61" s="1939">
        <f>'Expenditures 15-22'!K170</f>
        <v>845000</v>
      </c>
      <c r="G61" s="866"/>
    </row>
    <row r="62" spans="1:7" x14ac:dyDescent="0.2">
      <c r="A62" s="870" t="s">
        <v>481</v>
      </c>
      <c r="B62" s="870" t="s">
        <v>1996</v>
      </c>
      <c r="C62" s="887">
        <f>'Expenditures 15-22'!B185</f>
        <v>3000</v>
      </c>
      <c r="D62" s="877" t="s">
        <v>469</v>
      </c>
      <c r="E62" s="869"/>
      <c r="F62" s="1939">
        <f>'Expenditures 15-22'!K185-SUM('Expenditures 15-22'!G185,'Expenditures 15-22'!I185)</f>
        <v>0</v>
      </c>
      <c r="G62" s="866"/>
    </row>
    <row r="63" spans="1:7" x14ac:dyDescent="0.2">
      <c r="A63" s="870" t="s">
        <v>481</v>
      </c>
      <c r="B63" s="870" t="s">
        <v>1997</v>
      </c>
      <c r="C63" s="887" t="str">
        <f>'Expenditures 15-22'!B196</f>
        <v>4000</v>
      </c>
      <c r="D63" s="888" t="str">
        <f>'Expenditures 15-22'!A196</f>
        <v>Total Payments to Other Govt Units</v>
      </c>
      <c r="E63" s="869"/>
      <c r="F63" s="1939">
        <f>'Expenditures 15-22'!K196</f>
        <v>0</v>
      </c>
      <c r="G63" s="866"/>
    </row>
    <row r="64" spans="1:7" x14ac:dyDescent="0.2">
      <c r="A64" s="896" t="s">
        <v>481</v>
      </c>
      <c r="B64" s="896" t="s">
        <v>1998</v>
      </c>
      <c r="C64" s="897" t="str">
        <f>'Expenditures 15-22'!B206</f>
        <v>5300</v>
      </c>
      <c r="D64" s="893" t="s">
        <v>329</v>
      </c>
      <c r="E64" s="869"/>
      <c r="F64" s="1939">
        <f>'Expenditures 15-22'!K206</f>
        <v>0</v>
      </c>
      <c r="G64" s="866"/>
    </row>
    <row r="65" spans="1:8" x14ac:dyDescent="0.2">
      <c r="A65" s="870" t="s">
        <v>481</v>
      </c>
      <c r="B65" s="870" t="s">
        <v>1999</v>
      </c>
      <c r="C65" s="887" t="s">
        <v>1039</v>
      </c>
      <c r="D65" s="886" t="s">
        <v>1157</v>
      </c>
      <c r="E65" s="869"/>
      <c r="F65" s="1939">
        <f>'Expenditures 15-22'!G210</f>
        <v>0</v>
      </c>
      <c r="G65" s="866"/>
    </row>
    <row r="66" spans="1:8" x14ac:dyDescent="0.2">
      <c r="A66" s="870" t="s">
        <v>481</v>
      </c>
      <c r="B66" s="870" t="s">
        <v>2000</v>
      </c>
      <c r="C66" s="887" t="s">
        <v>1039</v>
      </c>
      <c r="D66" s="886" t="s">
        <v>309</v>
      </c>
      <c r="E66" s="869"/>
      <c r="F66" s="1939">
        <f>'Expenditures 15-22'!I210</f>
        <v>0</v>
      </c>
      <c r="G66" s="866"/>
    </row>
    <row r="67" spans="1:8" x14ac:dyDescent="0.2">
      <c r="A67" s="870" t="s">
        <v>482</v>
      </c>
      <c r="B67" s="870" t="s">
        <v>2001</v>
      </c>
      <c r="C67" s="887" t="str">
        <f>'Expenditures 15-22'!B216</f>
        <v>1125</v>
      </c>
      <c r="D67" s="893" t="str">
        <f>'Expenditures 15-22'!A216</f>
        <v>Pre-K Programs</v>
      </c>
      <c r="E67" s="869"/>
      <c r="F67" s="1939">
        <f>'Expenditures 15-22'!K216</f>
        <v>14569</v>
      </c>
      <c r="G67" s="866"/>
    </row>
    <row r="68" spans="1:8" x14ac:dyDescent="0.2">
      <c r="A68" s="870" t="s">
        <v>482</v>
      </c>
      <c r="B68" s="870" t="s">
        <v>1555</v>
      </c>
      <c r="C68" s="887" t="str">
        <f>'Expenditures 15-22'!B218</f>
        <v>1225</v>
      </c>
      <c r="D68" s="893" t="str">
        <f>'Expenditures 15-22'!A218</f>
        <v>Special Education Programs - Pre-K</v>
      </c>
      <c r="E68" s="869"/>
      <c r="F68" s="1939">
        <f>'Expenditures 15-22'!K218</f>
        <v>1200</v>
      </c>
      <c r="G68" s="866"/>
    </row>
    <row r="69" spans="1:8" x14ac:dyDescent="0.2">
      <c r="A69" s="870" t="s">
        <v>482</v>
      </c>
      <c r="B69" s="870" t="s">
        <v>2002</v>
      </c>
      <c r="C69" s="887" t="str">
        <f>'Expenditures 15-22'!B220</f>
        <v>1275</v>
      </c>
      <c r="D69" s="893" t="str">
        <f>'Expenditures 15-22'!A220</f>
        <v>Remedial and Supplemental Programs - Pre-K</v>
      </c>
      <c r="E69" s="869"/>
      <c r="F69" s="1939">
        <f>'Expenditures 15-22'!K220</f>
        <v>0</v>
      </c>
      <c r="G69" s="866"/>
    </row>
    <row r="70" spans="1:8" x14ac:dyDescent="0.2">
      <c r="A70" s="870" t="s">
        <v>482</v>
      </c>
      <c r="B70" s="870" t="s">
        <v>2003</v>
      </c>
      <c r="C70" s="887">
        <f>'Expenditures 15-22'!B221</f>
        <v>1300</v>
      </c>
      <c r="D70" s="888" t="str">
        <f>'Expenditures 15-22'!A221</f>
        <v>Adult/Continuing Education Programs</v>
      </c>
      <c r="E70" s="869"/>
      <c r="F70" s="1939">
        <f>'Expenditures 15-22'!K221</f>
        <v>0</v>
      </c>
      <c r="G70" s="866"/>
    </row>
    <row r="71" spans="1:8" x14ac:dyDescent="0.2">
      <c r="A71" s="870" t="s">
        <v>482</v>
      </c>
      <c r="B71" s="870" t="s">
        <v>2004</v>
      </c>
      <c r="C71" s="887">
        <f>'Expenditures 15-22'!B224</f>
        <v>1600</v>
      </c>
      <c r="D71" s="888" t="str">
        <f>'Expenditures 15-22'!A224</f>
        <v>Summer School Programs</v>
      </c>
      <c r="E71" s="869"/>
      <c r="F71" s="1939">
        <f>'Expenditures 15-22'!K224</f>
        <v>95</v>
      </c>
      <c r="G71" s="866"/>
    </row>
    <row r="72" spans="1:8" x14ac:dyDescent="0.2">
      <c r="A72" s="870" t="s">
        <v>482</v>
      </c>
      <c r="B72" s="870" t="s">
        <v>2005</v>
      </c>
      <c r="C72" s="887">
        <f>'Expenditures 15-22'!B280</f>
        <v>3000</v>
      </c>
      <c r="D72" s="877" t="s">
        <v>469</v>
      </c>
      <c r="E72" s="869"/>
      <c r="F72" s="1939">
        <f>'Expenditures 15-22'!K280</f>
        <v>0</v>
      </c>
      <c r="G72" s="866"/>
    </row>
    <row r="73" spans="1:8" x14ac:dyDescent="0.2">
      <c r="A73" s="870" t="s">
        <v>482</v>
      </c>
      <c r="B73" s="870" t="s">
        <v>2006</v>
      </c>
      <c r="C73" s="887" t="str">
        <f>'Expenditures 15-22'!B285</f>
        <v>4000</v>
      </c>
      <c r="D73" s="888" t="str">
        <f>'Expenditures 15-22'!A285</f>
        <v>Total Payments to Other Govt Units</v>
      </c>
      <c r="E73" s="869"/>
      <c r="F73" s="1939">
        <f>'Expenditures 15-22'!K285</f>
        <v>0</v>
      </c>
      <c r="G73" s="866"/>
    </row>
    <row r="74" spans="1:8" x14ac:dyDescent="0.2">
      <c r="A74" s="870" t="s">
        <v>456</v>
      </c>
      <c r="B74" s="870" t="s">
        <v>2007</v>
      </c>
      <c r="C74" s="887" t="s">
        <v>915</v>
      </c>
      <c r="D74" s="888" t="s">
        <v>1567</v>
      </c>
      <c r="E74" s="869"/>
      <c r="F74" s="1943">
        <f>'Expenditures 15-22'!K334</f>
        <v>0</v>
      </c>
      <c r="G74" s="866"/>
    </row>
    <row r="75" spans="1:8" ht="5.25" customHeight="1" x14ac:dyDescent="0.2">
      <c r="A75" s="866"/>
      <c r="B75" s="876"/>
      <c r="C75" s="876"/>
      <c r="D75" s="866"/>
      <c r="E75" s="869"/>
      <c r="F75" s="883"/>
      <c r="G75" s="868"/>
    </row>
    <row r="76" spans="1:8" ht="12" thickBot="1" x14ac:dyDescent="0.25">
      <c r="A76" s="1792"/>
      <c r="B76" s="1798"/>
      <c r="C76" s="1794"/>
      <c r="D76" s="1799" t="s">
        <v>2008</v>
      </c>
      <c r="E76" s="1796" t="s">
        <v>1015</v>
      </c>
      <c r="F76" s="1800">
        <f>SUM(F18:F74)</f>
        <v>1984433</v>
      </c>
      <c r="G76" s="866"/>
    </row>
    <row r="77" spans="1:8" s="894" customFormat="1" ht="12" customHeight="1" thickTop="1" thickBot="1" x14ac:dyDescent="0.25">
      <c r="A77" s="1801"/>
      <c r="B77" s="1798"/>
      <c r="C77" s="1794"/>
      <c r="D77" s="1799" t="s">
        <v>2009</v>
      </c>
      <c r="E77" s="1796"/>
      <c r="F77" s="1802">
        <f>(F14-F76)</f>
        <v>19541039</v>
      </c>
      <c r="G77" s="870"/>
    </row>
    <row r="78" spans="1:8" s="894" customFormat="1" ht="12" customHeight="1" thickTop="1" x14ac:dyDescent="0.2">
      <c r="A78" s="1803"/>
      <c r="B78" s="1798"/>
      <c r="C78" s="1794"/>
      <c r="D78" s="1799" t="s">
        <v>2055</v>
      </c>
      <c r="E78" s="1796"/>
      <c r="F78" s="899">
        <v>1489.49</v>
      </c>
      <c r="G78" s="900"/>
      <c r="H78" s="870"/>
    </row>
    <row r="79" spans="1:8" s="894" customFormat="1" ht="12" customHeight="1" thickBot="1" x14ac:dyDescent="0.25">
      <c r="A79" s="1804"/>
      <c r="B79" s="1798"/>
      <c r="C79" s="1794"/>
      <c r="D79" s="1799" t="s">
        <v>2010</v>
      </c>
      <c r="E79" s="1796" t="s">
        <v>1015</v>
      </c>
      <c r="F79" s="1805">
        <f>IF(F78&gt;0,F77/F78," Complete Line 78")</f>
        <v>13119.281767584878</v>
      </c>
      <c r="G79" s="870"/>
    </row>
    <row r="80" spans="1:8" s="894" customFormat="1" ht="8.25" customHeight="1" thickTop="1" x14ac:dyDescent="0.2">
      <c r="A80" s="901"/>
      <c r="B80" s="870"/>
      <c r="C80" s="872"/>
      <c r="D80" s="902"/>
      <c r="E80" s="869"/>
      <c r="F80" s="903"/>
      <c r="G80" s="870"/>
    </row>
    <row r="81" spans="1:7" s="894" customFormat="1" ht="12" thickBot="1" x14ac:dyDescent="0.25">
      <c r="A81" s="2275" t="s">
        <v>1167</v>
      </c>
      <c r="B81" s="2276"/>
      <c r="C81" s="2276"/>
      <c r="D81" s="2276"/>
      <c r="E81" s="2276"/>
      <c r="F81" s="2277"/>
      <c r="G81" s="870"/>
    </row>
    <row r="82" spans="1:7" s="894" customFormat="1" ht="5.25" customHeight="1" thickTop="1" x14ac:dyDescent="0.2">
      <c r="A82" s="870"/>
      <c r="B82" s="870"/>
      <c r="C82" s="872"/>
      <c r="D82" s="870"/>
      <c r="E82" s="872"/>
      <c r="F82" s="870"/>
      <c r="G82" s="904"/>
    </row>
    <row r="83" spans="1:7" ht="12" customHeight="1" x14ac:dyDescent="0.2">
      <c r="A83" s="905" t="s">
        <v>867</v>
      </c>
      <c r="B83" s="906"/>
      <c r="C83" s="907"/>
      <c r="D83" s="908"/>
      <c r="E83" s="907"/>
      <c r="F83" s="906"/>
      <c r="G83" s="906"/>
    </row>
    <row r="84" spans="1:7" x14ac:dyDescent="0.2">
      <c r="A84" s="909" t="s">
        <v>481</v>
      </c>
      <c r="B84" s="910" t="s">
        <v>148</v>
      </c>
      <c r="C84" s="911">
        <f>'Revenues 9-14'!B42</f>
        <v>1411</v>
      </c>
      <c r="D84" s="912" t="str">
        <f>'Revenues 9-14'!A42</f>
        <v>Regular -Transp Fees from Pupils or Parents (In State)</v>
      </c>
      <c r="E84" s="907" t="s">
        <v>1015</v>
      </c>
      <c r="F84" s="1933">
        <f>'Revenues 9-14'!F42</f>
        <v>0</v>
      </c>
      <c r="G84" s="913"/>
    </row>
    <row r="85" spans="1:7" x14ac:dyDescent="0.2">
      <c r="A85" s="909" t="s">
        <v>481</v>
      </c>
      <c r="B85" s="909" t="s">
        <v>192</v>
      </c>
      <c r="C85" s="914">
        <f>'Revenues 9-14'!B44</f>
        <v>1413</v>
      </c>
      <c r="D85" s="912" t="str">
        <f>'Revenues 9-14'!A44</f>
        <v>Regular - Transp Fees from Other Sources (In State)</v>
      </c>
      <c r="E85" s="907"/>
      <c r="F85" s="1811">
        <f>'Revenues 9-14'!F44</f>
        <v>0</v>
      </c>
      <c r="G85" s="915"/>
    </row>
    <row r="86" spans="1:7" x14ac:dyDescent="0.2">
      <c r="A86" s="909" t="s">
        <v>481</v>
      </c>
      <c r="B86" s="909" t="s">
        <v>168</v>
      </c>
      <c r="C86" s="911">
        <f>'Revenues 9-14'!B45</f>
        <v>1415</v>
      </c>
      <c r="D86" s="912" t="str">
        <f>'Revenues 9-14'!A45</f>
        <v>Regular - Transp Fees from Co-curricular Activities (In State)</v>
      </c>
      <c r="E86" s="907"/>
      <c r="F86" s="1811">
        <f>'Revenues 9-14'!F45</f>
        <v>0</v>
      </c>
      <c r="G86" s="915"/>
    </row>
    <row r="87" spans="1:7" x14ac:dyDescent="0.2">
      <c r="A87" s="909" t="s">
        <v>481</v>
      </c>
      <c r="B87" s="909" t="s">
        <v>169</v>
      </c>
      <c r="C87" s="911">
        <v>1416</v>
      </c>
      <c r="D87" s="912" t="str">
        <f>'Revenues 9-14'!A46</f>
        <v>Regular Transp Fees from Other Sources (Out of State)</v>
      </c>
      <c r="E87" s="907"/>
      <c r="F87" s="1811">
        <f>'Revenues 9-14'!F46</f>
        <v>0</v>
      </c>
      <c r="G87" s="915"/>
    </row>
    <row r="88" spans="1:7" x14ac:dyDescent="0.2">
      <c r="A88" s="909" t="s">
        <v>481</v>
      </c>
      <c r="B88" s="909" t="s">
        <v>170</v>
      </c>
      <c r="C88" s="911">
        <f>'Revenues 9-14'!B51</f>
        <v>1431</v>
      </c>
      <c r="D88" s="912" t="str">
        <f>'Revenues 9-14'!A51</f>
        <v>CTE - Transp Fees from Pupils or Parents (In State)</v>
      </c>
      <c r="E88" s="907"/>
      <c r="F88" s="1811">
        <f>'Revenues 9-14'!F51</f>
        <v>0</v>
      </c>
      <c r="G88" s="915"/>
    </row>
    <row r="89" spans="1:7" x14ac:dyDescent="0.2">
      <c r="A89" s="909" t="s">
        <v>481</v>
      </c>
      <c r="B89" s="909" t="s">
        <v>171</v>
      </c>
      <c r="C89" s="911">
        <f>'Revenues 9-14'!B53</f>
        <v>1433</v>
      </c>
      <c r="D89" s="912" t="str">
        <f>'Revenues 9-14'!A53</f>
        <v>CTE - Transp Fees from Other Sources (In State)</v>
      </c>
      <c r="E89" s="907"/>
      <c r="F89" s="1811">
        <f>'Revenues 9-14'!F53</f>
        <v>0</v>
      </c>
      <c r="G89" s="915"/>
    </row>
    <row r="90" spans="1:7" x14ac:dyDescent="0.2">
      <c r="A90" s="909" t="s">
        <v>481</v>
      </c>
      <c r="B90" s="909" t="s">
        <v>172</v>
      </c>
      <c r="C90" s="911">
        <f>'Revenues 9-14'!B54</f>
        <v>1434</v>
      </c>
      <c r="D90" s="912" t="str">
        <f>'Revenues 9-14'!A54</f>
        <v>CTE - Transp Fees from Other Sources (Out of State)</v>
      </c>
      <c r="E90" s="907"/>
      <c r="F90" s="1811">
        <f>'Revenues 9-14'!F54</f>
        <v>0</v>
      </c>
      <c r="G90" s="915"/>
    </row>
    <row r="91" spans="1:7" x14ac:dyDescent="0.2">
      <c r="A91" s="909" t="s">
        <v>481</v>
      </c>
      <c r="B91" s="909" t="s">
        <v>173</v>
      </c>
      <c r="C91" s="916">
        <f>'Revenues 9-14'!B55</f>
        <v>1441</v>
      </c>
      <c r="D91" s="912" t="str">
        <f>'Revenues 9-14'!A55</f>
        <v>Special Ed - Transp Fees from Pupils or Parents (In State)</v>
      </c>
      <c r="E91" s="907"/>
      <c r="F91" s="1811">
        <f>'Revenues 9-14'!F55</f>
        <v>0</v>
      </c>
      <c r="G91" s="915"/>
    </row>
    <row r="92" spans="1:7" x14ac:dyDescent="0.2">
      <c r="A92" s="909" t="s">
        <v>481</v>
      </c>
      <c r="B92" s="909" t="s">
        <v>174</v>
      </c>
      <c r="C92" s="911">
        <f>'Revenues 9-14'!B57</f>
        <v>1443</v>
      </c>
      <c r="D92" s="912" t="str">
        <f>'Revenues 9-14'!A57</f>
        <v>Special Ed - Transp Fees from Other Sources (In State)</v>
      </c>
      <c r="E92" s="907"/>
      <c r="F92" s="1811">
        <f>'Revenues 9-14'!F57</f>
        <v>0</v>
      </c>
      <c r="G92" s="917"/>
    </row>
    <row r="93" spans="1:7" x14ac:dyDescent="0.2">
      <c r="A93" s="909" t="s">
        <v>481</v>
      </c>
      <c r="B93" s="909" t="s">
        <v>175</v>
      </c>
      <c r="C93" s="911">
        <f>'Revenues 9-14'!B58</f>
        <v>1444</v>
      </c>
      <c r="D93" s="912" t="str">
        <f>'Revenues 9-14'!A58</f>
        <v>Special Ed - Transp Fees from Other Sources (Out of State)</v>
      </c>
      <c r="E93" s="907"/>
      <c r="F93" s="1811">
        <f>'Revenues 9-14'!F58</f>
        <v>0</v>
      </c>
      <c r="G93" s="917"/>
    </row>
    <row r="94" spans="1:7" x14ac:dyDescent="0.2">
      <c r="A94" s="909" t="s">
        <v>479</v>
      </c>
      <c r="B94" s="909" t="s">
        <v>176</v>
      </c>
      <c r="C94" s="911">
        <v>1600</v>
      </c>
      <c r="D94" s="918" t="str">
        <f>'Revenues 9-14'!A75</f>
        <v>Total Food Service</v>
      </c>
      <c r="E94" s="907"/>
      <c r="F94" s="1811">
        <f>'Revenues 9-14'!C75</f>
        <v>4166</v>
      </c>
      <c r="G94" s="913"/>
    </row>
    <row r="95" spans="1:7" x14ac:dyDescent="0.2">
      <c r="A95" s="909" t="s">
        <v>142</v>
      </c>
      <c r="B95" s="909" t="s">
        <v>177</v>
      </c>
      <c r="C95" s="911">
        <v>1700</v>
      </c>
      <c r="D95" s="919" t="str">
        <f>'Revenues 9-14'!A82</f>
        <v>Total District/School Activity Income</v>
      </c>
      <c r="E95" s="907"/>
      <c r="F95" s="1811">
        <f>SUM('Revenues 9-14'!C82,'Revenues 9-14'!D82)</f>
        <v>17516</v>
      </c>
      <c r="G95" s="913"/>
    </row>
    <row r="96" spans="1:7" x14ac:dyDescent="0.2">
      <c r="A96" s="909" t="s">
        <v>479</v>
      </c>
      <c r="B96" s="909" t="s">
        <v>178</v>
      </c>
      <c r="C96" s="911">
        <f>'Revenues 9-14'!B84</f>
        <v>1811</v>
      </c>
      <c r="D96" s="912" t="str">
        <f>'Revenues 9-14'!A84</f>
        <v>Rentals - Regular Textbooks</v>
      </c>
      <c r="E96" s="907"/>
      <c r="F96" s="1811">
        <f>'Revenues 9-14'!C84</f>
        <v>13016</v>
      </c>
      <c r="G96" s="913"/>
    </row>
    <row r="97" spans="1:7" x14ac:dyDescent="0.2">
      <c r="A97" s="909" t="s">
        <v>479</v>
      </c>
      <c r="B97" s="909" t="s">
        <v>179</v>
      </c>
      <c r="C97" s="911">
        <f>'Revenues 9-14'!B87</f>
        <v>1819</v>
      </c>
      <c r="D97" s="912" t="str">
        <f>'Revenues 9-14'!A87</f>
        <v>Rentals - Other (Describe &amp; Itemize)</v>
      </c>
      <c r="E97" s="907"/>
      <c r="F97" s="1811">
        <f>'Revenues 9-14'!C87</f>
        <v>0</v>
      </c>
      <c r="G97" s="913"/>
    </row>
    <row r="98" spans="1:7" x14ac:dyDescent="0.2">
      <c r="A98" s="909" t="s">
        <v>479</v>
      </c>
      <c r="B98" s="909" t="s">
        <v>180</v>
      </c>
      <c r="C98" s="911">
        <f>'Revenues 9-14'!B88</f>
        <v>1821</v>
      </c>
      <c r="D98" s="912" t="str">
        <f>'Revenues 9-14'!A88</f>
        <v>Sales - Regular Textbooks</v>
      </c>
      <c r="E98" s="907"/>
      <c r="F98" s="1811">
        <f>'Revenues 9-14'!C88</f>
        <v>0</v>
      </c>
      <c r="G98" s="913"/>
    </row>
    <row r="99" spans="1:7" x14ac:dyDescent="0.2">
      <c r="A99" s="909" t="s">
        <v>479</v>
      </c>
      <c r="B99" s="909" t="s">
        <v>181</v>
      </c>
      <c r="C99" s="911">
        <f>'Revenues 9-14'!B91</f>
        <v>1829</v>
      </c>
      <c r="D99" s="912" t="str">
        <f>'Revenues 9-14'!A91</f>
        <v>Sales - Other (Describe &amp; Itemize)</v>
      </c>
      <c r="E99" s="907"/>
      <c r="F99" s="1811">
        <f>'Revenues 9-14'!C91</f>
        <v>0</v>
      </c>
      <c r="G99" s="913"/>
    </row>
    <row r="100" spans="1:7" x14ac:dyDescent="0.2">
      <c r="A100" s="909" t="s">
        <v>479</v>
      </c>
      <c r="B100" s="909" t="s">
        <v>182</v>
      </c>
      <c r="C100" s="911">
        <f>'Revenues 9-14'!B92</f>
        <v>1890</v>
      </c>
      <c r="D100" s="912" t="str">
        <f>'Revenues 9-14'!A92</f>
        <v>Other (Describe &amp; Itemize)</v>
      </c>
      <c r="E100" s="907"/>
      <c r="F100" s="1811">
        <f>'Revenues 9-14'!C92</f>
        <v>0</v>
      </c>
      <c r="G100" s="913"/>
    </row>
    <row r="101" spans="1:7" x14ac:dyDescent="0.2">
      <c r="A101" s="909" t="s">
        <v>142</v>
      </c>
      <c r="B101" s="909" t="s">
        <v>183</v>
      </c>
      <c r="C101" s="911">
        <f>'Revenues 9-14'!B95</f>
        <v>1910</v>
      </c>
      <c r="D101" s="912" t="str">
        <f>'Revenues 9-14'!A95</f>
        <v>Rentals</v>
      </c>
      <c r="E101" s="907"/>
      <c r="F101" s="1811">
        <f>SUM('Revenues 9-14'!C95:D95)</f>
        <v>730</v>
      </c>
      <c r="G101" s="913"/>
    </row>
    <row r="102" spans="1:7" x14ac:dyDescent="0.2">
      <c r="A102" s="909" t="s">
        <v>524</v>
      </c>
      <c r="B102" s="909" t="s">
        <v>184</v>
      </c>
      <c r="C102" s="911">
        <f>'Revenues 9-14'!B98</f>
        <v>1940</v>
      </c>
      <c r="D102" s="912" t="str">
        <f>'Revenues 9-14'!A98</f>
        <v>Services Provided Other Districts</v>
      </c>
      <c r="E102" s="907"/>
      <c r="F102" s="1811">
        <f>SUM('Revenues 9-14'!C98,'Revenues 9-14'!D98,'Revenues 9-14'!F98)</f>
        <v>0</v>
      </c>
      <c r="G102" s="913"/>
    </row>
    <row r="103" spans="1:7" x14ac:dyDescent="0.2">
      <c r="A103" s="909" t="s">
        <v>1066</v>
      </c>
      <c r="B103" s="909" t="s">
        <v>834</v>
      </c>
      <c r="C103" s="911">
        <f>'Revenues 9-14'!B104</f>
        <v>1991</v>
      </c>
      <c r="D103" s="920" t="str">
        <f>'Revenues 9-14'!A104</f>
        <v>Payment from Other Districts</v>
      </c>
      <c r="E103" s="907"/>
      <c r="F103" s="1811">
        <f>SUM('Revenues 9-14'!C104,'Revenues 9-14'!D104,'Revenues 9-14'!E104,'Revenues 9-14'!F104,'Revenues 9-14'!G104)</f>
        <v>0</v>
      </c>
      <c r="G103" s="913"/>
    </row>
    <row r="104" spans="1:7" x14ac:dyDescent="0.2">
      <c r="A104" s="909" t="s">
        <v>479</v>
      </c>
      <c r="B104" s="909" t="s">
        <v>841</v>
      </c>
      <c r="C104" s="911">
        <f>'Revenues 9-14'!B106</f>
        <v>1993</v>
      </c>
      <c r="D104" s="912" t="str">
        <f>'Revenues 9-14'!A106</f>
        <v>Other Local Fees (Describe &amp; Itemize)</v>
      </c>
      <c r="E104" s="907"/>
      <c r="F104" s="1811">
        <f>('Revenues 9-14'!C106)</f>
        <v>0</v>
      </c>
      <c r="G104" s="913"/>
    </row>
    <row r="105" spans="1:7" x14ac:dyDescent="0.2">
      <c r="A105" s="909" t="s">
        <v>524</v>
      </c>
      <c r="B105" s="909" t="s">
        <v>842</v>
      </c>
      <c r="C105" s="914">
        <v>3100</v>
      </c>
      <c r="D105" s="920" t="str">
        <f>'Revenues 9-14'!A131</f>
        <v>Total Special Education</v>
      </c>
      <c r="E105" s="907"/>
      <c r="F105" s="1811">
        <f>SUM('Revenues 9-14'!C131:D131,'Revenues 9-14'!F131)</f>
        <v>677390</v>
      </c>
      <c r="G105" s="913"/>
    </row>
    <row r="106" spans="1:7" x14ac:dyDescent="0.2">
      <c r="A106" s="909" t="s">
        <v>694</v>
      </c>
      <c r="B106" s="909" t="s">
        <v>1483</v>
      </c>
      <c r="C106" s="921">
        <v>3200</v>
      </c>
      <c r="D106" s="912" t="str">
        <f>'Revenues 9-14'!A140</f>
        <v>Total Career and Technical Education</v>
      </c>
      <c r="E106" s="907"/>
      <c r="F106" s="1811">
        <f>SUM('Revenues 9-14'!C140,'Revenues 9-14'!D140,'Revenues 9-14'!G140)</f>
        <v>0</v>
      </c>
      <c r="G106" s="913"/>
    </row>
    <row r="107" spans="1:7" x14ac:dyDescent="0.2">
      <c r="A107" s="922" t="s">
        <v>685</v>
      </c>
      <c r="B107" s="909" t="s">
        <v>843</v>
      </c>
      <c r="C107" s="921">
        <v>3300</v>
      </c>
      <c r="D107" s="912" t="str">
        <f>'Revenues 9-14'!A144</f>
        <v>Total Bilingual Ed</v>
      </c>
      <c r="E107" s="907"/>
      <c r="F107" s="1811">
        <f>SUM('Revenues 9-14'!C144,'Revenues 9-14'!G144)</f>
        <v>94901</v>
      </c>
      <c r="G107" s="913"/>
    </row>
    <row r="108" spans="1:7" x14ac:dyDescent="0.2">
      <c r="A108" s="909" t="s">
        <v>479</v>
      </c>
      <c r="B108" s="909" t="s">
        <v>844</v>
      </c>
      <c r="C108" s="921">
        <f>'Revenues 9-14'!B145</f>
        <v>3360</v>
      </c>
      <c r="D108" s="912" t="str">
        <f>'Revenues 9-14'!A145</f>
        <v>State Free Lunch &amp; Breakfast</v>
      </c>
      <c r="E108" s="907"/>
      <c r="F108" s="1811">
        <f>'Revenues 9-14'!C145</f>
        <v>17913</v>
      </c>
      <c r="G108" s="913"/>
    </row>
    <row r="109" spans="1:7" x14ac:dyDescent="0.2">
      <c r="A109" s="909" t="s">
        <v>694</v>
      </c>
      <c r="B109" s="909" t="s">
        <v>845</v>
      </c>
      <c r="C109" s="921">
        <f>'Revenues 9-14'!B146</f>
        <v>3365</v>
      </c>
      <c r="D109" s="912" t="str">
        <f>'Revenues 9-14'!A146</f>
        <v>School Breakfast Initiative</v>
      </c>
      <c r="E109" s="907"/>
      <c r="F109" s="1811">
        <f>SUM('Revenues 9-14'!C146,'Revenues 9-14'!D146,'Revenues 9-14'!G146)</f>
        <v>0</v>
      </c>
      <c r="G109" s="913"/>
    </row>
    <row r="110" spans="1:7" x14ac:dyDescent="0.2">
      <c r="A110" s="909" t="s">
        <v>142</v>
      </c>
      <c r="B110" s="909" t="s">
        <v>846</v>
      </c>
      <c r="C110" s="921">
        <f>'Revenues 9-14'!B147</f>
        <v>3370</v>
      </c>
      <c r="D110" s="912" t="str">
        <f>'Revenues 9-14'!A147</f>
        <v>Driver Education</v>
      </c>
      <c r="E110" s="907"/>
      <c r="F110" s="1811">
        <f>SUM('Revenues 9-14'!C147,'Revenues 9-14'!D147)</f>
        <v>0</v>
      </c>
      <c r="G110" s="913"/>
    </row>
    <row r="111" spans="1:7" x14ac:dyDescent="0.2">
      <c r="A111" s="909" t="s">
        <v>689</v>
      </c>
      <c r="B111" s="909" t="s">
        <v>802</v>
      </c>
      <c r="C111" s="923">
        <v>3500</v>
      </c>
      <c r="D111" s="912" t="str">
        <f>'Revenues 9-14'!A154</f>
        <v>Total Transportation</v>
      </c>
      <c r="E111" s="907"/>
      <c r="F111" s="1811">
        <f>SUM('Revenues 9-14'!C154,'Revenues 9-14'!D154,'Revenues 9-14'!F154,'Revenues 9-14'!G154)</f>
        <v>421660</v>
      </c>
      <c r="G111" s="913"/>
    </row>
    <row r="112" spans="1:7" x14ac:dyDescent="0.2">
      <c r="A112" s="909" t="s">
        <v>479</v>
      </c>
      <c r="B112" s="909" t="s">
        <v>847</v>
      </c>
      <c r="C112" s="921">
        <f>'Revenues 9-14'!B155</f>
        <v>3610</v>
      </c>
      <c r="D112" s="912" t="str">
        <f>'Revenues 9-14'!A155</f>
        <v>Learning Improvement - Change Grants</v>
      </c>
      <c r="E112" s="907"/>
      <c r="F112" s="1811">
        <f>'Revenues 9-14'!C155</f>
        <v>0</v>
      </c>
      <c r="G112" s="913"/>
    </row>
    <row r="113" spans="1:7" x14ac:dyDescent="0.2">
      <c r="A113" s="909" t="s">
        <v>689</v>
      </c>
      <c r="B113" s="909" t="s">
        <v>848</v>
      </c>
      <c r="C113" s="921">
        <f>'Revenues 9-14'!B156</f>
        <v>3660</v>
      </c>
      <c r="D113" s="912" t="str">
        <f>'Revenues 9-14'!A156</f>
        <v>Scientific Literacy</v>
      </c>
      <c r="E113" s="907"/>
      <c r="F113" s="1811">
        <f>SUM('Revenues 9-14'!C156,'Revenues 9-14'!D156,'Revenues 9-14'!F156,'Revenues 9-14'!G156)</f>
        <v>0</v>
      </c>
      <c r="G113" s="913"/>
    </row>
    <row r="114" spans="1:7" x14ac:dyDescent="0.2">
      <c r="A114" s="909" t="s">
        <v>5</v>
      </c>
      <c r="B114" s="909" t="s">
        <v>849</v>
      </c>
      <c r="C114" s="921">
        <f>'Revenues 9-14'!B157</f>
        <v>3695</v>
      </c>
      <c r="D114" s="912" t="str">
        <f>'Revenues 9-14'!A157</f>
        <v>Truant Alternative/Optional Education</v>
      </c>
      <c r="E114" s="907"/>
      <c r="F114" s="1811">
        <f>SUM('Revenues 9-14'!C157,'Revenues 9-14'!F157,'Revenues 9-14'!G157)</f>
        <v>0</v>
      </c>
      <c r="G114" s="913"/>
    </row>
    <row r="115" spans="1:7" x14ac:dyDescent="0.2">
      <c r="A115" s="909" t="s">
        <v>5</v>
      </c>
      <c r="B115" s="909" t="s">
        <v>185</v>
      </c>
      <c r="C115" s="921">
        <f>'Revenues 9-14'!B159</f>
        <v>3715</v>
      </c>
      <c r="D115" s="912" t="str">
        <f>'Revenues 9-14'!A159</f>
        <v>Reading Improvement Block Grant</v>
      </c>
      <c r="E115" s="907"/>
      <c r="F115" s="1811">
        <f>SUM('Revenues 9-14'!C159,'Revenues 9-14'!F159,'Revenues 9-14'!G159)</f>
        <v>0</v>
      </c>
      <c r="G115" s="913"/>
    </row>
    <row r="116" spans="1:7" x14ac:dyDescent="0.2">
      <c r="A116" s="924" t="s">
        <v>5</v>
      </c>
      <c r="B116" s="924" t="s">
        <v>186</v>
      </c>
      <c r="C116" s="925">
        <f>'Revenues 9-14'!B160</f>
        <v>3720</v>
      </c>
      <c r="D116" s="926" t="str">
        <f>'Revenues 9-14'!A160</f>
        <v>Reading Improvement Block Grant - Reading Recovery</v>
      </c>
      <c r="E116" s="927"/>
      <c r="F116" s="1811">
        <f>SUM('Revenues 9-14'!C160,'Revenues 9-14'!F160,'Revenues 9-14'!G160)</f>
        <v>0</v>
      </c>
      <c r="G116" s="913"/>
    </row>
    <row r="117" spans="1:7" x14ac:dyDescent="0.2">
      <c r="A117" s="924" t="s">
        <v>5</v>
      </c>
      <c r="B117" s="924" t="s">
        <v>187</v>
      </c>
      <c r="C117" s="925">
        <f>'Revenues 9-14'!B161</f>
        <v>3725</v>
      </c>
      <c r="D117" s="926" t="str">
        <f>'Revenues 9-14'!A161</f>
        <v>Continued Reading Improvement Block Grant</v>
      </c>
      <c r="E117" s="927"/>
      <c r="F117" s="1811">
        <f>SUM('Revenues 9-14'!C161,'Revenues 9-14'!F161,'Revenues 9-14'!G161)</f>
        <v>0</v>
      </c>
      <c r="G117" s="913"/>
    </row>
    <row r="118" spans="1:7" x14ac:dyDescent="0.2">
      <c r="A118" s="924" t="s">
        <v>5</v>
      </c>
      <c r="B118" s="924" t="s">
        <v>850</v>
      </c>
      <c r="C118" s="925">
        <f>'Revenues 9-14'!B162</f>
        <v>3726</v>
      </c>
      <c r="D118" s="926" t="str">
        <f>'Revenues 9-14'!A162</f>
        <v>Continued Reading Improvement Block Grant (2% Set Aside)</v>
      </c>
      <c r="E118" s="927"/>
      <c r="F118" s="1932">
        <f>SUM('Revenues 9-14'!C162,'Revenues 9-14'!F162,'Revenues 9-14'!G162)</f>
        <v>0</v>
      </c>
      <c r="G118" s="913"/>
    </row>
    <row r="119" spans="1:7" x14ac:dyDescent="0.2">
      <c r="A119" s="909" t="s">
        <v>689</v>
      </c>
      <c r="B119" s="909" t="s">
        <v>188</v>
      </c>
      <c r="C119" s="921">
        <f>'Revenues 9-14'!B163</f>
        <v>3766</v>
      </c>
      <c r="D119" s="912" t="str">
        <f>'Revenues 9-14'!A163</f>
        <v>Chicago General Education Block Grant</v>
      </c>
      <c r="E119" s="907"/>
      <c r="F119" s="1811">
        <f>SUM('Revenues 9-14'!C163,'Revenues 9-14'!D163,'Revenues 9-14'!F163,'Revenues 9-14'!G163)</f>
        <v>0</v>
      </c>
      <c r="G119" s="913"/>
    </row>
    <row r="120" spans="1:7" x14ac:dyDescent="0.2">
      <c r="A120" s="909" t="s">
        <v>689</v>
      </c>
      <c r="B120" s="909" t="s">
        <v>851</v>
      </c>
      <c r="C120" s="921">
        <f>'Revenues 9-14'!B164</f>
        <v>3767</v>
      </c>
      <c r="D120" s="912" t="str">
        <f>'Revenues 9-14'!A164</f>
        <v>Chicago Educational Services Block Grant</v>
      </c>
      <c r="E120" s="907"/>
      <c r="F120" s="1811">
        <f>SUM('Revenues 9-14'!C164,'Revenues 9-14'!D164,'Revenues 9-14'!F164,'Revenues 9-14'!G164)</f>
        <v>0</v>
      </c>
      <c r="G120" s="913"/>
    </row>
    <row r="121" spans="1:7" x14ac:dyDescent="0.2">
      <c r="A121" s="924" t="s">
        <v>1066</v>
      </c>
      <c r="B121" s="924" t="s">
        <v>189</v>
      </c>
      <c r="C121" s="925">
        <f>'Revenues 9-14'!B165</f>
        <v>3775</v>
      </c>
      <c r="D121" s="926" t="str">
        <f>'Revenues 9-14'!A165</f>
        <v>School Safety &amp; Educational Improvement Block Grant</v>
      </c>
      <c r="E121" s="907"/>
      <c r="F121" s="1933">
        <f>SUM('Revenues 9-14'!C165,'Revenues 9-14'!D165,'Revenues 9-14'!E165,'Revenues 9-14'!F165,'Revenues 9-14'!G165)</f>
        <v>0</v>
      </c>
      <c r="G121" s="913"/>
    </row>
    <row r="122" spans="1:7" x14ac:dyDescent="0.2">
      <c r="A122" s="924" t="s">
        <v>1066</v>
      </c>
      <c r="B122" s="924" t="s">
        <v>852</v>
      </c>
      <c r="C122" s="925">
        <f>'Revenues 9-14'!B166</f>
        <v>3780</v>
      </c>
      <c r="D122" s="926" t="str">
        <f>'Revenues 9-14'!A166</f>
        <v>Technology - Technology for Success</v>
      </c>
      <c r="E122" s="907"/>
      <c r="F122" s="1933">
        <f>SUM('Revenues 9-14'!C166:G166)</f>
        <v>0</v>
      </c>
      <c r="G122" s="913"/>
    </row>
    <row r="123" spans="1:7" x14ac:dyDescent="0.2">
      <c r="A123" s="924" t="s">
        <v>525</v>
      </c>
      <c r="B123" s="924" t="s">
        <v>853</v>
      </c>
      <c r="C123" s="925">
        <f>'Revenues 9-14'!B167</f>
        <v>3815</v>
      </c>
      <c r="D123" s="926" t="str">
        <f>'Revenues 9-14'!A167</f>
        <v>State Charter Schools</v>
      </c>
      <c r="E123" s="907"/>
      <c r="F123" s="1933">
        <f>SUM('Revenues 9-14'!C167,'Revenues 9-14'!F167)</f>
        <v>0</v>
      </c>
      <c r="G123" s="913"/>
    </row>
    <row r="124" spans="1:7" x14ac:dyDescent="0.2">
      <c r="A124" s="928" t="s">
        <v>480</v>
      </c>
      <c r="B124" s="928" t="s">
        <v>854</v>
      </c>
      <c r="C124" s="929">
        <f>'Revenues 9-14'!B170</f>
        <v>3925</v>
      </c>
      <c r="D124" s="930" t="str">
        <f>'Revenues 9-14'!A170</f>
        <v>School Infrastructure - Maintenance Projects</v>
      </c>
      <c r="E124" s="907"/>
      <c r="F124" s="1811">
        <f>'Revenues 9-14'!D170</f>
        <v>0</v>
      </c>
      <c r="G124" s="931"/>
    </row>
    <row r="125" spans="1:7" x14ac:dyDescent="0.2">
      <c r="A125" s="928" t="s">
        <v>521</v>
      </c>
      <c r="B125" s="928" t="s">
        <v>855</v>
      </c>
      <c r="C125" s="929">
        <f>'Revenues 9-14'!B171</f>
        <v>3999</v>
      </c>
      <c r="D125" s="930" t="s">
        <v>564</v>
      </c>
      <c r="E125" s="932"/>
      <c r="F125" s="1811">
        <f>SUM('Revenues 9-14'!C171:G171,'Revenues 9-14'!J171)</f>
        <v>41445</v>
      </c>
      <c r="G125" s="931"/>
    </row>
    <row r="126" spans="1:7" x14ac:dyDescent="0.2">
      <c r="A126" s="928" t="s">
        <v>479</v>
      </c>
      <c r="B126" s="928" t="s">
        <v>856</v>
      </c>
      <c r="C126" s="933">
        <f>'Revenues 9-14'!B180</f>
        <v>4045</v>
      </c>
      <c r="D126" s="930" t="str">
        <f>'Revenues 9-14'!A180 &amp; " (Subtract)"</f>
        <v>Head Start (Subtract)</v>
      </c>
      <c r="E126" s="907"/>
      <c r="F126" s="1811">
        <f>SUM(-'Revenues 9-14'!C180)</f>
        <v>0</v>
      </c>
      <c r="G126" s="931"/>
    </row>
    <row r="127" spans="1:7" x14ac:dyDescent="0.2">
      <c r="A127" s="928" t="s">
        <v>689</v>
      </c>
      <c r="B127" s="928" t="s">
        <v>857</v>
      </c>
      <c r="C127" s="933" t="s">
        <v>1039</v>
      </c>
      <c r="D127" s="930" t="str">
        <f>('Revenues 9-14'!A184)</f>
        <v>Total Restricted Grants-In-Aid Received Directly from Federal Govt</v>
      </c>
      <c r="E127" s="907"/>
      <c r="F127" s="1811">
        <f>SUM('Revenues 9-14'!C184,'Revenues 9-14'!D184,'Revenues 9-14'!F184,'Revenues 9-14'!G184)</f>
        <v>0</v>
      </c>
      <c r="G127" s="931"/>
    </row>
    <row r="128" spans="1:7" x14ac:dyDescent="0.2">
      <c r="A128" s="928" t="s">
        <v>689</v>
      </c>
      <c r="B128" s="928" t="s">
        <v>858</v>
      </c>
      <c r="C128" s="933">
        <v>4100</v>
      </c>
      <c r="D128" s="934" t="str">
        <f>'Revenues 9-14'!A191</f>
        <v>Total Title V</v>
      </c>
      <c r="E128" s="907"/>
      <c r="F128" s="1811">
        <f>SUM('Revenues 9-14'!C191,'Revenues 9-14'!D191,'Revenues 9-14'!F191,'Revenues 9-14'!G191)</f>
        <v>0</v>
      </c>
      <c r="G128" s="931"/>
    </row>
    <row r="129" spans="1:7" x14ac:dyDescent="0.2">
      <c r="A129" s="928" t="s">
        <v>685</v>
      </c>
      <c r="B129" s="928" t="s">
        <v>803</v>
      </c>
      <c r="C129" s="933">
        <v>4200</v>
      </c>
      <c r="D129" s="930" t="str">
        <f>'Revenues 9-14'!A201</f>
        <v>Total Food Service</v>
      </c>
      <c r="E129" s="907"/>
      <c r="F129" s="1811">
        <f>SUM('Revenues 9-14'!C201,'Revenues 9-14'!G201)</f>
        <v>990103</v>
      </c>
      <c r="G129" s="931"/>
    </row>
    <row r="130" spans="1:7" x14ac:dyDescent="0.2">
      <c r="A130" s="928" t="s">
        <v>689</v>
      </c>
      <c r="B130" s="928" t="s">
        <v>804</v>
      </c>
      <c r="C130" s="933">
        <v>4300</v>
      </c>
      <c r="D130" s="934" t="str">
        <f>'Revenues 9-14'!A211</f>
        <v>Total Title I</v>
      </c>
      <c r="E130" s="907"/>
      <c r="F130" s="1811">
        <f>SUM('Revenues 9-14'!C211,'Revenues 9-14'!D211,'Revenues 9-14'!F211,'Revenues 9-14'!G211)</f>
        <v>1060784</v>
      </c>
      <c r="G130" s="931"/>
    </row>
    <row r="131" spans="1:7" x14ac:dyDescent="0.2">
      <c r="A131" s="928" t="s">
        <v>689</v>
      </c>
      <c r="B131" s="928" t="s">
        <v>805</v>
      </c>
      <c r="C131" s="933">
        <v>4400</v>
      </c>
      <c r="D131" s="934" t="str">
        <f>'Revenues 9-14'!A216</f>
        <v>Total Title IV</v>
      </c>
      <c r="E131" s="907"/>
      <c r="F131" s="1811">
        <f>SUM('Revenues 9-14'!C216,'Revenues 9-14'!D216,'Revenues 9-14'!F216,'Revenues 9-14'!G216)</f>
        <v>0</v>
      </c>
      <c r="G131" s="931"/>
    </row>
    <row r="132" spans="1:7" x14ac:dyDescent="0.2">
      <c r="A132" s="928" t="s">
        <v>689</v>
      </c>
      <c r="B132" s="928" t="s">
        <v>190</v>
      </c>
      <c r="C132" s="933">
        <f>'Revenues 9-14'!B220</f>
        <v>4620</v>
      </c>
      <c r="D132" s="934" t="str">
        <f>'Revenues 9-14'!A220</f>
        <v>Fed - Spec Education - IDEA - Flow Through</v>
      </c>
      <c r="E132" s="907"/>
      <c r="F132" s="1811">
        <f>SUM('Revenues 9-14'!C220:D220,'Revenues 9-14'!F220:G220)</f>
        <v>580793</v>
      </c>
      <c r="G132" s="931"/>
    </row>
    <row r="133" spans="1:7" x14ac:dyDescent="0.2">
      <c r="A133" s="928" t="s">
        <v>689</v>
      </c>
      <c r="B133" s="928" t="s">
        <v>191</v>
      </c>
      <c r="C133" s="933">
        <f>'Revenues 9-14'!B221</f>
        <v>4625</v>
      </c>
      <c r="D133" s="934" t="str">
        <f>'Revenues 9-14'!A221</f>
        <v>Fed - Spec Education - IDEA - Room &amp; Board</v>
      </c>
      <c r="E133" s="907"/>
      <c r="F133" s="1811">
        <f>SUM('Revenues 9-14'!C221,'Revenues 9-14'!D221,'Revenues 9-14'!F221,'Revenues 9-14'!G221)</f>
        <v>3377</v>
      </c>
      <c r="G133" s="931"/>
    </row>
    <row r="134" spans="1:7" x14ac:dyDescent="0.2">
      <c r="A134" s="928" t="s">
        <v>689</v>
      </c>
      <c r="B134" s="928" t="s">
        <v>859</v>
      </c>
      <c r="C134" s="933">
        <f>'Revenues 9-14'!B222</f>
        <v>4630</v>
      </c>
      <c r="D134" s="934" t="str">
        <f>'Revenues 9-14'!A222</f>
        <v>Fed - Spec Education - IDEA - Discretionary</v>
      </c>
      <c r="E134" s="907"/>
      <c r="F134" s="1811">
        <f>SUM('Revenues 9-14'!C222:D222,'Revenues 9-14'!F222:G222)</f>
        <v>0</v>
      </c>
      <c r="G134" s="931">
        <v>6297</v>
      </c>
    </row>
    <row r="135" spans="1:7" x14ac:dyDescent="0.2">
      <c r="A135" s="928" t="s">
        <v>689</v>
      </c>
      <c r="B135" s="928" t="s">
        <v>806</v>
      </c>
      <c r="C135" s="933">
        <f>'Revenues 9-14'!B223</f>
        <v>4699</v>
      </c>
      <c r="D135" s="934" t="str">
        <f>'Revenues 9-14'!A223</f>
        <v>Fed - Spec Education - IDEA - Other (Describe &amp; Itemize)</v>
      </c>
      <c r="E135" s="907"/>
      <c r="F135" s="1811">
        <f>SUM('Revenues 9-14'!C223:D223,'Revenues 9-14'!F223:G223)</f>
        <v>0</v>
      </c>
      <c r="G135" s="931"/>
    </row>
    <row r="136" spans="1:7" x14ac:dyDescent="0.2">
      <c r="A136" s="928" t="s">
        <v>694</v>
      </c>
      <c r="B136" s="928" t="s">
        <v>807</v>
      </c>
      <c r="C136" s="933">
        <v>4700</v>
      </c>
      <c r="D136" s="930" t="str">
        <f>'Revenues 9-14'!A228</f>
        <v>Total CTE - Perkins</v>
      </c>
      <c r="E136" s="907"/>
      <c r="F136" s="1811">
        <f>SUM('Revenues 9-14'!C228,'Revenues 9-14'!D228,'Revenues 9-14'!G228)</f>
        <v>0</v>
      </c>
      <c r="G136" s="931">
        <v>6303</v>
      </c>
    </row>
    <row r="137" spans="1:7" s="868" customFormat="1" hidden="1" x14ac:dyDescent="0.2">
      <c r="A137" s="935" t="s">
        <v>215</v>
      </c>
      <c r="B137" s="935" t="s">
        <v>1484</v>
      </c>
      <c r="C137" s="936" t="s">
        <v>216</v>
      </c>
      <c r="D137" s="937" t="str">
        <f>'Revenues 9-14'!A231</f>
        <v>ARRA - Title I - Low Income</v>
      </c>
      <c r="E137" s="938"/>
      <c r="F137" s="1933">
        <f>SUM('Revenues 9-14'!$C$231:$D$231,'Revenues 9-14'!$F$231:$G$231)</f>
        <v>0</v>
      </c>
      <c r="G137" s="906"/>
    </row>
    <row r="138" spans="1:7" s="868" customFormat="1" hidden="1" x14ac:dyDescent="0.2">
      <c r="A138" s="935" t="s">
        <v>215</v>
      </c>
      <c r="B138" s="935" t="s">
        <v>1485</v>
      </c>
      <c r="C138" s="936" t="s">
        <v>217</v>
      </c>
      <c r="D138" s="937" t="str">
        <f>'Revenues 9-14'!A232</f>
        <v>ARRA - Title I - Neglected, Private</v>
      </c>
      <c r="E138" s="938"/>
      <c r="F138" s="1811">
        <f>SUM('Revenues 9-14'!C232:G232,'Revenues 9-14'!J232)</f>
        <v>0</v>
      </c>
      <c r="G138" s="906"/>
    </row>
    <row r="139" spans="1:7" s="868" customFormat="1" hidden="1" x14ac:dyDescent="0.2">
      <c r="A139" s="935" t="s">
        <v>215</v>
      </c>
      <c r="B139" s="935" t="s">
        <v>220</v>
      </c>
      <c r="C139" s="936" t="s">
        <v>218</v>
      </c>
      <c r="D139" s="937" t="str">
        <f>'Revenues 9-14'!A233</f>
        <v>ARRA - Title I - Delinquent, Private</v>
      </c>
      <c r="E139" s="938"/>
      <c r="F139" s="1811">
        <f>SUM('Revenues 9-14'!C233:G233,'Revenues 9-14'!J233)</f>
        <v>0</v>
      </c>
      <c r="G139" s="906"/>
    </row>
    <row r="140" spans="1:7" s="868" customFormat="1" hidden="1" x14ac:dyDescent="0.2">
      <c r="A140" s="935" t="s">
        <v>215</v>
      </c>
      <c r="B140" s="935" t="s">
        <v>222</v>
      </c>
      <c r="C140" s="936" t="s">
        <v>219</v>
      </c>
      <c r="D140" s="937" t="str">
        <f>'Revenues 9-14'!A234</f>
        <v>ARRA - Title I - School Improvement (Part A)</v>
      </c>
      <c r="E140" s="938"/>
      <c r="F140" s="1811">
        <f>SUM('Revenues 9-14'!C234:G234,'Revenues 9-14'!J234)</f>
        <v>0</v>
      </c>
      <c r="G140" s="906"/>
    </row>
    <row r="141" spans="1:7" s="868" customFormat="1" hidden="1" x14ac:dyDescent="0.2">
      <c r="A141" s="935" t="s">
        <v>215</v>
      </c>
      <c r="B141" s="935" t="s">
        <v>224</v>
      </c>
      <c r="C141" s="936" t="s">
        <v>221</v>
      </c>
      <c r="D141" s="937" t="str">
        <f>'Revenues 9-14'!A235</f>
        <v>ARRA - Title I - School Improvement (Section 1003g)</v>
      </c>
      <c r="E141" s="938"/>
      <c r="F141" s="1811">
        <f>SUM('Revenues 9-14'!C235:G235,'Revenues 9-14'!J235)</f>
        <v>0</v>
      </c>
      <c r="G141" s="906"/>
    </row>
    <row r="142" spans="1:7" s="868" customFormat="1" hidden="1" x14ac:dyDescent="0.2">
      <c r="A142" s="935" t="s">
        <v>215</v>
      </c>
      <c r="B142" s="935" t="s">
        <v>226</v>
      </c>
      <c r="C142" s="936" t="s">
        <v>223</v>
      </c>
      <c r="D142" s="937" t="str">
        <f>'Revenues 9-14'!A236</f>
        <v>ARRA - IDEA - Part B - Preschool</v>
      </c>
      <c r="E142" s="938"/>
      <c r="F142" s="1811">
        <v>0</v>
      </c>
      <c r="G142" s="906"/>
    </row>
    <row r="143" spans="1:7" s="868" customFormat="1" hidden="1" x14ac:dyDescent="0.2">
      <c r="A143" s="935" t="s">
        <v>215</v>
      </c>
      <c r="B143" s="935" t="s">
        <v>228</v>
      </c>
      <c r="C143" s="936" t="s">
        <v>225</v>
      </c>
      <c r="D143" s="937" t="str">
        <f>'Revenues 9-14'!A237</f>
        <v>ARRA - IDEA - Part B - Flow-Through</v>
      </c>
      <c r="E143" s="938"/>
      <c r="F143" s="1811">
        <f>SUM('Revenues 9-14'!C237:G237,'Revenues 9-14'!J237)</f>
        <v>0</v>
      </c>
      <c r="G143" s="906"/>
    </row>
    <row r="144" spans="1:7" s="868" customFormat="1" hidden="1" x14ac:dyDescent="0.2">
      <c r="A144" s="935" t="s">
        <v>215</v>
      </c>
      <c r="B144" s="935" t="s">
        <v>860</v>
      </c>
      <c r="C144" s="936" t="s">
        <v>227</v>
      </c>
      <c r="D144" s="937" t="str">
        <f>'Revenues 9-14'!A238</f>
        <v>ARRA - Title IID - Technology-Formula</v>
      </c>
      <c r="E144" s="938"/>
      <c r="F144" s="1811">
        <f>SUM('Revenues 9-14'!C238:G238,'Revenues 9-14'!J238)</f>
        <v>0</v>
      </c>
      <c r="G144" s="906"/>
    </row>
    <row r="145" spans="1:7" s="868" customFormat="1" hidden="1" x14ac:dyDescent="0.2">
      <c r="A145" s="935" t="s">
        <v>215</v>
      </c>
      <c r="B145" s="935" t="s">
        <v>1486</v>
      </c>
      <c r="C145" s="936" t="s">
        <v>229</v>
      </c>
      <c r="D145" s="937" t="str">
        <f>'Revenues 9-14'!A239</f>
        <v>ARRA - Title IID - Technology-Competitive</v>
      </c>
      <c r="E145" s="938"/>
      <c r="F145" s="1811">
        <f>SUM('Revenues 9-14'!C239:G239,'Revenues 9-14'!J239)</f>
        <v>0</v>
      </c>
      <c r="G145" s="906"/>
    </row>
    <row r="146" spans="1:7" s="868" customFormat="1" hidden="1" x14ac:dyDescent="0.2">
      <c r="A146" s="935" t="s">
        <v>689</v>
      </c>
      <c r="B146" s="935" t="s">
        <v>1487</v>
      </c>
      <c r="C146" s="936" t="s">
        <v>230</v>
      </c>
      <c r="D146" s="937" t="str">
        <f>'Revenues 9-14'!A240</f>
        <v>ARRA - McKinney - Vento Homeless Education</v>
      </c>
      <c r="E146" s="938"/>
      <c r="F146" s="1811">
        <f>SUM('Revenues 9-14'!C240:G240,'Revenues 9-14'!J240)</f>
        <v>0</v>
      </c>
      <c r="G146" s="906"/>
    </row>
    <row r="147" spans="1:7" s="868" customFormat="1" hidden="1" x14ac:dyDescent="0.2">
      <c r="A147" s="935" t="s">
        <v>215</v>
      </c>
      <c r="B147" s="935" t="s">
        <v>233</v>
      </c>
      <c r="C147" s="936" t="s">
        <v>231</v>
      </c>
      <c r="D147" s="937" t="str">
        <f>'Revenues 9-14'!A244</f>
        <v>Qualified Zone Academy Bond Tax Credits</v>
      </c>
      <c r="E147" s="938"/>
      <c r="F147" s="1811">
        <f>SUM('Revenues 9-14'!C244:G244,'Revenues 9-14'!J244)</f>
        <v>0</v>
      </c>
      <c r="G147" s="906"/>
    </row>
    <row r="148" spans="1:7" s="868" customFormat="1" hidden="1" x14ac:dyDescent="0.2">
      <c r="A148" s="935" t="s">
        <v>215</v>
      </c>
      <c r="B148" s="935" t="s">
        <v>235</v>
      </c>
      <c r="C148" s="936" t="s">
        <v>232</v>
      </c>
      <c r="D148" s="937" t="str">
        <f>'Revenues 9-14'!A245</f>
        <v>Qualified School Construction Bond Credits</v>
      </c>
      <c r="E148" s="938"/>
      <c r="F148" s="1811">
        <f>SUM('Revenues 9-14'!C245:G245,'Revenues 9-14'!J245)</f>
        <v>0</v>
      </c>
      <c r="G148" s="906"/>
    </row>
    <row r="149" spans="1:7" s="868" customFormat="1" hidden="1" x14ac:dyDescent="0.2">
      <c r="A149" s="935" t="s">
        <v>215</v>
      </c>
      <c r="B149" s="935" t="s">
        <v>237</v>
      </c>
      <c r="C149" s="936" t="s">
        <v>234</v>
      </c>
      <c r="D149" s="937" t="str">
        <f>'Revenues 9-14'!A246</f>
        <v>Build America Bond Tax Credits</v>
      </c>
      <c r="E149" s="938"/>
      <c r="F149" s="1811">
        <f>SUM('Revenues 9-14'!C246:G246,'Revenues 9-14'!J246)</f>
        <v>0</v>
      </c>
      <c r="G149" s="906"/>
    </row>
    <row r="150" spans="1:7" s="868" customFormat="1" hidden="1" x14ac:dyDescent="0.2">
      <c r="A150" s="935" t="s">
        <v>215</v>
      </c>
      <c r="B150" s="935" t="s">
        <v>1488</v>
      </c>
      <c r="C150" s="936" t="s">
        <v>236</v>
      </c>
      <c r="D150" s="937" t="str">
        <f>'Revenues 9-14'!A247</f>
        <v>Build America Bond Interest Reimbursement</v>
      </c>
      <c r="E150" s="938"/>
      <c r="F150" s="1811">
        <f>SUM('Revenues 9-14'!C247:G247,'Revenues 9-14'!J247)</f>
        <v>773693</v>
      </c>
      <c r="G150" s="906"/>
    </row>
    <row r="151" spans="1:7" s="868" customFormat="1" hidden="1" x14ac:dyDescent="0.2">
      <c r="A151" s="935" t="s">
        <v>215</v>
      </c>
      <c r="B151" s="935" t="s">
        <v>240</v>
      </c>
      <c r="C151" s="936" t="s">
        <v>238</v>
      </c>
      <c r="D151" s="937" t="str">
        <f>'Revenues 9-14'!A249</f>
        <v>Other ARRA Funds - II</v>
      </c>
      <c r="E151" s="938"/>
      <c r="F151" s="1811">
        <f>SUM('Revenues 9-14'!C249:G249,'Revenues 9-14'!J249)</f>
        <v>0</v>
      </c>
      <c r="G151" s="906"/>
    </row>
    <row r="152" spans="1:7" s="868" customFormat="1" hidden="1" x14ac:dyDescent="0.2">
      <c r="A152" s="935" t="s">
        <v>215</v>
      </c>
      <c r="B152" s="935" t="s">
        <v>242</v>
      </c>
      <c r="C152" s="936" t="s">
        <v>239</v>
      </c>
      <c r="D152" s="937" t="str">
        <f>'Revenues 9-14'!A250</f>
        <v>Other ARRA Funds - III</v>
      </c>
      <c r="E152" s="938"/>
      <c r="F152" s="1811">
        <f>SUM('Revenues 9-14'!C250:G250,'Revenues 9-14'!J250)</f>
        <v>0</v>
      </c>
      <c r="G152" s="906"/>
    </row>
    <row r="153" spans="1:7" s="868" customFormat="1" hidden="1" x14ac:dyDescent="0.2">
      <c r="A153" s="935" t="s">
        <v>215</v>
      </c>
      <c r="B153" s="935" t="s">
        <v>244</v>
      </c>
      <c r="C153" s="936" t="s">
        <v>241</v>
      </c>
      <c r="D153" s="937" t="str">
        <f>'Revenues 9-14'!A251</f>
        <v>Other ARRA Funds - IV</v>
      </c>
      <c r="E153" s="938"/>
      <c r="F153" s="1811">
        <f>SUM('Revenues 9-14'!C251:G251,'Revenues 9-14'!J251)</f>
        <v>0</v>
      </c>
      <c r="G153" s="906"/>
    </row>
    <row r="154" spans="1:7" s="868" customFormat="1" hidden="1" x14ac:dyDescent="0.2">
      <c r="A154" s="935" t="s">
        <v>215</v>
      </c>
      <c r="B154" s="935" t="s">
        <v>246</v>
      </c>
      <c r="C154" s="936" t="s">
        <v>243</v>
      </c>
      <c r="D154" s="937" t="str">
        <f>'Revenues 9-14'!A252</f>
        <v>Other ARRA Funds - V</v>
      </c>
      <c r="E154" s="938"/>
      <c r="F154" s="1811">
        <f>SUM('Revenues 9-14'!C252:G252,'Revenues 9-14'!J252)</f>
        <v>0</v>
      </c>
      <c r="G154" s="906"/>
    </row>
    <row r="155" spans="1:7" s="868" customFormat="1" hidden="1" x14ac:dyDescent="0.2">
      <c r="A155" s="935" t="s">
        <v>215</v>
      </c>
      <c r="B155" s="935" t="s">
        <v>248</v>
      </c>
      <c r="C155" s="936" t="s">
        <v>245</v>
      </c>
      <c r="D155" s="937" t="str">
        <f>'Revenues 9-14'!A253</f>
        <v>ARRA - Early Childhood</v>
      </c>
      <c r="E155" s="938"/>
      <c r="F155" s="1811">
        <v>0</v>
      </c>
      <c r="G155" s="906"/>
    </row>
    <row r="156" spans="1:7" s="868" customFormat="1" hidden="1" x14ac:dyDescent="0.2">
      <c r="A156" s="935" t="s">
        <v>215</v>
      </c>
      <c r="B156" s="935" t="s">
        <v>250</v>
      </c>
      <c r="C156" s="936" t="s">
        <v>247</v>
      </c>
      <c r="D156" s="937" t="str">
        <f>'Revenues 9-14'!A254</f>
        <v>Other ARRA Funds VII</v>
      </c>
      <c r="E156" s="938"/>
      <c r="F156" s="1811">
        <f>SUM('Revenues 9-14'!C254:G254,'Revenues 9-14'!J254)</f>
        <v>0</v>
      </c>
      <c r="G156" s="906"/>
    </row>
    <row r="157" spans="1:7" s="868" customFormat="1" hidden="1" x14ac:dyDescent="0.2">
      <c r="A157" s="935" t="s">
        <v>215</v>
      </c>
      <c r="B157" s="935" t="s">
        <v>252</v>
      </c>
      <c r="C157" s="936" t="s">
        <v>249</v>
      </c>
      <c r="D157" s="937" t="str">
        <f>'Revenues 9-14'!A255</f>
        <v>Other ARRA Funds VIII</v>
      </c>
      <c r="E157" s="938"/>
      <c r="F157" s="1811">
        <f>SUM('Revenues 9-14'!C255:G255,'Revenues 9-14'!J255)</f>
        <v>0</v>
      </c>
      <c r="G157" s="906"/>
    </row>
    <row r="158" spans="1:7" s="868" customFormat="1" hidden="1" x14ac:dyDescent="0.2">
      <c r="A158" s="935" t="s">
        <v>215</v>
      </c>
      <c r="B158" s="935" t="s">
        <v>254</v>
      </c>
      <c r="C158" s="936" t="s">
        <v>251</v>
      </c>
      <c r="D158" s="937" t="str">
        <f>'Revenues 9-14'!A256</f>
        <v>Other ARRA Funds IX</v>
      </c>
      <c r="E158" s="938"/>
      <c r="F158" s="1811">
        <f>SUM('Revenues 9-14'!C256:G256,'Revenues 9-14'!J256)</f>
        <v>0</v>
      </c>
      <c r="G158" s="906"/>
    </row>
    <row r="159" spans="1:7" s="868" customFormat="1" hidden="1" x14ac:dyDescent="0.2">
      <c r="A159" s="935" t="s">
        <v>215</v>
      </c>
      <c r="B159" s="935" t="s">
        <v>863</v>
      </c>
      <c r="C159" s="936" t="s">
        <v>253</v>
      </c>
      <c r="D159" s="937" t="str">
        <f>'Revenues 9-14'!A257</f>
        <v>Other ARRA Funds X</v>
      </c>
      <c r="E159" s="938"/>
      <c r="F159" s="1811">
        <f>SUM('Revenues 9-14'!C257:G257,'Revenues 9-14'!J257)</f>
        <v>0</v>
      </c>
      <c r="G159" s="906"/>
    </row>
    <row r="160" spans="1:7" s="868" customFormat="1" hidden="1" x14ac:dyDescent="0.2">
      <c r="A160" s="935" t="s">
        <v>215</v>
      </c>
      <c r="B160" s="935" t="s">
        <v>1489</v>
      </c>
      <c r="C160" s="936" t="s">
        <v>255</v>
      </c>
      <c r="D160" s="937" t="str">
        <f>'Revenues 9-14'!A258</f>
        <v>Other ARRA Funds Ed Job Fund Program</v>
      </c>
      <c r="E160" s="938"/>
      <c r="F160" s="1811">
        <f>SUM('Revenues 9-14'!C258:G258,'Revenues 9-14'!J258)</f>
        <v>0</v>
      </c>
      <c r="G160" s="906"/>
    </row>
    <row r="161" spans="1:7" s="868" customFormat="1" x14ac:dyDescent="0.2">
      <c r="A161" s="939" t="s">
        <v>521</v>
      </c>
      <c r="B161" s="940" t="s">
        <v>1564</v>
      </c>
      <c r="C161" s="941" t="s">
        <v>896</v>
      </c>
      <c r="D161" s="942" t="s">
        <v>808</v>
      </c>
      <c r="E161" s="943"/>
      <c r="F161" s="1811">
        <f>SUM(F137:F160)</f>
        <v>773693</v>
      </c>
      <c r="G161" s="906"/>
    </row>
    <row r="162" spans="1:7" s="868" customFormat="1" x14ac:dyDescent="0.2">
      <c r="A162" s="939" t="s">
        <v>479</v>
      </c>
      <c r="B162" s="940" t="s">
        <v>1501</v>
      </c>
      <c r="C162" s="941" t="s">
        <v>1499</v>
      </c>
      <c r="D162" s="942" t="s">
        <v>1500</v>
      </c>
      <c r="E162" s="943"/>
      <c r="F162" s="1811">
        <f>SUM('Revenues 9-14'!C260)</f>
        <v>0</v>
      </c>
      <c r="G162" s="906"/>
    </row>
    <row r="163" spans="1:7" s="868" customFormat="1" x14ac:dyDescent="0.2">
      <c r="A163" s="939" t="s">
        <v>521</v>
      </c>
      <c r="B163" s="940" t="s">
        <v>1541</v>
      </c>
      <c r="C163" s="941" t="s">
        <v>1542</v>
      </c>
      <c r="D163" s="942" t="s">
        <v>1543</v>
      </c>
      <c r="E163" s="943"/>
      <c r="F163" s="1811">
        <f>SUM('Revenues 9-14'!C261:H261,'Revenues 9-14'!J261:K261)</f>
        <v>0</v>
      </c>
      <c r="G163" s="906"/>
    </row>
    <row r="164" spans="1:7" x14ac:dyDescent="0.2">
      <c r="A164" s="928" t="s">
        <v>1067</v>
      </c>
      <c r="B164" s="928" t="s">
        <v>1556</v>
      </c>
      <c r="C164" s="933">
        <f>'Revenues 9-14'!B262</f>
        <v>4904</v>
      </c>
      <c r="D164" s="930" t="str">
        <f>'Revenues 9-14'!A262</f>
        <v>Advanced Placement Fee/International Baccalaureate</v>
      </c>
      <c r="E164" s="907"/>
      <c r="F164" s="1811">
        <f>SUM('Revenues 9-14'!C262,'Revenues 9-14'!D262,'Revenues 9-14'!G262)</f>
        <v>0</v>
      </c>
      <c r="G164" s="931"/>
    </row>
    <row r="165" spans="1:7" x14ac:dyDescent="0.2">
      <c r="A165" s="928" t="s">
        <v>5</v>
      </c>
      <c r="B165" s="928" t="s">
        <v>809</v>
      </c>
      <c r="C165" s="933">
        <f>'Revenues 9-14'!B263</f>
        <v>4905</v>
      </c>
      <c r="D165" s="930" t="str">
        <f>'Revenues 9-14'!A263</f>
        <v>Title III - Immigrant Education Program (IEP)</v>
      </c>
      <c r="E165" s="907"/>
      <c r="F165" s="1811">
        <f>SUM('Revenues 9-14'!C263,'Revenues 9-14'!F263,'Revenues 9-14'!G263)</f>
        <v>0</v>
      </c>
      <c r="G165" s="944">
        <v>6306</v>
      </c>
    </row>
    <row r="166" spans="1:7" x14ac:dyDescent="0.2">
      <c r="A166" s="928" t="s">
        <v>5</v>
      </c>
      <c r="B166" s="928" t="s">
        <v>1502</v>
      </c>
      <c r="C166" s="933">
        <f>'Revenues 9-14'!B264</f>
        <v>4909</v>
      </c>
      <c r="D166" s="930" t="str">
        <f>'Revenues 9-14'!A264</f>
        <v>Title III - Language Inst Program - Limited Eng (LIPLEP)</v>
      </c>
      <c r="E166" s="907"/>
      <c r="F166" s="1811">
        <f>SUM('Revenues 9-14'!C264,'Revenues 9-14'!F264,'Revenues 9-14'!G264)</f>
        <v>16066</v>
      </c>
      <c r="G166" s="944"/>
    </row>
    <row r="167" spans="1:7" x14ac:dyDescent="0.2">
      <c r="A167" s="928" t="s">
        <v>5</v>
      </c>
      <c r="B167" s="928" t="s">
        <v>1557</v>
      </c>
      <c r="C167" s="933">
        <f>'Revenues 9-14'!B265</f>
        <v>4910</v>
      </c>
      <c r="D167" s="930" t="str">
        <f>'Revenues 9-14'!A265</f>
        <v>Learn &amp; Serve America</v>
      </c>
      <c r="E167" s="907"/>
      <c r="F167" s="1811">
        <f>SUM('Revenues 9-14'!C265,'Revenues 9-14'!F265,'Revenues 9-14'!G265)</f>
        <v>0</v>
      </c>
      <c r="G167" s="931"/>
    </row>
    <row r="168" spans="1:7" x14ac:dyDescent="0.2">
      <c r="A168" s="928" t="s">
        <v>689</v>
      </c>
      <c r="B168" s="928" t="s">
        <v>707</v>
      </c>
      <c r="C168" s="933">
        <f>'Revenues 9-14'!B266</f>
        <v>4920</v>
      </c>
      <c r="D168" s="930" t="str">
        <f>'Revenues 9-14'!A266</f>
        <v>McKinney Education for Homeless Children</v>
      </c>
      <c r="E168" s="907"/>
      <c r="F168" s="1811">
        <f>SUM('Revenues 9-14'!C266,'Revenues 9-14'!D266,'Revenues 9-14'!F266,'Revenues 9-14'!G266)</f>
        <v>0</v>
      </c>
      <c r="G168" s="931"/>
    </row>
    <row r="169" spans="1:7" x14ac:dyDescent="0.2">
      <c r="A169" s="945" t="s">
        <v>689</v>
      </c>
      <c r="B169" s="945" t="s">
        <v>708</v>
      </c>
      <c r="C169" s="946">
        <f>'Revenues 9-14'!B267</f>
        <v>4930</v>
      </c>
      <c r="D169" s="947" t="str">
        <f>'Revenues 9-14'!A267</f>
        <v>Title II - Eisenhower Professional Development Formula</v>
      </c>
      <c r="E169" s="927"/>
      <c r="F169" s="1933">
        <f>SUM('Revenues 9-14'!C267:D267,'Revenues 9-14'!F267,'Revenues 9-14'!G267)</f>
        <v>0</v>
      </c>
      <c r="G169" s="931"/>
    </row>
    <row r="170" spans="1:7" x14ac:dyDescent="0.2">
      <c r="A170" s="928" t="s">
        <v>689</v>
      </c>
      <c r="B170" s="928" t="s">
        <v>709</v>
      </c>
      <c r="C170" s="933">
        <f>'Revenues 9-14'!B268</f>
        <v>4932</v>
      </c>
      <c r="D170" s="934" t="str">
        <f>'Revenues 9-14'!A268</f>
        <v>Title II - Teacher Quality</v>
      </c>
      <c r="E170" s="907"/>
      <c r="F170" s="1933">
        <f>SUM('Revenues 9-14'!C268,'Revenues 9-14'!D268,'Revenues 9-14'!F268,'Revenues 9-14'!G268)</f>
        <v>80087</v>
      </c>
      <c r="G170" s="931"/>
    </row>
    <row r="171" spans="1:7" x14ac:dyDescent="0.2">
      <c r="A171" s="928" t="s">
        <v>689</v>
      </c>
      <c r="B171" s="928" t="s">
        <v>864</v>
      </c>
      <c r="C171" s="933">
        <f>'Revenues 9-14'!B269</f>
        <v>4960</v>
      </c>
      <c r="D171" s="930" t="str">
        <f>'Revenues 9-14'!A269</f>
        <v>Federal Charter Schools</v>
      </c>
      <c r="E171" s="907"/>
      <c r="F171" s="1811">
        <f>SUM('Revenues 9-14'!C269:D269,'Revenues 9-14'!F269:G269)</f>
        <v>0</v>
      </c>
      <c r="G171" s="931"/>
    </row>
    <row r="172" spans="1:7" x14ac:dyDescent="0.2">
      <c r="A172" s="928" t="s">
        <v>689</v>
      </c>
      <c r="B172" s="928" t="s">
        <v>810</v>
      </c>
      <c r="C172" s="933">
        <f>'Revenues 9-14'!B270</f>
        <v>4991</v>
      </c>
      <c r="D172" s="934" t="str">
        <f>'Revenues 9-14'!A270</f>
        <v>Medicaid Matching Funds - Administrative Outreach</v>
      </c>
      <c r="E172" s="907"/>
      <c r="F172" s="1811">
        <f>SUM('Revenues 9-14'!C270:D270,'Revenues 9-14'!F270:G270)</f>
        <v>54981</v>
      </c>
      <c r="G172" s="948">
        <v>6320</v>
      </c>
    </row>
    <row r="173" spans="1:7" x14ac:dyDescent="0.2">
      <c r="A173" s="928" t="s">
        <v>689</v>
      </c>
      <c r="B173" s="928" t="s">
        <v>1503</v>
      </c>
      <c r="C173" s="933">
        <f>'Revenues 9-14'!B271</f>
        <v>4992</v>
      </c>
      <c r="D173" s="934" t="str">
        <f>'Revenues 9-14'!A271</f>
        <v>Medicaid Matching Funds - Fee-for-Service Program</v>
      </c>
      <c r="E173" s="907"/>
      <c r="F173" s="1811">
        <f>SUM('Revenues 9-14'!C271:D271,'Revenues 9-14'!F271:G271)</f>
        <v>126214</v>
      </c>
      <c r="G173" s="948"/>
    </row>
    <row r="174" spans="1:7" x14ac:dyDescent="0.2">
      <c r="A174" s="949" t="s">
        <v>689</v>
      </c>
      <c r="B174" s="945" t="s">
        <v>1558</v>
      </c>
      <c r="C174" s="946">
        <f>'Revenues 9-14'!B272</f>
        <v>4999</v>
      </c>
      <c r="D174" s="947" t="str">
        <f>'Revenues 9-14'!A272</f>
        <v>Other Restricted Revenue from Federal Sources (Describe &amp; Itemize)</v>
      </c>
      <c r="E174" s="907"/>
      <c r="F174" s="1811">
        <f>SUM('Revenues 9-14'!C272:D272,'Revenues 9-14'!F272:G272)</f>
        <v>51083</v>
      </c>
      <c r="G174" s="928"/>
    </row>
    <row r="175" spans="1:7" x14ac:dyDescent="0.2">
      <c r="A175" s="1944" t="s">
        <v>5</v>
      </c>
      <c r="B175" s="1945" t="s">
        <v>2054</v>
      </c>
      <c r="C175" s="1946">
        <v>3100</v>
      </c>
      <c r="D175" s="1947" t="s">
        <v>2057</v>
      </c>
      <c r="E175" s="907"/>
      <c r="F175" s="1931"/>
      <c r="G175" s="928"/>
    </row>
    <row r="176" spans="1:7" x14ac:dyDescent="0.2">
      <c r="A176" s="1944" t="s">
        <v>685</v>
      </c>
      <c r="B176" s="1945" t="s">
        <v>2054</v>
      </c>
      <c r="C176" s="1946">
        <v>3300</v>
      </c>
      <c r="D176" s="1947" t="s">
        <v>2058</v>
      </c>
      <c r="E176" s="907"/>
      <c r="F176" s="1931"/>
      <c r="G176" s="928"/>
    </row>
    <row r="177" spans="1:7" ht="6" customHeight="1" x14ac:dyDescent="0.2">
      <c r="A177" s="928"/>
      <c r="B177" s="928"/>
      <c r="C177" s="950"/>
      <c r="D177" s="928"/>
      <c r="E177" s="907"/>
      <c r="F177" s="951"/>
      <c r="G177" s="948"/>
    </row>
    <row r="178" spans="1:7" x14ac:dyDescent="0.2">
      <c r="A178" s="1792"/>
      <c r="B178" s="1806"/>
      <c r="C178" s="1807"/>
      <c r="D178" s="1808" t="s">
        <v>2011</v>
      </c>
      <c r="E178" s="1809" t="s">
        <v>1015</v>
      </c>
      <c r="F178" s="1810">
        <f>SUM(F84:F136,F161:F176)</f>
        <v>5025918</v>
      </c>
    </row>
    <row r="179" spans="1:7" ht="12" customHeight="1" x14ac:dyDescent="0.2">
      <c r="A179" s="1792"/>
      <c r="B179" s="1806"/>
      <c r="C179" s="1807"/>
      <c r="D179" s="1808" t="s">
        <v>2012</v>
      </c>
      <c r="E179" s="1809"/>
      <c r="F179" s="1811">
        <f>'PCTC-OEPP 27-28'!F77-F178</f>
        <v>14515121</v>
      </c>
    </row>
    <row r="180" spans="1:7" ht="12" customHeight="1" x14ac:dyDescent="0.2">
      <c r="A180" s="1792"/>
      <c r="B180" s="1806"/>
      <c r="C180" s="1807"/>
      <c r="D180" s="1808" t="s">
        <v>1922</v>
      </c>
      <c r="E180" s="1809"/>
      <c r="F180" s="1811">
        <f>'Cap Outlay Deprec 26'!I18</f>
        <v>1751448</v>
      </c>
    </row>
    <row r="181" spans="1:7" ht="12" customHeight="1" x14ac:dyDescent="0.2">
      <c r="A181" s="1792"/>
      <c r="B181" s="1806"/>
      <c r="C181" s="1807"/>
      <c r="D181" s="1808" t="s">
        <v>2013</v>
      </c>
      <c r="E181" s="1809"/>
      <c r="F181" s="1811">
        <f>F179+F180</f>
        <v>16266569</v>
      </c>
    </row>
    <row r="182" spans="1:7" ht="12" customHeight="1" x14ac:dyDescent="0.2">
      <c r="A182" s="1792"/>
      <c r="B182" s="1812"/>
      <c r="C182" s="1807"/>
      <c r="D182" s="1808" t="str">
        <f>D78</f>
        <v>9 Month ADA from District Average Daily Attendance/Prior General State Aid Inquiry 2017-2018</v>
      </c>
      <c r="E182" s="1809"/>
      <c r="F182" s="1813">
        <f>'PCTC-OEPP 27-28'!F78</f>
        <v>1489.49</v>
      </c>
      <c r="G182" s="931"/>
    </row>
    <row r="183" spans="1:7" ht="12" customHeight="1" thickBot="1" x14ac:dyDescent="0.25">
      <c r="A183" s="1792"/>
      <c r="B183" s="1812"/>
      <c r="C183" s="1807"/>
      <c r="D183" s="1808" t="s">
        <v>2014</v>
      </c>
      <c r="E183" s="1809" t="s">
        <v>1626</v>
      </c>
      <c r="F183" s="1814">
        <f>F181/F182</f>
        <v>10920.898428321103</v>
      </c>
      <c r="G183" s="857">
        <v>6323</v>
      </c>
    </row>
    <row r="184" spans="1:7" ht="12" thickTop="1" x14ac:dyDescent="0.2">
      <c r="B184" s="931"/>
      <c r="C184" s="950"/>
      <c r="D184" s="931"/>
      <c r="E184" s="950"/>
      <c r="F184" s="931"/>
      <c r="G184" s="952">
        <v>6326</v>
      </c>
    </row>
    <row r="185" spans="1:7" ht="12.2" customHeight="1" x14ac:dyDescent="0.2">
      <c r="A185" s="931" t="s">
        <v>2056</v>
      </c>
      <c r="B185" s="931"/>
      <c r="C185" s="950"/>
      <c r="D185" s="931"/>
      <c r="E185" s="950"/>
      <c r="F185" s="931"/>
      <c r="G185" s="931"/>
    </row>
    <row r="186" spans="1:7" s="1948" customFormat="1" ht="12.2" customHeight="1" x14ac:dyDescent="0.2">
      <c r="A186" s="1948" t="s">
        <v>2061</v>
      </c>
      <c r="B186" s="1949"/>
      <c r="C186" s="1950"/>
      <c r="D186" s="1949"/>
      <c r="E186" s="1950"/>
      <c r="F186" s="1949"/>
      <c r="G186" s="1949"/>
    </row>
    <row r="187" spans="1:7" s="1948" customFormat="1" ht="12.2" customHeight="1" x14ac:dyDescent="0.2">
      <c r="A187" s="1951" t="s">
        <v>2062</v>
      </c>
      <c r="C187" s="1950"/>
      <c r="D187" s="1949"/>
      <c r="E187" s="1950"/>
      <c r="F187" s="1949"/>
      <c r="G187" s="1949"/>
    </row>
    <row r="188" spans="1:7" ht="12" customHeight="1" x14ac:dyDescent="0.2">
      <c r="C188" s="950"/>
      <c r="D188" s="931"/>
      <c r="E188" s="950"/>
      <c r="F188" s="931"/>
      <c r="G188" s="931"/>
    </row>
    <row r="189" spans="1:7" x14ac:dyDescent="0.2">
      <c r="A189" s="1952" t="s">
        <v>2060</v>
      </c>
      <c r="B189" s="1953" t="s">
        <v>2059</v>
      </c>
      <c r="C189" s="950"/>
      <c r="D189" s="931"/>
      <c r="E189" s="950"/>
      <c r="F189" s="931"/>
      <c r="G189" s="931"/>
    </row>
    <row r="190" spans="1:7" x14ac:dyDescent="0.2">
      <c r="A190" s="931"/>
      <c r="B190" s="931"/>
      <c r="C190" s="950"/>
      <c r="D190" s="931"/>
      <c r="E190" s="950"/>
      <c r="F190" s="931"/>
      <c r="G190" s="931"/>
    </row>
    <row r="191" spans="1:7" x14ac:dyDescent="0.2">
      <c r="A191" s="931"/>
      <c r="B191" s="931"/>
      <c r="C191" s="950"/>
      <c r="D191" s="931"/>
      <c r="E191" s="950"/>
      <c r="F191" s="931"/>
      <c r="G191" s="931"/>
    </row>
    <row r="192" spans="1:7" x14ac:dyDescent="0.2">
      <c r="A192" s="931"/>
      <c r="B192" s="931"/>
      <c r="C192" s="950"/>
      <c r="D192" s="931"/>
      <c r="E192" s="950"/>
      <c r="F192" s="931"/>
      <c r="G192" s="931"/>
    </row>
    <row r="193" spans="1:7" x14ac:dyDescent="0.2">
      <c r="A193" s="931"/>
      <c r="B193" s="931"/>
      <c r="C193" s="950"/>
      <c r="D193" s="931"/>
      <c r="E193" s="950"/>
      <c r="F193" s="931"/>
      <c r="G193" s="931"/>
    </row>
    <row r="194" spans="1:7" x14ac:dyDescent="0.2">
      <c r="A194" s="931"/>
      <c r="B194" s="931"/>
      <c r="C194" s="950"/>
      <c r="D194" s="931"/>
      <c r="E194" s="950"/>
      <c r="F194" s="931"/>
      <c r="G194" s="931"/>
    </row>
    <row r="195" spans="1:7" x14ac:dyDescent="0.2">
      <c r="A195" s="931"/>
      <c r="B195" s="931"/>
      <c r="C195" s="950"/>
      <c r="D195" s="931"/>
      <c r="E195" s="950"/>
      <c r="F195" s="931"/>
      <c r="G195" s="931"/>
    </row>
    <row r="196" spans="1:7" x14ac:dyDescent="0.2">
      <c r="A196" s="931"/>
      <c r="B196" s="931"/>
      <c r="C196" s="950"/>
      <c r="D196" s="931"/>
      <c r="E196" s="950"/>
      <c r="F196" s="931"/>
      <c r="G196" s="931"/>
    </row>
    <row r="197" spans="1:7" x14ac:dyDescent="0.2">
      <c r="A197" s="931"/>
      <c r="B197" s="931"/>
      <c r="C197" s="950"/>
      <c r="D197" s="931"/>
      <c r="E197" s="950"/>
      <c r="F197" s="931"/>
      <c r="G197" s="931"/>
    </row>
    <row r="198" spans="1:7" x14ac:dyDescent="0.2">
      <c r="A198" s="931"/>
      <c r="B198" s="931"/>
      <c r="C198" s="950"/>
      <c r="D198" s="931"/>
      <c r="E198" s="950"/>
      <c r="F198" s="931"/>
      <c r="G198" s="931"/>
    </row>
    <row r="199" spans="1:7" x14ac:dyDescent="0.2">
      <c r="A199" s="931"/>
      <c r="B199" s="931"/>
      <c r="C199" s="950"/>
      <c r="D199" s="931"/>
      <c r="E199" s="950"/>
      <c r="F199" s="931"/>
      <c r="G199" s="931"/>
    </row>
    <row r="200" spans="1:7" x14ac:dyDescent="0.2">
      <c r="A200" s="931"/>
      <c r="B200" s="931"/>
      <c r="C200" s="950"/>
      <c r="D200" s="931"/>
      <c r="E200" s="950"/>
      <c r="F200" s="931"/>
      <c r="G200" s="931"/>
    </row>
    <row r="201" spans="1:7" x14ac:dyDescent="0.2">
      <c r="A201" s="931"/>
      <c r="B201" s="931"/>
      <c r="C201" s="950"/>
      <c r="D201" s="931"/>
      <c r="E201" s="950"/>
      <c r="F201" s="931"/>
      <c r="G201" s="931"/>
    </row>
    <row r="202" spans="1:7" x14ac:dyDescent="0.2">
      <c r="A202" s="931"/>
      <c r="B202" s="931"/>
      <c r="C202" s="950"/>
      <c r="D202" s="931"/>
      <c r="E202" s="950"/>
      <c r="F202" s="931"/>
      <c r="G202" s="931"/>
    </row>
    <row r="203" spans="1:7" x14ac:dyDescent="0.2">
      <c r="A203" s="931"/>
      <c r="B203" s="931"/>
      <c r="C203" s="950"/>
      <c r="D203" s="931"/>
      <c r="E203" s="950"/>
      <c r="F203" s="931"/>
      <c r="G203" s="931"/>
    </row>
    <row r="204" spans="1:7" x14ac:dyDescent="0.2">
      <c r="A204" s="931"/>
      <c r="B204" s="931"/>
      <c r="C204" s="950"/>
      <c r="D204" s="931"/>
      <c r="E204" s="950"/>
      <c r="F204" s="931"/>
      <c r="G204" s="931"/>
    </row>
    <row r="205" spans="1:7" x14ac:dyDescent="0.2">
      <c r="A205" s="931"/>
      <c r="B205" s="931"/>
      <c r="C205" s="950"/>
      <c r="D205" s="931"/>
      <c r="E205" s="950"/>
      <c r="F205" s="931"/>
      <c r="G205" s="931"/>
    </row>
    <row r="206" spans="1:7" x14ac:dyDescent="0.2">
      <c r="A206" s="931"/>
      <c r="B206" s="931"/>
      <c r="C206" s="950"/>
      <c r="D206" s="931"/>
      <c r="E206" s="950"/>
      <c r="F206" s="931"/>
      <c r="G206" s="931"/>
    </row>
  </sheetData>
  <sheetProtection algorithmName="SHA-512" hashValue="dT3HyWjg8Y0YXe/dxc9/ZypgvDTQIODmMGsiycXc8AlVKgi+/lENIQKiWObTIw1fZ7QExeKAc8hBf1bWHVcvxQ==" saltValue="k1lJnln4yiSLbmnUyl2vXQ==" spinCount="100000" sheet="1" objects="1" scenarios="1"/>
  <mergeCells count="5">
    <mergeCell ref="A6:F6"/>
    <mergeCell ref="A1:F1"/>
    <mergeCell ref="A81:F81"/>
    <mergeCell ref="A2:F2"/>
    <mergeCell ref="A5:F5"/>
  </mergeCells>
  <phoneticPr fontId="13" type="noConversion"/>
  <hyperlinks>
    <hyperlink ref="B189" r:id="rId1"/>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0" max="16383" man="1"/>
  </rowBreaks>
  <ignoredErrors>
    <ignoredError sqref="F163 F169 F171:F174 F134:F135 F132 F125 F122 F101" formulaRange="1"/>
    <ignoredError sqref="F183" evalError="1"/>
    <ignoredError sqref="C74 C161:C16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1"/>
  <sheetViews>
    <sheetView showGridLines="0" workbookViewId="0">
      <pane ySplit="16" topLeftCell="A17" activePane="bottomLeft" state="frozen"/>
      <selection pane="bottomLeft"/>
    </sheetView>
  </sheetViews>
  <sheetFormatPr defaultRowHeight="15" x14ac:dyDescent="0.25"/>
  <cols>
    <col min="1" max="1" width="52" style="1564" customWidth="1"/>
    <col min="2" max="2" width="16.42578125" style="1565" bestFit="1" customWidth="1"/>
    <col min="3" max="3" width="33.7109375" style="1565" customWidth="1"/>
    <col min="4" max="4" width="16.28515625" style="1566" customWidth="1"/>
    <col min="5" max="5" width="0.140625" style="1566" hidden="1" customWidth="1"/>
    <col min="6" max="6" width="23.5703125" style="1566" customWidth="1"/>
    <col min="7" max="7" width="23.28515625" style="1565" customWidth="1"/>
    <col min="8" max="16384" width="9.140625" style="1555"/>
  </cols>
  <sheetData>
    <row r="1" spans="1:7" ht="15" customHeight="1" x14ac:dyDescent="0.25">
      <c r="A1" s="1681" t="s">
        <v>1938</v>
      </c>
      <c r="B1" s="1682"/>
      <c r="C1" s="1682"/>
      <c r="D1" s="1682"/>
      <c r="E1" s="1682"/>
      <c r="F1" s="1682"/>
      <c r="G1" s="1682"/>
    </row>
    <row r="2" spans="1:7" x14ac:dyDescent="0.25">
      <c r="A2" s="1679"/>
      <c r="B2" s="1679"/>
      <c r="C2" s="1680" t="s">
        <v>1036</v>
      </c>
      <c r="D2" s="1679"/>
      <c r="E2" s="1679"/>
      <c r="F2" s="1679"/>
      <c r="G2" s="1679"/>
    </row>
    <row r="3" spans="1:7" ht="5.25" customHeight="1" x14ac:dyDescent="0.25">
      <c r="A3" s="1567"/>
      <c r="B3" s="1567"/>
      <c r="C3" s="1567"/>
      <c r="D3" s="1567"/>
      <c r="E3" s="1567"/>
      <c r="F3" s="1567"/>
      <c r="G3" s="1567"/>
    </row>
    <row r="4" spans="1:7" ht="18.75" customHeight="1" x14ac:dyDescent="0.25">
      <c r="A4" s="2289" t="s">
        <v>1923</v>
      </c>
      <c r="B4" s="2290"/>
      <c r="C4" s="2290"/>
      <c r="D4" s="2290"/>
      <c r="E4" s="2290"/>
      <c r="F4" s="2290"/>
      <c r="G4" s="2291"/>
    </row>
    <row r="5" spans="1:7" x14ac:dyDescent="0.25">
      <c r="A5" s="2292"/>
      <c r="B5" s="2293"/>
      <c r="C5" s="2293"/>
      <c r="D5" s="2293"/>
      <c r="E5" s="2293"/>
      <c r="F5" s="2293"/>
      <c r="G5" s="2294"/>
    </row>
    <row r="6" spans="1:7" ht="18.75" x14ac:dyDescent="0.25">
      <c r="A6" s="1556" t="s">
        <v>1924</v>
      </c>
      <c r="B6" s="1557"/>
      <c r="C6" s="1557"/>
      <c r="D6" s="1557"/>
      <c r="E6" s="1557"/>
      <c r="F6" s="1557"/>
      <c r="G6" s="1558"/>
    </row>
    <row r="7" spans="1:7" ht="30.75" customHeight="1" x14ac:dyDescent="0.25">
      <c r="A7" s="2295" t="s">
        <v>2071</v>
      </c>
      <c r="B7" s="2296"/>
      <c r="C7" s="2296"/>
      <c r="D7" s="2296"/>
      <c r="E7" s="2296"/>
      <c r="F7" s="2296"/>
      <c r="G7" s="2297"/>
    </row>
    <row r="8" spans="1:7" ht="15.75" customHeight="1" x14ac:dyDescent="0.25">
      <c r="A8" s="2298" t="s">
        <v>2020</v>
      </c>
      <c r="B8" s="2299"/>
      <c r="C8" s="2299"/>
      <c r="D8" s="2299"/>
      <c r="E8" s="2299"/>
      <c r="F8" s="2299"/>
      <c r="G8" s="2300"/>
    </row>
    <row r="9" spans="1:7" ht="35.25" customHeight="1" x14ac:dyDescent="0.25">
      <c r="A9" s="2295" t="s">
        <v>2074</v>
      </c>
      <c r="B9" s="2296"/>
      <c r="C9" s="2296"/>
      <c r="D9" s="2296"/>
      <c r="E9" s="2296"/>
      <c r="F9" s="2296"/>
      <c r="G9" s="2297"/>
    </row>
    <row r="10" spans="1:7" ht="15" customHeight="1" x14ac:dyDescent="0.25">
      <c r="A10" s="1559" t="s">
        <v>1925</v>
      </c>
      <c r="B10" s="1560"/>
      <c r="C10" s="1560"/>
      <c r="D10" s="1560"/>
      <c r="E10" s="1560"/>
      <c r="F10" s="1560"/>
      <c r="G10" s="1561"/>
    </row>
    <row r="11" spans="1:7" ht="17.25" customHeight="1" x14ac:dyDescent="0.25">
      <c r="A11" s="2295" t="s">
        <v>2073</v>
      </c>
      <c r="B11" s="2296"/>
      <c r="C11" s="2296"/>
      <c r="D11" s="2296"/>
      <c r="E11" s="2296"/>
      <c r="F11" s="2296"/>
      <c r="G11" s="2297"/>
    </row>
    <row r="12" spans="1:7" ht="15" customHeight="1" x14ac:dyDescent="0.25">
      <c r="A12" s="1559" t="s">
        <v>1930</v>
      </c>
      <c r="B12" s="1560"/>
      <c r="C12" s="1560"/>
      <c r="D12" s="1560"/>
      <c r="E12" s="1560"/>
      <c r="F12" s="1560"/>
      <c r="G12" s="1561"/>
    </row>
    <row r="13" spans="1:7" ht="32.25" customHeight="1" x14ac:dyDescent="0.25">
      <c r="A13" s="2286" t="s">
        <v>1931</v>
      </c>
      <c r="B13" s="2287"/>
      <c r="C13" s="2287"/>
      <c r="D13" s="2287"/>
      <c r="E13" s="2287"/>
      <c r="F13" s="2287"/>
      <c r="G13" s="2288"/>
    </row>
    <row r="14" spans="1:7" x14ac:dyDescent="0.25">
      <c r="A14" s="1683" t="s">
        <v>1939</v>
      </c>
      <c r="B14" s="1684"/>
      <c r="C14" s="1684"/>
      <c r="D14" s="1684"/>
      <c r="E14" s="1684"/>
      <c r="F14" s="1684"/>
      <c r="G14" s="1685"/>
    </row>
    <row r="15" spans="1:7" ht="61.5" customHeight="1" x14ac:dyDescent="0.25">
      <c r="A15" s="1568" t="s">
        <v>1932</v>
      </c>
      <c r="B15" s="1568" t="s">
        <v>1933</v>
      </c>
      <c r="C15" s="1568" t="s">
        <v>1934</v>
      </c>
      <c r="D15" s="1569" t="s">
        <v>1935</v>
      </c>
      <c r="E15" s="1569" t="s">
        <v>1926</v>
      </c>
      <c r="F15" s="1569" t="s">
        <v>1936</v>
      </c>
      <c r="G15" s="1569" t="s">
        <v>1937</v>
      </c>
    </row>
    <row r="16" spans="1:7" x14ac:dyDescent="0.25">
      <c r="A16" s="1670" t="s">
        <v>1940</v>
      </c>
      <c r="B16" s="1671" t="s">
        <v>1929</v>
      </c>
      <c r="C16" s="1672" t="s">
        <v>1927</v>
      </c>
      <c r="D16" s="1673">
        <v>500000</v>
      </c>
      <c r="E16" s="1673">
        <f>IF(D16&lt;=25000,D16,IF(D16&gt;25000,25000,0))</f>
        <v>25000</v>
      </c>
      <c r="F16" s="1673">
        <f t="shared" ref="F16:F17" si="0">IF(OR(B16="10-1000-100",B16="10-1000-200",B16="10-1000-300",B16="10-1000-400",B16="10-1000-600",B16="10-1000-800",B16="50-1000-200",B16="10-2100-100",B16="10-2100-200",B16="10-2100-300",B16="10-2100-400",B16="10-2100-600",B16="10-2100-800",B16="20-2100-200",B16="20-2190-100",B16="20-2190-200",B16="20-2190-300",B16="20-2190-400",B16="20-2190-600",B16="20-2190-800",B16="40-2190-100",B16="40-2190-200",B16="40-2190-300",B16="40-2190-400",B16="40-2190-600",B16="40-2190-800",B16="50-2190-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20-2540-800",B16="20-2540-100",B16="20-2540-200",B16="20-2540-300",B16="20-2540-400",B16="20-2540-600",B16="50-2540-200",B16="90-2540-100",B16="90-2540-200",B16="90-2540-300",B16="90-2540-400",B16="90-2540-600",B16="90-2540-800",B16="90-2540-800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20-2560-100",B16="20-2560-200",B16="20-2560-300",B16="20-2560-400",B16="20-2560-600",B16="20-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60-2900-100",B16="60-2900-200",B16="60-2900-300",B16="60-2900-400",B16="60-2900-600",B16="60-2900-800",B16="90-2900-100",B16="90-2900-200",B16="90-2900-300",B16="90-2900-400",B16="90-2900-600",B16="90-2900-800",B16="10-3000-100",B16="10-3000-200",B16="10-3000-300",B16="10-3000-400",B16="10-3000-600",B16="10-3000-800",B16="20-3000-100",B16="20-3000-200",B16="20-3000-300",B16="20-3000-400",B16="20-3000-600",B16="20-3000-800",B16="40-3000-100",B16="40-3000-200",B16="40-3000-300",B16="40-3000-400",B16="40-3000-600",B16="40-3000-800",B16="50-3000-200"),E16,0)</f>
        <v>25000</v>
      </c>
      <c r="G16" s="1674">
        <f>IF(F16=0,"0",D16-F16)</f>
        <v>475000</v>
      </c>
    </row>
    <row r="17" spans="1:8" x14ac:dyDescent="0.25">
      <c r="A17" s="1956" t="s">
        <v>2100</v>
      </c>
      <c r="B17" s="1868"/>
      <c r="C17" s="1678"/>
      <c r="D17" s="1867"/>
      <c r="E17" s="1562">
        <f t="shared" ref="E17:E141" si="1">IF(D17&lt;=25000,D17,IF(D17&gt;25000,25000,0))</f>
        <v>0</v>
      </c>
      <c r="F17" s="1815">
        <f t="shared" si="0"/>
        <v>0</v>
      </c>
      <c r="G17" s="1816">
        <f>IF(F17=0,0,D17-F17)</f>
        <v>0</v>
      </c>
      <c r="H17" s="1669"/>
    </row>
    <row r="18" spans="1:8" x14ac:dyDescent="0.25">
      <c r="A18" s="1675"/>
      <c r="B18" s="1868"/>
      <c r="C18" s="1678"/>
      <c r="D18" s="1867"/>
      <c r="E18" s="1562">
        <f t="shared" ref="E18:E140" si="2">IF(D18&lt;=25000,D18,IF(D18&gt;25000,25000,0))</f>
        <v>0</v>
      </c>
      <c r="F18" s="1815">
        <f t="shared" ref="F18:F140" si="3">IF(OR(B18="10-1000-100",B18="10-1000-200",B18="10-1000-300",B18="10-1000-400",B18="10-1000-600",B18="10-1000-800",B18="50-1000-200",B18="10-2100-100",B18="10-2100-200",B18="10-2100-300",B18="10-2100-400",B18="10-2100-600",B18="10-2100-800",B18="20-2100-200",B18="20-2190-100",B18="20-2190-200",B18="20-2190-300",B18="20-2190-400",B18="20-2190-600",B18="20-2190-800",B18="40-2190-100",B18="40-2190-200",B18="40-2190-300",B18="40-2190-400",B18="40-2190-600",B18="40-2190-800",B18="50-2190-200",B18="10-2200-100",B18="10-2200-200",B18="10-2200-300",B18="10-2200-400",B18="10-2200-600",B18="10-2200-800",B18="50-2200-200",B18="10-2300-100",B18="10-2300-200",B18="10-2300-300",B18="10-2300-400",B18="10-2300-600",B18="10-2300-800",B18="50-2300-200",B18="80-2300-100",B18="80-2300-200",B18="80-2300-300",B18="80-2300-400",B18="80-2300-600",B18="80-2300-800",B18="10-2400-100",B18="10-2400-200",B18="10-2400-300",B18="10-2400-400",B18="10-2400-600",B18="10-2400-800",B18="50-2400-200",B18="10-2510-100",B18="10-2510-200",B18="10-2510-300",B18="10-2510-400",B18="10-2510-600",B18="10-2510-800",B18="20-2510-100",B18="20-2510-200",B18="20-2510-300",B18="20-2510-400",B18="20-2510-600",B18="20-2510-800",B18="50-2510-200",B18="10-2520-100",B18="10-2520-200",B18="10-2520-300",B18="10-2520-400",B18="10-2520-600",B18="10-2520-800",B18="50-2520-200",B18="10-2540-100",B18="10-2540-200",B18="10-2540-300",B18="10-2540-400",B18="10-2540-600",B18="20-2540-800",B18="20-2540-100",B18="20-2540-200",B18="20-2540-300",B18="20-2540-400",B18="20-2540-600",B18="50-2540-200",B18="90-2540-100",B18="90-2540-200",B18="90-2540-300",B18="90-2540-400",B18="90-2540-600",B18="90-2540-800",B18="90-2540-800",B18="10-2550-100",B18="10-2550-200",B18="10-2550-300",B18="10-2550-400",B18="10-2550-600",B18="10-2550-800",B18="20-2550-100",B18="20-2550-200",B18="20-2550-300",B18="20-2550-400",B18="20-2550-600",B18="20-2550-800",B18="40-2550-100",B18="40-2550-200",B18="40-2550-300",B18="40-2550-400",B18="40-2550-600",B18="40-2550-800",B18="50-2550-200",B18="10-2560-100",B18="10-2560-200",B18="10-2560-300",B18="10-2560-400",B18="10-2560-600",B18="10-2560-800",B18="20-2560-100",B18="20-2560-200",B18="20-2560-300",B18="20-2560-400",B18="20-2560-600",B18="20-2560-800",B18="50-2560-200",B18="10-2570-100",B18="10-2570-200",B18="10-2570-300",B18="10-2570-400",B18="10-2570-600",B18="10-2570-800",B18="50-2570-200",B18="10-2610-100",B18="10-2610-200",B18="10-2610-300",B18="10-2610-400",B18="10-2610-600",B18="10-2610-800",B18="50-2610-200",B18="10-2620-100",B18="10-2620-200",B18="10-2620-300",B18="10-2620-400",B18="10-2620-600",B18="10-2620-800",B18="50-2620-200",B18="10-2630-100",B18="10-2630-200",B18="10-2630-300",B18="10-2630-400",B18="10-2630-600",B18="10-2630-800",B18="50-2630-200",B18="10-2640-100",B18="10-2640-200",B18="10-2640-300",B18="10-2640-400",B18="10-2640-600",B18="10-2640-800",B18="50-2640-200",B18="10-2660-100",B18="10-2660-200",B18="10-2660-300",B18="10-2660-400",B18="10-2660-600",B18="10-2660-800",B18="50-2660-200",B18="10-2900-100",B18="10-2900-200",B18="10-2900-300",B18="10-2900-400",B18="10-2900-600",B18="10-2900-800",B18="20-2900-100",B18="20-2900-200",B18="20-2900-300",B18="20-2900-400",B18="20-2900-600",B18="20-2900-800",B18="40-2900-100",B18="40-2900-200",B18="40-2900-300",B18="40-2900-400",B18="40-2900-600",B18="40-2900-800",B18="50-2900-200",B18="60-2900-100",B18="60-2900-200",B18="60-2900-300",B18="60-2900-400",B18="60-2900-600",B18="60-2900-800",B18="90-2900-100",B18="90-2900-200",B18="90-2900-300",B18="90-2900-400",B18="90-2900-600",B18="90-2900-800",B18="10-3000-100",B18="10-3000-200",B18="10-3000-300",B18="10-3000-400",B18="10-3000-600",B18="10-3000-800",B18="20-3000-100",B18="20-3000-200",B18="20-3000-300",B18="20-3000-400",B18="20-3000-600",B18="20-3000-800",B18="40-3000-100",B18="40-3000-200",B18="40-3000-300",B18="40-3000-400",B18="40-3000-600",B18="40-3000-800",B18="50-3000-200"),E18,0)</f>
        <v>0</v>
      </c>
      <c r="G18" s="1816">
        <f t="shared" ref="G18:G140" si="4">IF(F18=0,0,D18-F18)</f>
        <v>0</v>
      </c>
    </row>
    <row r="19" spans="1:8" x14ac:dyDescent="0.25">
      <c r="A19" s="1675"/>
      <c r="B19" s="1869"/>
      <c r="C19" s="1678"/>
      <c r="D19" s="1867"/>
      <c r="E19" s="1562">
        <f t="shared" si="2"/>
        <v>0</v>
      </c>
      <c r="F19" s="1815">
        <f t="shared" si="3"/>
        <v>0</v>
      </c>
      <c r="G19" s="1816">
        <f t="shared" si="4"/>
        <v>0</v>
      </c>
    </row>
    <row r="20" spans="1:8" x14ac:dyDescent="0.25">
      <c r="A20" s="1675"/>
      <c r="B20" s="1868"/>
      <c r="C20" s="1678"/>
      <c r="D20" s="1867"/>
      <c r="E20" s="1562">
        <f t="shared" si="2"/>
        <v>0</v>
      </c>
      <c r="F20" s="1815">
        <f t="shared" si="3"/>
        <v>0</v>
      </c>
      <c r="G20" s="1816">
        <f t="shared" si="4"/>
        <v>0</v>
      </c>
    </row>
    <row r="21" spans="1:8" x14ac:dyDescent="0.25">
      <c r="A21" s="1675"/>
      <c r="B21" s="1868"/>
      <c r="C21" s="1678"/>
      <c r="D21" s="1867"/>
      <c r="E21" s="1562">
        <f t="shared" si="2"/>
        <v>0</v>
      </c>
      <c r="F21" s="1815">
        <f t="shared" si="3"/>
        <v>0</v>
      </c>
      <c r="G21" s="1816">
        <f t="shared" si="4"/>
        <v>0</v>
      </c>
    </row>
    <row r="22" spans="1:8" x14ac:dyDescent="0.25">
      <c r="A22" s="1675"/>
      <c r="B22" s="1868"/>
      <c r="C22" s="1678"/>
      <c r="D22" s="1867"/>
      <c r="E22" s="1562">
        <f t="shared" si="2"/>
        <v>0</v>
      </c>
      <c r="F22" s="1815">
        <f t="shared" si="3"/>
        <v>0</v>
      </c>
      <c r="G22" s="1816">
        <f t="shared" si="4"/>
        <v>0</v>
      </c>
    </row>
    <row r="23" spans="1:8" x14ac:dyDescent="0.25">
      <c r="A23" s="1675"/>
      <c r="B23" s="1868"/>
      <c r="C23" s="1678"/>
      <c r="D23" s="1867"/>
      <c r="E23" s="1562">
        <f t="shared" si="2"/>
        <v>0</v>
      </c>
      <c r="F23" s="1815">
        <f t="shared" si="3"/>
        <v>0</v>
      </c>
      <c r="G23" s="1816">
        <f t="shared" si="4"/>
        <v>0</v>
      </c>
    </row>
    <row r="24" spans="1:8" x14ac:dyDescent="0.25">
      <c r="A24" s="1675"/>
      <c r="B24" s="1869"/>
      <c r="C24" s="1678"/>
      <c r="D24" s="1867"/>
      <c r="E24" s="1562">
        <f t="shared" si="2"/>
        <v>0</v>
      </c>
      <c r="F24" s="1815">
        <f t="shared" si="3"/>
        <v>0</v>
      </c>
      <c r="G24" s="1816">
        <f t="shared" si="4"/>
        <v>0</v>
      </c>
    </row>
    <row r="25" spans="1:8" x14ac:dyDescent="0.25">
      <c r="A25" s="1675"/>
      <c r="B25" s="1868"/>
      <c r="C25" s="1678"/>
      <c r="D25" s="1867"/>
      <c r="E25" s="1562">
        <f t="shared" si="2"/>
        <v>0</v>
      </c>
      <c r="F25" s="1815">
        <f t="shared" si="3"/>
        <v>0</v>
      </c>
      <c r="G25" s="1816">
        <f t="shared" si="4"/>
        <v>0</v>
      </c>
    </row>
    <row r="26" spans="1:8" x14ac:dyDescent="0.25">
      <c r="A26" s="1675"/>
      <c r="B26" s="1869"/>
      <c r="C26" s="1676"/>
      <c r="D26" s="1867"/>
      <c r="E26" s="1562">
        <f t="shared" si="2"/>
        <v>0</v>
      </c>
      <c r="F26" s="1815">
        <f t="shared" si="3"/>
        <v>0</v>
      </c>
      <c r="G26" s="1816">
        <f t="shared" si="4"/>
        <v>0</v>
      </c>
    </row>
    <row r="27" spans="1:8" x14ac:dyDescent="0.25">
      <c r="A27" s="1675"/>
      <c r="B27" s="1869"/>
      <c r="C27" s="1676"/>
      <c r="D27" s="1867"/>
      <c r="E27" s="1562">
        <f t="shared" si="2"/>
        <v>0</v>
      </c>
      <c r="F27" s="1815">
        <f t="shared" si="3"/>
        <v>0</v>
      </c>
      <c r="G27" s="1816">
        <f t="shared" si="4"/>
        <v>0</v>
      </c>
    </row>
    <row r="28" spans="1:8" x14ac:dyDescent="0.25">
      <c r="A28" s="1675"/>
      <c r="B28" s="1869"/>
      <c r="C28" s="1676"/>
      <c r="D28" s="1867"/>
      <c r="E28" s="1562">
        <f t="shared" si="2"/>
        <v>0</v>
      </c>
      <c r="F28" s="1815">
        <f t="shared" si="3"/>
        <v>0</v>
      </c>
      <c r="G28" s="1816">
        <f t="shared" si="4"/>
        <v>0</v>
      </c>
    </row>
    <row r="29" spans="1:8" x14ac:dyDescent="0.25">
      <c r="A29" s="1675"/>
      <c r="B29" s="1869"/>
      <c r="C29" s="1676"/>
      <c r="D29" s="1867"/>
      <c r="E29" s="1562">
        <f t="shared" si="2"/>
        <v>0</v>
      </c>
      <c r="F29" s="1815">
        <f t="shared" si="3"/>
        <v>0</v>
      </c>
      <c r="G29" s="1816">
        <f t="shared" si="4"/>
        <v>0</v>
      </c>
    </row>
    <row r="30" spans="1:8" x14ac:dyDescent="0.25">
      <c r="A30" s="1675"/>
      <c r="B30" s="1869"/>
      <c r="C30" s="1676"/>
      <c r="D30" s="1867"/>
      <c r="E30" s="1562">
        <f t="shared" si="2"/>
        <v>0</v>
      </c>
      <c r="F30" s="1815">
        <f t="shared" si="3"/>
        <v>0</v>
      </c>
      <c r="G30" s="1816">
        <f t="shared" si="4"/>
        <v>0</v>
      </c>
    </row>
    <row r="31" spans="1:8" x14ac:dyDescent="0.25">
      <c r="A31" s="1675"/>
      <c r="B31" s="1869"/>
      <c r="C31" s="1676"/>
      <c r="D31" s="1867"/>
      <c r="E31" s="1562">
        <f t="shared" si="2"/>
        <v>0</v>
      </c>
      <c r="F31" s="1815">
        <f t="shared" si="3"/>
        <v>0</v>
      </c>
      <c r="G31" s="1816">
        <f t="shared" si="4"/>
        <v>0</v>
      </c>
    </row>
    <row r="32" spans="1:8" x14ac:dyDescent="0.25">
      <c r="A32" s="1675"/>
      <c r="B32" s="1869"/>
      <c r="C32" s="1676"/>
      <c r="D32" s="1867"/>
      <c r="E32" s="1562">
        <f t="shared" si="2"/>
        <v>0</v>
      </c>
      <c r="F32" s="1815">
        <f t="shared" si="3"/>
        <v>0</v>
      </c>
      <c r="G32" s="1816">
        <f t="shared" si="4"/>
        <v>0</v>
      </c>
    </row>
    <row r="33" spans="1:7" x14ac:dyDescent="0.25">
      <c r="A33" s="1675"/>
      <c r="B33" s="1869"/>
      <c r="C33" s="1676"/>
      <c r="D33" s="1867"/>
      <c r="E33" s="1562">
        <f t="shared" si="2"/>
        <v>0</v>
      </c>
      <c r="F33" s="1815">
        <f t="shared" si="3"/>
        <v>0</v>
      </c>
      <c r="G33" s="1816">
        <f t="shared" si="4"/>
        <v>0</v>
      </c>
    </row>
    <row r="34" spans="1:7" x14ac:dyDescent="0.25">
      <c r="A34" s="1675"/>
      <c r="B34" s="1869"/>
      <c r="C34" s="1676"/>
      <c r="D34" s="1867"/>
      <c r="E34" s="1562">
        <f t="shared" si="2"/>
        <v>0</v>
      </c>
      <c r="F34" s="1815">
        <f t="shared" si="3"/>
        <v>0</v>
      </c>
      <c r="G34" s="1816">
        <f t="shared" si="4"/>
        <v>0</v>
      </c>
    </row>
    <row r="35" spans="1:7" x14ac:dyDescent="0.25">
      <c r="A35" s="1675"/>
      <c r="B35" s="1869"/>
      <c r="C35" s="1676"/>
      <c r="D35" s="1867"/>
      <c r="E35" s="1562">
        <f t="shared" si="2"/>
        <v>0</v>
      </c>
      <c r="F35" s="1815">
        <f t="shared" si="3"/>
        <v>0</v>
      </c>
      <c r="G35" s="1816">
        <f t="shared" si="4"/>
        <v>0</v>
      </c>
    </row>
    <row r="36" spans="1:7" x14ac:dyDescent="0.25">
      <c r="A36" s="1675"/>
      <c r="B36" s="1869"/>
      <c r="C36" s="1676"/>
      <c r="D36" s="1867"/>
      <c r="E36" s="1562">
        <f t="shared" si="2"/>
        <v>0</v>
      </c>
      <c r="F36" s="1815">
        <f t="shared" si="3"/>
        <v>0</v>
      </c>
      <c r="G36" s="1816">
        <f t="shared" si="4"/>
        <v>0</v>
      </c>
    </row>
    <row r="37" spans="1:7" x14ac:dyDescent="0.25">
      <c r="A37" s="1675"/>
      <c r="B37" s="1869"/>
      <c r="C37" s="1676"/>
      <c r="D37" s="1867"/>
      <c r="E37" s="1562">
        <f t="shared" si="2"/>
        <v>0</v>
      </c>
      <c r="F37" s="1815">
        <f t="shared" si="3"/>
        <v>0</v>
      </c>
      <c r="G37" s="1816">
        <f t="shared" si="4"/>
        <v>0</v>
      </c>
    </row>
    <row r="38" spans="1:7" x14ac:dyDescent="0.25">
      <c r="A38" s="1675"/>
      <c r="B38" s="1689"/>
      <c r="C38" s="1676"/>
      <c r="D38" s="1867"/>
      <c r="E38" s="1562">
        <f t="shared" si="2"/>
        <v>0</v>
      </c>
      <c r="F38" s="1815">
        <f t="shared" si="3"/>
        <v>0</v>
      </c>
      <c r="G38" s="1816">
        <f t="shared" si="4"/>
        <v>0</v>
      </c>
    </row>
    <row r="39" spans="1:7" x14ac:dyDescent="0.25">
      <c r="A39" s="1675"/>
      <c r="B39" s="1689"/>
      <c r="C39" s="1676"/>
      <c r="D39" s="1867"/>
      <c r="E39" s="1562">
        <f t="shared" si="2"/>
        <v>0</v>
      </c>
      <c r="F39" s="1815">
        <f t="shared" si="3"/>
        <v>0</v>
      </c>
      <c r="G39" s="1816">
        <f t="shared" si="4"/>
        <v>0</v>
      </c>
    </row>
    <row r="40" spans="1:7" x14ac:dyDescent="0.25">
      <c r="A40" s="1675"/>
      <c r="B40" s="1689"/>
      <c r="C40" s="1676"/>
      <c r="D40" s="1867"/>
      <c r="E40" s="1562">
        <f t="shared" si="2"/>
        <v>0</v>
      </c>
      <c r="F40" s="1815">
        <f t="shared" si="3"/>
        <v>0</v>
      </c>
      <c r="G40" s="1816">
        <f t="shared" si="4"/>
        <v>0</v>
      </c>
    </row>
    <row r="41" spans="1:7" x14ac:dyDescent="0.25">
      <c r="A41" s="1675"/>
      <c r="B41" s="1689"/>
      <c r="C41" s="1676"/>
      <c r="D41" s="1867"/>
      <c r="E41" s="1562">
        <f t="shared" si="2"/>
        <v>0</v>
      </c>
      <c r="F41" s="1815">
        <f t="shared" si="3"/>
        <v>0</v>
      </c>
      <c r="G41" s="1816">
        <f t="shared" si="4"/>
        <v>0</v>
      </c>
    </row>
    <row r="42" spans="1:7" x14ac:dyDescent="0.25">
      <c r="A42" s="1675"/>
      <c r="B42" s="1689"/>
      <c r="C42" s="1676"/>
      <c r="D42" s="1867"/>
      <c r="E42" s="1562">
        <f t="shared" si="2"/>
        <v>0</v>
      </c>
      <c r="F42" s="1815">
        <f t="shared" si="3"/>
        <v>0</v>
      </c>
      <c r="G42" s="1816">
        <f t="shared" si="4"/>
        <v>0</v>
      </c>
    </row>
    <row r="43" spans="1:7" x14ac:dyDescent="0.25">
      <c r="A43" s="1675"/>
      <c r="B43" s="1689"/>
      <c r="C43" s="1676"/>
      <c r="D43" s="1867"/>
      <c r="E43" s="1562">
        <f t="shared" si="2"/>
        <v>0</v>
      </c>
      <c r="F43" s="1815">
        <f t="shared" si="3"/>
        <v>0</v>
      </c>
      <c r="G43" s="1816">
        <f t="shared" si="4"/>
        <v>0</v>
      </c>
    </row>
    <row r="44" spans="1:7" x14ac:dyDescent="0.25">
      <c r="A44" s="1675"/>
      <c r="B44" s="1689"/>
      <c r="C44" s="1676"/>
      <c r="D44" s="1867"/>
      <c r="E44" s="1562">
        <f t="shared" si="2"/>
        <v>0</v>
      </c>
      <c r="F44" s="1815">
        <f t="shared" si="3"/>
        <v>0</v>
      </c>
      <c r="G44" s="1816">
        <f t="shared" si="4"/>
        <v>0</v>
      </c>
    </row>
    <row r="45" spans="1:7" x14ac:dyDescent="0.25">
      <c r="A45" s="1675"/>
      <c r="B45" s="1689"/>
      <c r="C45" s="1676"/>
      <c r="D45" s="1867"/>
      <c r="E45" s="1562">
        <f t="shared" si="2"/>
        <v>0</v>
      </c>
      <c r="F45" s="1815">
        <f t="shared" si="3"/>
        <v>0</v>
      </c>
      <c r="G45" s="1816">
        <f t="shared" si="4"/>
        <v>0</v>
      </c>
    </row>
    <row r="46" spans="1:7" x14ac:dyDescent="0.25">
      <c r="A46" s="1675"/>
      <c r="B46" s="1689"/>
      <c r="C46" s="1676"/>
      <c r="D46" s="1867"/>
      <c r="E46" s="1562">
        <f t="shared" si="2"/>
        <v>0</v>
      </c>
      <c r="F46" s="1815">
        <f t="shared" si="3"/>
        <v>0</v>
      </c>
      <c r="G46" s="1816">
        <f t="shared" si="4"/>
        <v>0</v>
      </c>
    </row>
    <row r="47" spans="1:7" x14ac:dyDescent="0.25">
      <c r="A47" s="1675"/>
      <c r="B47" s="1689"/>
      <c r="C47" s="1676"/>
      <c r="D47" s="1867"/>
      <c r="E47" s="1562">
        <f t="shared" si="2"/>
        <v>0</v>
      </c>
      <c r="F47" s="1815">
        <f t="shared" si="3"/>
        <v>0</v>
      </c>
      <c r="G47" s="1816">
        <f t="shared" si="4"/>
        <v>0</v>
      </c>
    </row>
    <row r="48" spans="1:7" x14ac:dyDescent="0.25">
      <c r="A48" s="1675"/>
      <c r="B48" s="1689"/>
      <c r="C48" s="1676"/>
      <c r="D48" s="1867"/>
      <c r="E48" s="1562">
        <f t="shared" si="2"/>
        <v>0</v>
      </c>
      <c r="F48" s="1815">
        <f t="shared" si="3"/>
        <v>0</v>
      </c>
      <c r="G48" s="1816">
        <f t="shared" si="4"/>
        <v>0</v>
      </c>
    </row>
    <row r="49" spans="1:7" x14ac:dyDescent="0.25">
      <c r="A49" s="1675"/>
      <c r="B49" s="1689"/>
      <c r="C49" s="1676"/>
      <c r="D49" s="1867"/>
      <c r="E49" s="1562">
        <f t="shared" si="2"/>
        <v>0</v>
      </c>
      <c r="F49" s="1815">
        <f t="shared" si="3"/>
        <v>0</v>
      </c>
      <c r="G49" s="1816">
        <f t="shared" si="4"/>
        <v>0</v>
      </c>
    </row>
    <row r="50" spans="1:7" x14ac:dyDescent="0.25">
      <c r="A50" s="1675"/>
      <c r="B50" s="1689"/>
      <c r="C50" s="1676"/>
      <c r="D50" s="1867"/>
      <c r="E50" s="1562">
        <f t="shared" si="2"/>
        <v>0</v>
      </c>
      <c r="F50" s="1815">
        <f t="shared" si="3"/>
        <v>0</v>
      </c>
      <c r="G50" s="1816">
        <f t="shared" si="4"/>
        <v>0</v>
      </c>
    </row>
    <row r="51" spans="1:7" x14ac:dyDescent="0.25">
      <c r="A51" s="1675"/>
      <c r="B51" s="1689"/>
      <c r="C51" s="1676"/>
      <c r="D51" s="1867"/>
      <c r="E51" s="1562">
        <f t="shared" si="2"/>
        <v>0</v>
      </c>
      <c r="F51" s="1815">
        <f t="shared" si="3"/>
        <v>0</v>
      </c>
      <c r="G51" s="1816">
        <f t="shared" si="4"/>
        <v>0</v>
      </c>
    </row>
    <row r="52" spans="1:7" x14ac:dyDescent="0.25">
      <c r="A52" s="1675"/>
      <c r="B52" s="1689"/>
      <c r="C52" s="1676"/>
      <c r="D52" s="1867"/>
      <c r="E52" s="1562">
        <f t="shared" si="2"/>
        <v>0</v>
      </c>
      <c r="F52" s="1815">
        <f t="shared" si="3"/>
        <v>0</v>
      </c>
      <c r="G52" s="1816">
        <f t="shared" si="4"/>
        <v>0</v>
      </c>
    </row>
    <row r="53" spans="1:7" x14ac:dyDescent="0.25">
      <c r="A53" s="1675"/>
      <c r="B53" s="1689"/>
      <c r="C53" s="1676"/>
      <c r="D53" s="1867"/>
      <c r="E53" s="1562">
        <f t="shared" si="2"/>
        <v>0</v>
      </c>
      <c r="F53" s="1815">
        <f t="shared" si="3"/>
        <v>0</v>
      </c>
      <c r="G53" s="1816">
        <f t="shared" si="4"/>
        <v>0</v>
      </c>
    </row>
    <row r="54" spans="1:7" x14ac:dyDescent="0.25">
      <c r="A54" s="1675"/>
      <c r="B54" s="1689"/>
      <c r="C54" s="1676"/>
      <c r="D54" s="1867"/>
      <c r="E54" s="1562">
        <f t="shared" si="2"/>
        <v>0</v>
      </c>
      <c r="F54" s="1815">
        <f t="shared" si="3"/>
        <v>0</v>
      </c>
      <c r="G54" s="1816">
        <f t="shared" si="4"/>
        <v>0</v>
      </c>
    </row>
    <row r="55" spans="1:7" x14ac:dyDescent="0.25">
      <c r="A55" s="1675"/>
      <c r="B55" s="1689"/>
      <c r="C55" s="1676"/>
      <c r="D55" s="1867"/>
      <c r="E55" s="1562">
        <f t="shared" si="2"/>
        <v>0</v>
      </c>
      <c r="F55" s="1815">
        <f t="shared" si="3"/>
        <v>0</v>
      </c>
      <c r="G55" s="1816">
        <f t="shared" si="4"/>
        <v>0</v>
      </c>
    </row>
    <row r="56" spans="1:7" x14ac:dyDescent="0.25">
      <c r="A56" s="1675"/>
      <c r="B56" s="1689"/>
      <c r="C56" s="1676"/>
      <c r="D56" s="1867"/>
      <c r="E56" s="1562">
        <f t="shared" si="2"/>
        <v>0</v>
      </c>
      <c r="F56" s="1815">
        <f t="shared" si="3"/>
        <v>0</v>
      </c>
      <c r="G56" s="1816">
        <f t="shared" si="4"/>
        <v>0</v>
      </c>
    </row>
    <row r="57" spans="1:7" x14ac:dyDescent="0.25">
      <c r="A57" s="1675"/>
      <c r="B57" s="1689"/>
      <c r="C57" s="1676"/>
      <c r="D57" s="1867"/>
      <c r="E57" s="1562">
        <f t="shared" si="2"/>
        <v>0</v>
      </c>
      <c r="F57" s="1815">
        <f t="shared" si="3"/>
        <v>0</v>
      </c>
      <c r="G57" s="1816">
        <f t="shared" si="4"/>
        <v>0</v>
      </c>
    </row>
    <row r="58" spans="1:7" x14ac:dyDescent="0.25">
      <c r="A58" s="1675"/>
      <c r="B58" s="1689"/>
      <c r="C58" s="1676"/>
      <c r="D58" s="1867"/>
      <c r="E58" s="1562">
        <f t="shared" si="2"/>
        <v>0</v>
      </c>
      <c r="F58" s="1815">
        <f t="shared" si="3"/>
        <v>0</v>
      </c>
      <c r="G58" s="1816">
        <f t="shared" si="4"/>
        <v>0</v>
      </c>
    </row>
    <row r="59" spans="1:7" x14ac:dyDescent="0.25">
      <c r="A59" s="1675"/>
      <c r="B59" s="1689"/>
      <c r="C59" s="1676"/>
      <c r="D59" s="1867"/>
      <c r="E59" s="1562">
        <f t="shared" si="2"/>
        <v>0</v>
      </c>
      <c r="F59" s="1815">
        <f t="shared" si="3"/>
        <v>0</v>
      </c>
      <c r="G59" s="1816">
        <f t="shared" si="4"/>
        <v>0</v>
      </c>
    </row>
    <row r="60" spans="1:7" x14ac:dyDescent="0.25">
      <c r="A60" s="1675"/>
      <c r="B60" s="1689"/>
      <c r="C60" s="1676"/>
      <c r="D60" s="1867"/>
      <c r="E60" s="1562">
        <f t="shared" si="2"/>
        <v>0</v>
      </c>
      <c r="F60" s="1815">
        <f t="shared" si="3"/>
        <v>0</v>
      </c>
      <c r="G60" s="1816">
        <f t="shared" si="4"/>
        <v>0</v>
      </c>
    </row>
    <row r="61" spans="1:7" x14ac:dyDescent="0.25">
      <c r="A61" s="1675"/>
      <c r="B61" s="1689"/>
      <c r="C61" s="1676"/>
      <c r="D61" s="1867"/>
      <c r="E61" s="1562">
        <f t="shared" si="2"/>
        <v>0</v>
      </c>
      <c r="F61" s="1815">
        <f t="shared" si="3"/>
        <v>0</v>
      </c>
      <c r="G61" s="1816">
        <f t="shared" si="4"/>
        <v>0</v>
      </c>
    </row>
    <row r="62" spans="1:7" x14ac:dyDescent="0.25">
      <c r="A62" s="1675"/>
      <c r="B62" s="1689"/>
      <c r="C62" s="1676"/>
      <c r="D62" s="1867"/>
      <c r="E62" s="1562">
        <f t="shared" si="2"/>
        <v>0</v>
      </c>
      <c r="F62" s="1815">
        <f t="shared" si="3"/>
        <v>0</v>
      </c>
      <c r="G62" s="1816">
        <f t="shared" si="4"/>
        <v>0</v>
      </c>
    </row>
    <row r="63" spans="1:7" x14ac:dyDescent="0.25">
      <c r="A63" s="1675"/>
      <c r="B63" s="1689"/>
      <c r="C63" s="1676"/>
      <c r="D63" s="1867"/>
      <c r="E63" s="1562">
        <f t="shared" si="2"/>
        <v>0</v>
      </c>
      <c r="F63" s="1815">
        <f t="shared" si="3"/>
        <v>0</v>
      </c>
      <c r="G63" s="1816">
        <f t="shared" si="4"/>
        <v>0</v>
      </c>
    </row>
    <row r="64" spans="1:7" x14ac:dyDescent="0.25">
      <c r="A64" s="1677"/>
      <c r="B64" s="1689"/>
      <c r="C64" s="1678"/>
      <c r="D64" s="1867"/>
      <c r="E64" s="1562">
        <f t="shared" si="2"/>
        <v>0</v>
      </c>
      <c r="F64" s="1815">
        <f t="shared" si="3"/>
        <v>0</v>
      </c>
      <c r="G64" s="1816">
        <f t="shared" si="4"/>
        <v>0</v>
      </c>
    </row>
    <row r="65" spans="1:7" x14ac:dyDescent="0.25">
      <c r="A65" s="1675"/>
      <c r="B65" s="1689"/>
      <c r="C65" s="1676"/>
      <c r="D65" s="1867"/>
      <c r="E65" s="1562">
        <f t="shared" si="2"/>
        <v>0</v>
      </c>
      <c r="F65" s="1815">
        <f t="shared" si="3"/>
        <v>0</v>
      </c>
      <c r="G65" s="1816">
        <f t="shared" si="4"/>
        <v>0</v>
      </c>
    </row>
    <row r="66" spans="1:7" x14ac:dyDescent="0.25">
      <c r="A66" s="1675"/>
      <c r="B66" s="1689"/>
      <c r="C66" s="1676"/>
      <c r="D66" s="1867"/>
      <c r="E66" s="1562">
        <f t="shared" si="2"/>
        <v>0</v>
      </c>
      <c r="F66" s="1815">
        <f t="shared" si="3"/>
        <v>0</v>
      </c>
      <c r="G66" s="1816">
        <f t="shared" si="4"/>
        <v>0</v>
      </c>
    </row>
    <row r="67" spans="1:7" x14ac:dyDescent="0.25">
      <c r="A67" s="1675"/>
      <c r="B67" s="1689"/>
      <c r="C67" s="1676"/>
      <c r="D67" s="1867"/>
      <c r="E67" s="1562">
        <f t="shared" si="2"/>
        <v>0</v>
      </c>
      <c r="F67" s="1815">
        <f t="shared" si="3"/>
        <v>0</v>
      </c>
      <c r="G67" s="1816">
        <f t="shared" si="4"/>
        <v>0</v>
      </c>
    </row>
    <row r="68" spans="1:7" x14ac:dyDescent="0.25">
      <c r="A68" s="1675"/>
      <c r="B68" s="1689"/>
      <c r="C68" s="1676"/>
      <c r="D68" s="1867"/>
      <c r="E68" s="1562">
        <f t="shared" si="2"/>
        <v>0</v>
      </c>
      <c r="F68" s="1815">
        <f t="shared" si="3"/>
        <v>0</v>
      </c>
      <c r="G68" s="1816">
        <f t="shared" si="4"/>
        <v>0</v>
      </c>
    </row>
    <row r="69" spans="1:7" x14ac:dyDescent="0.25">
      <c r="A69" s="1675"/>
      <c r="B69" s="1689"/>
      <c r="C69" s="1676"/>
      <c r="D69" s="1867"/>
      <c r="E69" s="1562">
        <f t="shared" si="2"/>
        <v>0</v>
      </c>
      <c r="F69" s="1815">
        <f t="shared" si="3"/>
        <v>0</v>
      </c>
      <c r="G69" s="1816">
        <f t="shared" si="4"/>
        <v>0</v>
      </c>
    </row>
    <row r="70" spans="1:7" x14ac:dyDescent="0.25">
      <c r="A70" s="1675"/>
      <c r="B70" s="1689"/>
      <c r="C70" s="1676"/>
      <c r="D70" s="1867"/>
      <c r="E70" s="1562">
        <f t="shared" si="2"/>
        <v>0</v>
      </c>
      <c r="F70" s="1815">
        <f t="shared" si="3"/>
        <v>0</v>
      </c>
      <c r="G70" s="1816">
        <f t="shared" si="4"/>
        <v>0</v>
      </c>
    </row>
    <row r="71" spans="1:7" x14ac:dyDescent="0.25">
      <c r="A71" s="1675"/>
      <c r="B71" s="1689"/>
      <c r="C71" s="1676"/>
      <c r="D71" s="1867"/>
      <c r="E71" s="1562">
        <f t="shared" si="2"/>
        <v>0</v>
      </c>
      <c r="F71" s="1815">
        <f t="shared" si="3"/>
        <v>0</v>
      </c>
      <c r="G71" s="1816">
        <f t="shared" si="4"/>
        <v>0</v>
      </c>
    </row>
    <row r="72" spans="1:7" x14ac:dyDescent="0.25">
      <c r="A72" s="1675"/>
      <c r="B72" s="1689"/>
      <c r="C72" s="1676"/>
      <c r="D72" s="1867"/>
      <c r="E72" s="1562">
        <f t="shared" si="2"/>
        <v>0</v>
      </c>
      <c r="F72" s="1815">
        <f t="shared" si="3"/>
        <v>0</v>
      </c>
      <c r="G72" s="1816">
        <f t="shared" si="4"/>
        <v>0</v>
      </c>
    </row>
    <row r="73" spans="1:7" x14ac:dyDescent="0.25">
      <c r="A73" s="1675"/>
      <c r="B73" s="1689"/>
      <c r="C73" s="1676"/>
      <c r="D73" s="1867"/>
      <c r="E73" s="1562">
        <f t="shared" ref="E73:E84" si="5">IF(D73&lt;=25000,D73,IF(D73&gt;25000,25000,0))</f>
        <v>0</v>
      </c>
      <c r="F73" s="1815">
        <f t="shared" ref="F73:F84" si="6">IF(OR(B73="10-1000-100",B73="10-1000-200",B73="10-1000-300",B73="10-1000-400",B73="10-1000-600",B73="10-1000-800",B73="50-1000-200",B73="10-2100-100",B73="10-2100-200",B73="10-2100-300",B73="10-2100-400",B73="10-2100-600",B73="10-2100-800",B73="20-2100-200",B73="20-2190-100",B73="20-2190-200",B73="20-2190-300",B73="20-2190-400",B73="20-2190-600",B73="20-2190-800",B73="40-2190-100",B73="40-2190-200",B73="40-2190-300",B73="40-2190-400",B73="40-2190-600",B73="40-2190-800",B73="50-2190-200",B73="10-2200-100",B73="10-2200-200",B73="10-2200-300",B73="10-2200-400",B73="10-2200-600",B73="10-2200-800",B73="50-2200-200",B73="10-2300-100",B73="10-2300-200",B73="10-2300-300",B73="10-2300-400",B73="10-2300-600",B73="10-2300-800",B73="50-2300-200",B73="80-2300-100",B73="80-2300-200",B73="80-2300-300",B73="80-2300-400",B73="80-2300-600",B73="80-2300-800",B73="10-2400-100",B73="10-2400-200",B73="10-2400-300",B73="10-2400-400",B73="10-2400-600",B73="10-2400-800",B73="50-2400-200",B73="10-2510-100",B73="10-2510-200",B73="10-2510-300",B73="10-2510-400",B73="10-2510-600",B73="10-2510-800",B73="20-2510-100",B73="20-2510-200",B73="20-2510-300",B73="20-2510-400",B73="20-2510-600",B73="20-2510-800",B73="50-2510-200",B73="10-2520-100",B73="10-2520-200",B73="10-2520-300",B73="10-2520-400",B73="10-2520-600",B73="10-2520-800",B73="50-2520-200",B73="10-2540-100",B73="10-2540-200",B73="10-2540-300",B73="10-2540-400",B73="10-2540-600",B73="20-2540-800",B73="20-2540-100",B73="20-2540-200",B73="20-2540-300",B73="20-2540-400",B73="20-2540-600",B73="50-2540-200",B73="90-2540-100",B73="90-2540-200",B73="90-2540-300",B73="90-2540-400",B73="90-2540-600",B73="90-2540-800",B73="90-2540-800",B73="10-2550-100",B73="10-2550-200",B73="10-2550-300",B73="10-2550-400",B73="10-2550-600",B73="10-2550-800",B73="20-2550-100",B73="20-2550-200",B73="20-2550-300",B73="20-2550-400",B73="20-2550-600",B73="20-2550-800",B73="40-2550-100",B73="40-2550-200",B73="40-2550-300",B73="40-2550-400",B73="40-2550-600",B73="40-2550-800",B73="50-2550-200",B73="10-2560-100",B73="10-2560-200",B73="10-2560-300",B73="10-2560-400",B73="10-2560-600",B73="10-2560-800",B73="20-2560-100",B73="20-2560-200",B73="20-2560-300",B73="20-2560-400",B73="20-2560-600",B73="20-2560-800",B73="50-2560-200",B73="10-2570-100",B73="10-2570-200",B73="10-2570-300",B73="10-2570-400",B73="10-2570-600",B73="10-2570-800",B73="50-2570-200",B73="10-2610-100",B73="10-2610-200",B73="10-2610-300",B73="10-2610-400",B73="10-2610-600",B73="10-2610-800",B73="50-2610-200",B73="10-2620-100",B73="10-2620-200",B73="10-2620-300",B73="10-2620-400",B73="10-2620-600",B73="10-2620-800",B73="50-2620-200",B73="10-2630-100",B73="10-2630-200",B73="10-2630-300",B73="10-2630-400",B73="10-2630-600",B73="10-2630-800",B73="50-2630-200",B73="10-2640-100",B73="10-2640-200",B73="10-2640-300",B73="10-2640-400",B73="10-2640-600",B73="10-2640-800",B73="50-2640-200",B73="10-2660-100",B73="10-2660-200",B73="10-2660-300",B73="10-2660-400",B73="10-2660-600",B73="10-2660-800",B73="50-2660-200",B73="10-2900-100",B73="10-2900-200",B73="10-2900-300",B73="10-2900-400",B73="10-2900-600",B73="10-2900-800",B73="20-2900-100",B73="20-2900-200",B73="20-2900-300",B73="20-2900-400",B73="20-2900-600",B73="20-2900-800",B73="40-2900-100",B73="40-2900-200",B73="40-2900-300",B73="40-2900-400",B73="40-2900-600",B73="40-2900-800",B73="50-2900-200",B73="60-2900-100",B73="60-2900-200",B73="60-2900-300",B73="60-2900-400",B73="60-2900-600",B73="60-2900-800",B73="90-2900-100",B73="90-2900-200",B73="90-2900-300",B73="90-2900-400",B73="90-2900-600",B73="90-2900-800",B73="10-3000-100",B73="10-3000-200",B73="10-3000-300",B73="10-3000-400",B73="10-3000-600",B73="10-3000-800",B73="20-3000-100",B73="20-3000-200",B73="20-3000-300",B73="20-3000-400",B73="20-3000-600",B73="20-3000-800",B73="40-3000-100",B73="40-3000-200",B73="40-3000-300",B73="40-3000-400",B73="40-3000-600",B73="40-3000-800",B73="50-3000-200"),E73,0)</f>
        <v>0</v>
      </c>
      <c r="G73" s="1816">
        <f t="shared" ref="G73:G84" si="7">IF(F73=0,0,D73-F73)</f>
        <v>0</v>
      </c>
    </row>
    <row r="74" spans="1:7" x14ac:dyDescent="0.25">
      <c r="A74" s="1675"/>
      <c r="B74" s="1689"/>
      <c r="C74" s="1676"/>
      <c r="D74" s="1867"/>
      <c r="E74" s="1562">
        <f t="shared" si="5"/>
        <v>0</v>
      </c>
      <c r="F74" s="1815">
        <f t="shared" si="6"/>
        <v>0</v>
      </c>
      <c r="G74" s="1816">
        <f t="shared" si="7"/>
        <v>0</v>
      </c>
    </row>
    <row r="75" spans="1:7" x14ac:dyDescent="0.25">
      <c r="A75" s="1675"/>
      <c r="B75" s="1689"/>
      <c r="C75" s="1676"/>
      <c r="D75" s="1867"/>
      <c r="E75" s="1562">
        <f t="shared" si="5"/>
        <v>0</v>
      </c>
      <c r="F75" s="1815">
        <f t="shared" si="6"/>
        <v>0</v>
      </c>
      <c r="G75" s="1816">
        <f t="shared" si="7"/>
        <v>0</v>
      </c>
    </row>
    <row r="76" spans="1:7" x14ac:dyDescent="0.25">
      <c r="A76" s="1675"/>
      <c r="B76" s="1689"/>
      <c r="C76" s="1676"/>
      <c r="D76" s="1867"/>
      <c r="E76" s="1562">
        <f t="shared" si="5"/>
        <v>0</v>
      </c>
      <c r="F76" s="1815">
        <f t="shared" si="6"/>
        <v>0</v>
      </c>
      <c r="G76" s="1816">
        <f t="shared" si="7"/>
        <v>0</v>
      </c>
    </row>
    <row r="77" spans="1:7" x14ac:dyDescent="0.25">
      <c r="A77" s="1675"/>
      <c r="B77" s="1689"/>
      <c r="C77" s="1676"/>
      <c r="D77" s="1867"/>
      <c r="E77" s="1562">
        <f t="shared" si="5"/>
        <v>0</v>
      </c>
      <c r="F77" s="1815">
        <f t="shared" si="6"/>
        <v>0</v>
      </c>
      <c r="G77" s="1816">
        <f t="shared" si="7"/>
        <v>0</v>
      </c>
    </row>
    <row r="78" spans="1:7" x14ac:dyDescent="0.25">
      <c r="A78" s="1675"/>
      <c r="B78" s="1689"/>
      <c r="C78" s="1676"/>
      <c r="D78" s="1867"/>
      <c r="E78" s="1562">
        <f t="shared" si="5"/>
        <v>0</v>
      </c>
      <c r="F78" s="1815">
        <f t="shared" si="6"/>
        <v>0</v>
      </c>
      <c r="G78" s="1816">
        <f t="shared" si="7"/>
        <v>0</v>
      </c>
    </row>
    <row r="79" spans="1:7" x14ac:dyDescent="0.25">
      <c r="A79" s="1675"/>
      <c r="B79" s="1689"/>
      <c r="C79" s="1676"/>
      <c r="D79" s="1867"/>
      <c r="E79" s="1562">
        <f t="shared" si="5"/>
        <v>0</v>
      </c>
      <c r="F79" s="1815">
        <f t="shared" si="6"/>
        <v>0</v>
      </c>
      <c r="G79" s="1816">
        <f t="shared" si="7"/>
        <v>0</v>
      </c>
    </row>
    <row r="80" spans="1:7" x14ac:dyDescent="0.25">
      <c r="A80" s="1675"/>
      <c r="B80" s="1689"/>
      <c r="C80" s="1676"/>
      <c r="D80" s="1867"/>
      <c r="E80" s="1562">
        <f t="shared" si="5"/>
        <v>0</v>
      </c>
      <c r="F80" s="1815">
        <f t="shared" si="6"/>
        <v>0</v>
      </c>
      <c r="G80" s="1816">
        <f t="shared" si="7"/>
        <v>0</v>
      </c>
    </row>
    <row r="81" spans="1:7" x14ac:dyDescent="0.25">
      <c r="A81" s="1675"/>
      <c r="B81" s="1689"/>
      <c r="C81" s="1676"/>
      <c r="D81" s="1867"/>
      <c r="E81" s="1562">
        <f t="shared" si="5"/>
        <v>0</v>
      </c>
      <c r="F81" s="1815">
        <f t="shared" si="6"/>
        <v>0</v>
      </c>
      <c r="G81" s="1816">
        <f t="shared" si="7"/>
        <v>0</v>
      </c>
    </row>
    <row r="82" spans="1:7" x14ac:dyDescent="0.25">
      <c r="A82" s="1675"/>
      <c r="B82" s="1689"/>
      <c r="C82" s="1676"/>
      <c r="D82" s="1867"/>
      <c r="E82" s="1562">
        <f t="shared" si="5"/>
        <v>0</v>
      </c>
      <c r="F82" s="1815">
        <f t="shared" si="6"/>
        <v>0</v>
      </c>
      <c r="G82" s="1816">
        <f t="shared" si="7"/>
        <v>0</v>
      </c>
    </row>
    <row r="83" spans="1:7" x14ac:dyDescent="0.25">
      <c r="A83" s="1675"/>
      <c r="B83" s="1689"/>
      <c r="C83" s="1676"/>
      <c r="D83" s="1867"/>
      <c r="E83" s="1562">
        <f t="shared" si="5"/>
        <v>0</v>
      </c>
      <c r="F83" s="1815">
        <f t="shared" si="6"/>
        <v>0</v>
      </c>
      <c r="G83" s="1816">
        <f t="shared" si="7"/>
        <v>0</v>
      </c>
    </row>
    <row r="84" spans="1:7" x14ac:dyDescent="0.25">
      <c r="A84" s="1675"/>
      <c r="B84" s="1689"/>
      <c r="C84" s="1676"/>
      <c r="D84" s="1867"/>
      <c r="E84" s="1562">
        <f t="shared" si="5"/>
        <v>0</v>
      </c>
      <c r="F84" s="1815">
        <f t="shared" si="6"/>
        <v>0</v>
      </c>
      <c r="G84" s="1816">
        <f t="shared" si="7"/>
        <v>0</v>
      </c>
    </row>
    <row r="85" spans="1:7" x14ac:dyDescent="0.25">
      <c r="A85" s="1675"/>
      <c r="B85" s="1689"/>
      <c r="C85" s="1676"/>
      <c r="D85" s="1867"/>
      <c r="E85" s="1562">
        <f t="shared" si="2"/>
        <v>0</v>
      </c>
      <c r="F85" s="1815">
        <f t="shared" si="3"/>
        <v>0</v>
      </c>
      <c r="G85" s="1816">
        <f t="shared" si="4"/>
        <v>0</v>
      </c>
    </row>
    <row r="86" spans="1:7" x14ac:dyDescent="0.25">
      <c r="A86" s="1675"/>
      <c r="B86" s="1689"/>
      <c r="C86" s="1676"/>
      <c r="D86" s="1867"/>
      <c r="E86" s="1562">
        <f t="shared" si="2"/>
        <v>0</v>
      </c>
      <c r="F86" s="1815">
        <f t="shared" si="3"/>
        <v>0</v>
      </c>
      <c r="G86" s="1816">
        <f t="shared" si="4"/>
        <v>0</v>
      </c>
    </row>
    <row r="87" spans="1:7" x14ac:dyDescent="0.25">
      <c r="A87" s="1675"/>
      <c r="B87" s="1689"/>
      <c r="C87" s="1676"/>
      <c r="D87" s="1867"/>
      <c r="E87" s="1562">
        <f t="shared" si="2"/>
        <v>0</v>
      </c>
      <c r="F87" s="1815">
        <f t="shared" si="3"/>
        <v>0</v>
      </c>
      <c r="G87" s="1816">
        <f t="shared" si="4"/>
        <v>0</v>
      </c>
    </row>
    <row r="88" spans="1:7" x14ac:dyDescent="0.25">
      <c r="A88" s="1675"/>
      <c r="B88" s="1689"/>
      <c r="C88" s="1676"/>
      <c r="D88" s="1867"/>
      <c r="E88" s="1562">
        <f t="shared" si="2"/>
        <v>0</v>
      </c>
      <c r="F88" s="1815">
        <f t="shared" si="3"/>
        <v>0</v>
      </c>
      <c r="G88" s="1816">
        <f t="shared" si="4"/>
        <v>0</v>
      </c>
    </row>
    <row r="89" spans="1:7" x14ac:dyDescent="0.25">
      <c r="A89" s="1675"/>
      <c r="B89" s="1689"/>
      <c r="C89" s="1676"/>
      <c r="D89" s="1867"/>
      <c r="E89" s="1562">
        <f t="shared" si="2"/>
        <v>0</v>
      </c>
      <c r="F89" s="1815">
        <f t="shared" si="3"/>
        <v>0</v>
      </c>
      <c r="G89" s="1816">
        <f t="shared" si="4"/>
        <v>0</v>
      </c>
    </row>
    <row r="90" spans="1:7" x14ac:dyDescent="0.25">
      <c r="A90" s="1675"/>
      <c r="B90" s="1689"/>
      <c r="C90" s="1676"/>
      <c r="D90" s="1867"/>
      <c r="E90" s="1562">
        <f t="shared" si="2"/>
        <v>0</v>
      </c>
      <c r="F90" s="1815">
        <f t="shared" si="3"/>
        <v>0</v>
      </c>
      <c r="G90" s="1816">
        <f t="shared" si="4"/>
        <v>0</v>
      </c>
    </row>
    <row r="91" spans="1:7" x14ac:dyDescent="0.25">
      <c r="A91" s="1675"/>
      <c r="B91" s="1689"/>
      <c r="C91" s="1676"/>
      <c r="D91" s="1867"/>
      <c r="E91" s="1562">
        <f t="shared" si="2"/>
        <v>0</v>
      </c>
      <c r="F91" s="1815">
        <f t="shared" si="3"/>
        <v>0</v>
      </c>
      <c r="G91" s="1816">
        <f t="shared" si="4"/>
        <v>0</v>
      </c>
    </row>
    <row r="92" spans="1:7" x14ac:dyDescent="0.25">
      <c r="A92" s="1675"/>
      <c r="B92" s="1689"/>
      <c r="C92" s="1676"/>
      <c r="D92" s="1867"/>
      <c r="E92" s="1562">
        <f t="shared" si="2"/>
        <v>0</v>
      </c>
      <c r="F92" s="1815">
        <f t="shared" si="3"/>
        <v>0</v>
      </c>
      <c r="G92" s="1816">
        <f t="shared" si="4"/>
        <v>0</v>
      </c>
    </row>
    <row r="93" spans="1:7" x14ac:dyDescent="0.25">
      <c r="A93" s="1675"/>
      <c r="B93" s="1689"/>
      <c r="C93" s="1676"/>
      <c r="D93" s="1867"/>
      <c r="E93" s="1562">
        <f t="shared" ref="E93" si="8">IF(D93&lt;=25000,D93,IF(D93&gt;25000,25000,0))</f>
        <v>0</v>
      </c>
      <c r="F93" s="1815">
        <f t="shared" ref="F93" si="9">IF(OR(B93="10-1000-100",B93="10-1000-200",B93="10-1000-300",B93="10-1000-400",B93="10-1000-600",B93="10-1000-800",B93="50-1000-200",B93="10-2100-100",B93="10-2100-200",B93="10-2100-300",B93="10-2100-400",B93="10-2100-600",B93="10-2100-800",B93="20-2100-200",B93="20-2190-100",B93="20-2190-200",B93="20-2190-300",B93="20-2190-400",B93="20-2190-600",B93="20-2190-800",B93="40-2190-100",B93="40-2190-200",B93="40-2190-300",B93="40-2190-400",B93="40-2190-600",B93="40-2190-800",B93="50-2190-200",B93="10-2200-100",B93="10-2200-200",B93="10-2200-300",B93="10-2200-400",B93="10-2200-600",B93="10-2200-800",B93="50-2200-200",B93="10-2300-100",B93="10-2300-200",B93="10-2300-300",B93="10-2300-400",B93="10-2300-600",B93="10-2300-800",B93="50-2300-200",B93="80-2300-100",B93="80-2300-200",B93="80-2300-300",B93="80-2300-400",B93="80-2300-600",B93="80-2300-800",B93="10-2400-100",B93="10-2400-200",B93="10-2400-300",B93="10-2400-400",B93="10-2400-600",B93="10-2400-800",B93="50-2400-200",B93="10-2510-100",B93="10-2510-200",B93="10-2510-300",B93="10-2510-400",B93="10-2510-600",B93="10-2510-800",B93="20-2510-100",B93="20-2510-200",B93="20-2510-300",B93="20-2510-400",B93="20-2510-600",B93="20-2510-800",B93="50-2510-200",B93="10-2520-100",B93="10-2520-200",B93="10-2520-300",B93="10-2520-400",B93="10-2520-600",B93="10-2520-800",B93="50-2520-200",B93="10-2540-100",B93="10-2540-200",B93="10-2540-300",B93="10-2540-400",B93="10-2540-600",B93="20-2540-800",B93="20-2540-100",B93="20-2540-200",B93="20-2540-300",B93="20-2540-400",B93="20-2540-600",B93="50-2540-200",B93="90-2540-100",B93="90-2540-200",B93="90-2540-300",B93="90-2540-400",B93="90-2540-600",B93="90-2540-800",B93="90-2540-800",B93="10-2550-100",B93="10-2550-200",B93="10-2550-300",B93="10-2550-400",B93="10-2550-600",B93="10-2550-800",B93="20-2550-100",B93="20-2550-200",B93="20-2550-300",B93="20-2550-400",B93="20-2550-600",B93="20-2550-800",B93="40-2550-100",B93="40-2550-200",B93="40-2550-300",B93="40-2550-400",B93="40-2550-600",B93="40-2550-800",B93="50-2550-200",B93="10-2560-100",B93="10-2560-200",B93="10-2560-300",B93="10-2560-400",B93="10-2560-600",B93="10-2560-800",B93="20-2560-100",B93="20-2560-200",B93="20-2560-300",B93="20-2560-400",B93="20-2560-600",B93="20-2560-800",B93="50-2560-200",B93="10-2570-100",B93="10-2570-200",B93="10-2570-300",B93="10-2570-400",B93="10-2570-600",B93="10-2570-800",B93="50-2570-200",B93="10-2610-100",B93="10-2610-200",B93="10-2610-300",B93="10-2610-400",B93="10-2610-600",B93="10-2610-800",B93="50-2610-200",B93="10-2620-100",B93="10-2620-200",B93="10-2620-300",B93="10-2620-400",B93="10-2620-600",B93="10-2620-800",B93="50-2620-200",B93="10-2630-100",B93="10-2630-200",B93="10-2630-300",B93="10-2630-400",B93="10-2630-600",B93="10-2630-800",B93="50-2630-200",B93="10-2640-100",B93="10-2640-200",B93="10-2640-300",B93="10-2640-400",B93="10-2640-600",B93="10-2640-800",B93="50-2640-200",B93="10-2660-100",B93="10-2660-200",B93="10-2660-300",B93="10-2660-400",B93="10-2660-600",B93="10-2660-800",B93="50-2660-200",B93="10-2900-100",B93="10-2900-200",B93="10-2900-300",B93="10-2900-400",B93="10-2900-600",B93="10-2900-800",B93="20-2900-100",B93="20-2900-200",B93="20-2900-300",B93="20-2900-400",B93="20-2900-600",B93="20-2900-800",B93="40-2900-100",B93="40-2900-200",B93="40-2900-300",B93="40-2900-400",B93="40-2900-600",B93="40-2900-800",B93="50-2900-200",B93="60-2900-100",B93="60-2900-200",B93="60-2900-300",B93="60-2900-400",B93="60-2900-600",B93="60-2900-800",B93="90-2900-100",B93="90-2900-200",B93="90-2900-300",B93="90-2900-400",B93="90-2900-600",B93="90-2900-800",B93="10-3000-100",B93="10-3000-200",B93="10-3000-300",B93="10-3000-400",B93="10-3000-600",B93="10-3000-800",B93="20-3000-100",B93="20-3000-200",B93="20-3000-300",B93="20-3000-400",B93="20-3000-600",B93="20-3000-800",B93="40-3000-100",B93="40-3000-200",B93="40-3000-300",B93="40-3000-400",B93="40-3000-600",B93="40-3000-800",B93="50-3000-200"),E93,0)</f>
        <v>0</v>
      </c>
      <c r="G93" s="1816">
        <f t="shared" ref="G93" si="10">IF(F93=0,0,D93-F93)</f>
        <v>0</v>
      </c>
    </row>
    <row r="94" spans="1:7" x14ac:dyDescent="0.25">
      <c r="A94" s="1675"/>
      <c r="B94" s="1689"/>
      <c r="C94" s="1676"/>
      <c r="D94" s="1867"/>
      <c r="E94" s="1562">
        <f t="shared" si="2"/>
        <v>0</v>
      </c>
      <c r="F94" s="1815">
        <f t="shared" si="3"/>
        <v>0</v>
      </c>
      <c r="G94" s="1816">
        <f t="shared" si="4"/>
        <v>0</v>
      </c>
    </row>
    <row r="95" spans="1:7" x14ac:dyDescent="0.25">
      <c r="A95" s="1675"/>
      <c r="B95" s="1689"/>
      <c r="C95" s="1676"/>
      <c r="D95" s="1867"/>
      <c r="E95" s="1562">
        <f t="shared" ref="E95:E98" si="11">IF(D95&lt;=25000,D95,IF(D95&gt;25000,25000,0))</f>
        <v>0</v>
      </c>
      <c r="F95" s="1815">
        <f t="shared" ref="F95:F98" si="12">IF(OR(B95="10-1000-100",B95="10-1000-200",B95="10-1000-300",B95="10-1000-400",B95="10-1000-600",B95="10-1000-800",B95="50-1000-200",B95="10-2100-100",B95="10-2100-200",B95="10-2100-300",B95="10-2100-400",B95="10-2100-600",B95="10-2100-800",B95="20-2100-200",B95="20-2190-100",B95="20-2190-200",B95="20-2190-300",B95="20-2190-400",B95="20-2190-600",B95="20-2190-800",B95="40-2190-100",B95="40-2190-200",B95="40-2190-300",B95="40-2190-400",B95="40-2190-600",B95="40-2190-800",B95="50-2190-200",B95="10-2200-100",B95="10-2200-200",B95="10-2200-300",B95="10-2200-400",B95="10-2200-600",B95="10-2200-800",B95="50-2200-200",B95="10-2300-100",B95="10-2300-200",B95="10-2300-300",B95="10-2300-400",B95="10-2300-600",B95="10-2300-800",B95="50-2300-200",B95="80-2300-100",B95="80-2300-200",B95="80-2300-300",B95="80-2300-400",B95="80-2300-600",B95="80-2300-800",B95="10-2400-100",B95="10-2400-200",B95="10-2400-300",B95="10-2400-400",B95="10-2400-600",B95="10-2400-800",B95="50-2400-200",B95="10-2510-100",B95="10-2510-200",B95="10-2510-300",B95="10-2510-400",B95="10-2510-600",B95="10-2510-800",B95="20-2510-100",B95="20-2510-200",B95="20-2510-300",B95="20-2510-400",B95="20-2510-600",B95="20-2510-800",B95="50-2510-200",B95="10-2520-100",B95="10-2520-200",B95="10-2520-300",B95="10-2520-400",B95="10-2520-600",B95="10-2520-800",B95="50-2520-200",B95="10-2540-100",B95="10-2540-200",B95="10-2540-300",B95="10-2540-400",B95="10-2540-600",B95="20-2540-800",B95="20-2540-100",B95="20-2540-200",B95="20-2540-300",B95="20-2540-400",B95="20-2540-600",B95="50-2540-200",B95="90-2540-100",B95="90-2540-200",B95="90-2540-300",B95="90-2540-400",B95="90-2540-600",B95="90-2540-800",B95="90-2540-800",B95="10-2550-100",B95="10-2550-200",B95="10-2550-300",B95="10-2550-400",B95="10-2550-600",B95="10-2550-800",B95="20-2550-100",B95="20-2550-200",B95="20-2550-300",B95="20-2550-400",B95="20-2550-600",B95="20-2550-800",B95="40-2550-100",B95="40-2550-200",B95="40-2550-300",B95="40-2550-400",B95="40-2550-600",B95="40-2550-800",B95="50-2550-200",B95="10-2560-100",B95="10-2560-200",B95="10-2560-300",B95="10-2560-400",B95="10-2560-600",B95="10-2560-800",B95="20-2560-100",B95="20-2560-200",B95="20-2560-300",B95="20-2560-400",B95="20-2560-600",B95="20-2560-800",B95="50-2560-200",B95="10-2570-100",B95="10-2570-200",B95="10-2570-300",B95="10-2570-400",B95="10-2570-600",B95="10-2570-800",B95="50-2570-200",B95="10-2610-100",B95="10-2610-200",B95="10-2610-300",B95="10-2610-400",B95="10-2610-600",B95="10-2610-800",B95="50-2610-200",B95="10-2620-100",B95="10-2620-200",B95="10-2620-300",B95="10-2620-400",B95="10-2620-600",B95="10-2620-800",B95="50-2620-200",B95="10-2630-100",B95="10-2630-200",B95="10-2630-300",B95="10-2630-400",B95="10-2630-600",B95="10-2630-800",B95="50-2630-200",B95="10-2640-100",B95="10-2640-200",B95="10-2640-300",B95="10-2640-400",B95="10-2640-600",B95="10-2640-800",B95="50-2640-200",B95="10-2660-100",B95="10-2660-200",B95="10-2660-300",B95="10-2660-400",B95="10-2660-600",B95="10-2660-800",B95="50-2660-200",B95="10-2900-100",B95="10-2900-200",B95="10-2900-300",B95="10-2900-400",B95="10-2900-600",B95="10-2900-800",B95="20-2900-100",B95="20-2900-200",B95="20-2900-300",B95="20-2900-400",B95="20-2900-600",B95="20-2900-800",B95="40-2900-100",B95="40-2900-200",B95="40-2900-300",B95="40-2900-400",B95="40-2900-600",B95="40-2900-800",B95="50-2900-200",B95="60-2900-100",B95="60-2900-200",B95="60-2900-300",B95="60-2900-400",B95="60-2900-600",B95="60-2900-800",B95="90-2900-100",B95="90-2900-200",B95="90-2900-300",B95="90-2900-400",B95="90-2900-600",B95="90-2900-800",B95="10-3000-100",B95="10-3000-200",B95="10-3000-300",B95="10-3000-400",B95="10-3000-600",B95="10-3000-800",B95="20-3000-100",B95="20-3000-200",B95="20-3000-300",B95="20-3000-400",B95="20-3000-600",B95="20-3000-800",B95="40-3000-100",B95="40-3000-200",B95="40-3000-300",B95="40-3000-400",B95="40-3000-600",B95="40-3000-800",B95="50-3000-200"),E95,0)</f>
        <v>0</v>
      </c>
      <c r="G95" s="1816">
        <f t="shared" ref="G95:G98" si="13">IF(F95=0,0,D95-F95)</f>
        <v>0</v>
      </c>
    </row>
    <row r="96" spans="1:7" x14ac:dyDescent="0.25">
      <c r="A96" s="1675"/>
      <c r="B96" s="1689"/>
      <c r="C96" s="1676"/>
      <c r="D96" s="1867"/>
      <c r="E96" s="1562">
        <f t="shared" si="11"/>
        <v>0</v>
      </c>
      <c r="F96" s="1815">
        <f t="shared" si="12"/>
        <v>0</v>
      </c>
      <c r="G96" s="1816">
        <f t="shared" si="13"/>
        <v>0</v>
      </c>
    </row>
    <row r="97" spans="1:7" x14ac:dyDescent="0.25">
      <c r="A97" s="1675"/>
      <c r="B97" s="1689"/>
      <c r="C97" s="1676"/>
      <c r="D97" s="1867"/>
      <c r="E97" s="1562">
        <f t="shared" si="11"/>
        <v>0</v>
      </c>
      <c r="F97" s="1815">
        <f t="shared" si="12"/>
        <v>0</v>
      </c>
      <c r="G97" s="1816">
        <f t="shared" si="13"/>
        <v>0</v>
      </c>
    </row>
    <row r="98" spans="1:7" x14ac:dyDescent="0.25">
      <c r="A98" s="1675"/>
      <c r="B98" s="1689"/>
      <c r="C98" s="1676"/>
      <c r="D98" s="1867"/>
      <c r="E98" s="1562">
        <f t="shared" si="11"/>
        <v>0</v>
      </c>
      <c r="F98" s="1815">
        <f t="shared" si="12"/>
        <v>0</v>
      </c>
      <c r="G98" s="1816">
        <f t="shared" si="13"/>
        <v>0</v>
      </c>
    </row>
    <row r="99" spans="1:7" x14ac:dyDescent="0.25">
      <c r="A99" s="1675"/>
      <c r="B99" s="1689"/>
      <c r="C99" s="1676"/>
      <c r="D99" s="1867"/>
      <c r="E99" s="1562">
        <f t="shared" ref="E99" si="14">IF(D99&lt;=25000,D99,IF(D99&gt;25000,25000,0))</f>
        <v>0</v>
      </c>
      <c r="F99" s="1815">
        <f t="shared" ref="F99" si="15">IF(OR(B99="10-1000-100",B99="10-1000-200",B99="10-1000-300",B99="10-1000-400",B99="10-1000-600",B99="10-1000-800",B99="50-1000-200",B99="10-2100-100",B99="10-2100-200",B99="10-2100-300",B99="10-2100-400",B99="10-2100-600",B99="10-2100-800",B99="20-2100-200",B99="20-2190-100",B99="20-2190-200",B99="20-2190-300",B99="20-2190-400",B99="20-2190-600",B99="20-2190-800",B99="40-2190-100",B99="40-2190-200",B99="40-2190-300",B99="40-2190-400",B99="40-2190-600",B99="40-2190-800",B99="50-2190-200",B99="10-2200-100",B99="10-2200-200",B99="10-2200-300",B99="10-2200-400",B99="10-2200-600",B99="10-2200-800",B99="50-2200-200",B99="10-2300-100",B99="10-2300-200",B99="10-2300-300",B99="10-2300-400",B99="10-2300-600",B99="10-2300-800",B99="50-2300-200",B99="80-2300-100",B99="80-2300-200",B99="80-2300-300",B99="80-2300-400",B99="80-2300-600",B99="80-2300-800",B99="10-2400-100",B99="10-2400-200",B99="10-2400-300",B99="10-2400-400",B99="10-2400-600",B99="10-2400-800",B99="50-2400-200",B99="10-2510-100",B99="10-2510-200",B99="10-2510-300",B99="10-2510-400",B99="10-2510-600",B99="10-2510-800",B99="20-2510-100",B99="20-2510-200",B99="20-2510-300",B99="20-2510-400",B99="20-2510-600",B99="20-2510-800",B99="50-2510-200",B99="10-2520-100",B99="10-2520-200",B99="10-2520-300",B99="10-2520-400",B99="10-2520-600",B99="10-2520-800",B99="50-2520-200",B99="10-2540-100",B99="10-2540-200",B99="10-2540-300",B99="10-2540-400",B99="10-2540-600",B99="20-2540-800",B99="20-2540-100",B99="20-2540-200",B99="20-2540-300",B99="20-2540-400",B99="20-2540-600",B99="50-2540-200",B99="90-2540-100",B99="90-2540-200",B99="90-2540-300",B99="90-2540-400",B99="90-2540-600",B99="90-2540-800",B99="90-2540-800",B99="10-2550-100",B99="10-2550-200",B99="10-2550-300",B99="10-2550-400",B99="10-2550-600",B99="10-2550-800",B99="20-2550-100",B99="20-2550-200",B99="20-2550-300",B99="20-2550-400",B99="20-2550-600",B99="20-2550-800",B99="40-2550-100",B99="40-2550-200",B99="40-2550-300",B99="40-2550-400",B99="40-2550-600",B99="40-2550-800",B99="50-2550-200",B99="10-2560-100",B99="10-2560-200",B99="10-2560-300",B99="10-2560-400",B99="10-2560-600",B99="10-2560-800",B99="20-2560-100",B99="20-2560-200",B99="20-2560-300",B99="20-2560-400",B99="20-2560-600",B99="20-2560-800",B99="50-2560-200",B99="10-2570-100",B99="10-2570-200",B99="10-2570-300",B99="10-2570-400",B99="10-2570-600",B99="10-2570-800",B99="50-2570-200",B99="10-2610-100",B99="10-2610-200",B99="10-2610-300",B99="10-2610-400",B99="10-2610-600",B99="10-2610-800",B99="50-2610-200",B99="10-2620-100",B99="10-2620-200",B99="10-2620-300",B99="10-2620-400",B99="10-2620-600",B99="10-2620-800",B99="50-2620-200",B99="10-2630-100",B99="10-2630-200",B99="10-2630-300",B99="10-2630-400",B99="10-2630-600",B99="10-2630-800",B99="50-2630-200",B99="10-2640-100",B99="10-2640-200",B99="10-2640-300",B99="10-2640-400",B99="10-2640-600",B99="10-2640-800",B99="50-2640-200",B99="10-2660-100",B99="10-2660-200",B99="10-2660-300",B99="10-2660-400",B99="10-2660-600",B99="10-2660-800",B99="50-2660-200",B99="10-2900-100",B99="10-2900-200",B99="10-2900-300",B99="10-2900-400",B99="10-2900-600",B99="10-2900-800",B99="20-2900-100",B99="20-2900-200",B99="20-2900-300",B99="20-2900-400",B99="20-2900-600",B99="20-2900-800",B99="40-2900-100",B99="40-2900-200",B99="40-2900-300",B99="40-2900-400",B99="40-2900-600",B99="40-2900-800",B99="50-2900-200",B99="60-2900-100",B99="60-2900-200",B99="60-2900-300",B99="60-2900-400",B99="60-2900-600",B99="60-2900-800",B99="90-2900-100",B99="90-2900-200",B99="90-2900-300",B99="90-2900-400",B99="90-2900-600",B99="90-2900-800",B99="10-3000-100",B99="10-3000-200",B99="10-3000-300",B99="10-3000-400",B99="10-3000-600",B99="10-3000-800",B99="20-3000-100",B99="20-3000-200",B99="20-3000-300",B99="20-3000-400",B99="20-3000-600",B99="20-3000-800",B99="40-3000-100",B99="40-3000-200",B99="40-3000-300",B99="40-3000-400",B99="40-3000-600",B99="40-3000-800",B99="50-3000-200"),E99,0)</f>
        <v>0</v>
      </c>
      <c r="G99" s="1816">
        <f t="shared" ref="G99" si="16">IF(F99=0,0,D99-F99)</f>
        <v>0</v>
      </c>
    </row>
    <row r="100" spans="1:7" x14ac:dyDescent="0.25">
      <c r="A100" s="1675"/>
      <c r="B100" s="1689"/>
      <c r="C100" s="1676"/>
      <c r="D100" s="1867"/>
      <c r="E100" s="1562">
        <f t="shared" ref="E100:E112" si="17">IF(D100&lt;=25000,D100,IF(D100&gt;25000,25000,0))</f>
        <v>0</v>
      </c>
      <c r="F100" s="1815">
        <f t="shared" ref="F100:F112" si="18">IF(OR(B100="10-1000-100",B100="10-1000-200",B100="10-1000-300",B100="10-1000-400",B100="10-1000-600",B100="10-1000-800",B100="50-1000-200",B100="10-2100-100",B100="10-2100-200",B100="10-2100-300",B100="10-2100-400",B100="10-2100-600",B100="10-2100-800",B100="20-2100-200",B100="20-2190-100",B100="20-2190-200",B100="20-2190-300",B100="20-2190-400",B100="20-2190-600",B100="20-2190-800",B100="40-2190-100",B100="40-2190-200",B100="40-2190-300",B100="40-2190-400",B100="40-2190-600",B100="40-2190-800",B100="50-2190-200",B100="10-2200-100",B100="10-2200-200",B100="10-2200-300",B100="10-2200-400",B100="10-2200-600",B100="10-2200-800",B100="50-2200-200",B100="10-2300-100",B100="10-2300-200",B100="10-2300-300",B100="10-2300-400",B100="10-2300-600",B100="10-2300-800",B100="50-2300-200",B100="80-2300-100",B100="80-2300-200",B100="80-2300-300",B100="80-2300-400",B100="80-2300-600",B100="80-2300-800",B100="10-2400-100",B100="10-2400-200",B100="10-2400-300",B100="10-2400-400",B100="10-2400-600",B100="10-2400-800",B100="50-2400-200",B100="10-2510-100",B100="10-2510-200",B100="10-2510-300",B100="10-2510-400",B100="10-2510-600",B100="10-2510-800",B100="20-2510-100",B100="20-2510-200",B100="20-2510-300",B100="20-2510-400",B100="20-2510-600",B100="20-2510-800",B100="50-2510-200",B100="10-2520-100",B100="10-2520-200",B100="10-2520-300",B100="10-2520-400",B100="10-2520-600",B100="10-2520-800",B100="50-2520-200",B100="10-2540-100",B100="10-2540-200",B100="10-2540-300",B100="10-2540-400",B100="10-2540-600",B100="20-2540-800",B100="20-2540-100",B100="20-2540-200",B100="20-2540-300",B100="20-2540-400",B100="20-2540-600",B100="50-2540-200",B100="90-2540-100",B100="90-2540-200",B100="90-2540-300",B100="90-2540-400",B100="90-2540-600",B100="90-2540-800",B100="90-2540-800",B100="10-2550-100",B100="10-2550-200",B100="10-2550-300",B100="10-2550-400",B100="10-2550-600",B100="10-2550-800",B100="20-2550-100",B100="20-2550-200",B100="20-2550-300",B100="20-2550-400",B100="20-2550-600",B100="20-2550-800",B100="40-2550-100",B100="40-2550-200",B100="40-2550-300",B100="40-2550-400",B100="40-2550-600",B100="40-2550-800",B100="50-2550-200",B100="10-2560-100",B100="10-2560-200",B100="10-2560-300",B100="10-2560-400",B100="10-2560-600",B100="10-2560-800",B100="20-2560-100",B100="20-2560-200",B100="20-2560-300",B100="20-2560-400",B100="20-2560-600",B100="20-2560-800",B100="50-2560-200",B100="10-2570-100",B100="10-2570-200",B100="10-2570-300",B100="10-2570-400",B100="10-2570-600",B100="10-2570-800",B100="50-2570-200",B100="10-2610-100",B100="10-2610-200",B100="10-2610-300",B100="10-2610-400",B100="10-2610-600",B100="10-2610-800",B100="50-2610-200",B100="10-2620-100",B100="10-2620-200",B100="10-2620-300",B100="10-2620-400",B100="10-2620-600",B100="10-2620-800",B100="50-2620-200",B100="10-2630-100",B100="10-2630-200",B100="10-2630-300",B100="10-2630-400",B100="10-2630-600",B100="10-2630-800",B100="50-2630-200",B100="10-2640-100",B100="10-2640-200",B100="10-2640-300",B100="10-2640-400",B100="10-2640-600",B100="10-2640-800",B100="50-2640-200",B100="10-2660-100",B100="10-2660-200",B100="10-2660-300",B100="10-2660-400",B100="10-2660-600",B100="10-2660-800",B100="50-2660-200",B100="10-2900-100",B100="10-2900-200",B100="10-2900-300",B100="10-2900-400",B100="10-2900-600",B100="10-2900-800",B100="20-2900-100",B100="20-2900-200",B100="20-2900-300",B100="20-2900-400",B100="20-2900-600",B100="20-2900-800",B100="40-2900-100",B100="40-2900-200",B100="40-2900-300",B100="40-2900-400",B100="40-2900-600",B100="40-2900-800",B100="50-2900-200",B100="60-2900-100",B100="60-2900-200",B100="60-2900-300",B100="60-2900-400",B100="60-2900-600",B100="60-2900-800",B100="90-2900-100",B100="90-2900-200",B100="90-2900-300",B100="90-2900-400",B100="90-2900-600",B100="90-2900-800",B100="10-3000-100",B100="10-3000-200",B100="10-3000-300",B100="10-3000-400",B100="10-3000-600",B100="10-3000-800",B100="20-3000-100",B100="20-3000-200",B100="20-3000-300",B100="20-3000-400",B100="20-3000-600",B100="20-3000-800",B100="40-3000-100",B100="40-3000-200",B100="40-3000-300",B100="40-3000-400",B100="40-3000-600",B100="40-3000-800",B100="50-3000-200"),E100,0)</f>
        <v>0</v>
      </c>
      <c r="G100" s="1816">
        <f t="shared" ref="G100:G112" si="19">IF(F100=0,0,D100-F100)</f>
        <v>0</v>
      </c>
    </row>
    <row r="101" spans="1:7" x14ac:dyDescent="0.25">
      <c r="A101" s="1675"/>
      <c r="B101" s="1689"/>
      <c r="C101" s="1676"/>
      <c r="D101" s="1867"/>
      <c r="E101" s="1562">
        <f t="shared" si="17"/>
        <v>0</v>
      </c>
      <c r="F101" s="1815">
        <f t="shared" si="18"/>
        <v>0</v>
      </c>
      <c r="G101" s="1816">
        <f t="shared" si="19"/>
        <v>0</v>
      </c>
    </row>
    <row r="102" spans="1:7" x14ac:dyDescent="0.25">
      <c r="A102" s="1675"/>
      <c r="B102" s="1689"/>
      <c r="C102" s="1676"/>
      <c r="D102" s="1867"/>
      <c r="E102" s="1562">
        <f t="shared" si="17"/>
        <v>0</v>
      </c>
      <c r="F102" s="1815">
        <f t="shared" si="18"/>
        <v>0</v>
      </c>
      <c r="G102" s="1816">
        <f t="shared" si="19"/>
        <v>0</v>
      </c>
    </row>
    <row r="103" spans="1:7" x14ac:dyDescent="0.25">
      <c r="A103" s="1675"/>
      <c r="B103" s="1689"/>
      <c r="C103" s="1676"/>
      <c r="D103" s="1867"/>
      <c r="E103" s="1562">
        <f t="shared" si="17"/>
        <v>0</v>
      </c>
      <c r="F103" s="1815">
        <f t="shared" si="18"/>
        <v>0</v>
      </c>
      <c r="G103" s="1816">
        <f t="shared" si="19"/>
        <v>0</v>
      </c>
    </row>
    <row r="104" spans="1:7" x14ac:dyDescent="0.25">
      <c r="A104" s="1675"/>
      <c r="B104" s="1689"/>
      <c r="C104" s="1676"/>
      <c r="D104" s="1867"/>
      <c r="E104" s="1562">
        <f t="shared" si="17"/>
        <v>0</v>
      </c>
      <c r="F104" s="1815">
        <f t="shared" si="18"/>
        <v>0</v>
      </c>
      <c r="G104" s="1816">
        <f t="shared" si="19"/>
        <v>0</v>
      </c>
    </row>
    <row r="105" spans="1:7" x14ac:dyDescent="0.25">
      <c r="A105" s="1675"/>
      <c r="B105" s="1689"/>
      <c r="C105" s="1676"/>
      <c r="D105" s="1867"/>
      <c r="E105" s="1562">
        <f t="shared" si="17"/>
        <v>0</v>
      </c>
      <c r="F105" s="1815">
        <f t="shared" si="18"/>
        <v>0</v>
      </c>
      <c r="G105" s="1816">
        <f t="shared" si="19"/>
        <v>0</v>
      </c>
    </row>
    <row r="106" spans="1:7" x14ac:dyDescent="0.25">
      <c r="A106" s="1675"/>
      <c r="B106" s="1689"/>
      <c r="C106" s="1676"/>
      <c r="D106" s="1867"/>
      <c r="E106" s="1562">
        <f t="shared" si="17"/>
        <v>0</v>
      </c>
      <c r="F106" s="1815">
        <f t="shared" si="18"/>
        <v>0</v>
      </c>
      <c r="G106" s="1816">
        <f t="shared" si="19"/>
        <v>0</v>
      </c>
    </row>
    <row r="107" spans="1:7" x14ac:dyDescent="0.25">
      <c r="A107" s="1675"/>
      <c r="B107" s="1689"/>
      <c r="C107" s="1676"/>
      <c r="D107" s="1867"/>
      <c r="E107" s="1562">
        <f t="shared" si="17"/>
        <v>0</v>
      </c>
      <c r="F107" s="1815">
        <f t="shared" si="18"/>
        <v>0</v>
      </c>
      <c r="G107" s="1816">
        <f t="shared" si="19"/>
        <v>0</v>
      </c>
    </row>
    <row r="108" spans="1:7" x14ac:dyDescent="0.25">
      <c r="A108" s="1675"/>
      <c r="B108" s="1689"/>
      <c r="C108" s="1676"/>
      <c r="D108" s="1867"/>
      <c r="E108" s="1562">
        <f t="shared" si="17"/>
        <v>0</v>
      </c>
      <c r="F108" s="1815">
        <f t="shared" si="18"/>
        <v>0</v>
      </c>
      <c r="G108" s="1816">
        <f t="shared" si="19"/>
        <v>0</v>
      </c>
    </row>
    <row r="109" spans="1:7" x14ac:dyDescent="0.25">
      <c r="A109" s="1675"/>
      <c r="B109" s="1689"/>
      <c r="C109" s="1676"/>
      <c r="D109" s="1867"/>
      <c r="E109" s="1562">
        <f t="shared" si="17"/>
        <v>0</v>
      </c>
      <c r="F109" s="1815">
        <f t="shared" si="18"/>
        <v>0</v>
      </c>
      <c r="G109" s="1816">
        <f t="shared" si="19"/>
        <v>0</v>
      </c>
    </row>
    <row r="110" spans="1:7" x14ac:dyDescent="0.25">
      <c r="A110" s="1675"/>
      <c r="B110" s="1689"/>
      <c r="C110" s="1676"/>
      <c r="D110" s="1867"/>
      <c r="E110" s="1562">
        <f t="shared" si="17"/>
        <v>0</v>
      </c>
      <c r="F110" s="1815">
        <f t="shared" si="18"/>
        <v>0</v>
      </c>
      <c r="G110" s="1816">
        <f t="shared" si="19"/>
        <v>0</v>
      </c>
    </row>
    <row r="111" spans="1:7" x14ac:dyDescent="0.25">
      <c r="A111" s="1675"/>
      <c r="B111" s="1689"/>
      <c r="C111" s="1676"/>
      <c r="D111" s="1867"/>
      <c r="E111" s="1562">
        <f t="shared" si="17"/>
        <v>0</v>
      </c>
      <c r="F111" s="1815">
        <f t="shared" si="18"/>
        <v>0</v>
      </c>
      <c r="G111" s="1816">
        <f t="shared" si="19"/>
        <v>0</v>
      </c>
    </row>
    <row r="112" spans="1:7" x14ac:dyDescent="0.25">
      <c r="A112" s="1675"/>
      <c r="B112" s="1689"/>
      <c r="C112" s="1676"/>
      <c r="D112" s="1867"/>
      <c r="E112" s="1562">
        <f t="shared" si="17"/>
        <v>0</v>
      </c>
      <c r="F112" s="1815">
        <f t="shared" si="18"/>
        <v>0</v>
      </c>
      <c r="G112" s="1816">
        <f t="shared" si="19"/>
        <v>0</v>
      </c>
    </row>
    <row r="113" spans="1:7" x14ac:dyDescent="0.25">
      <c r="A113" s="1675"/>
      <c r="B113" s="1689"/>
      <c r="C113" s="1676"/>
      <c r="D113" s="1867"/>
      <c r="E113" s="1562">
        <f t="shared" ref="E113:E125" si="20">IF(D113&lt;=25000,D113,IF(D113&gt;25000,25000,0))</f>
        <v>0</v>
      </c>
      <c r="F113" s="1815">
        <f t="shared" ref="F113:F125" si="21">IF(OR(B113="10-1000-100",B113="10-1000-200",B113="10-1000-300",B113="10-1000-400",B113="10-1000-600",B113="10-1000-800",B113="50-1000-200",B113="10-2100-100",B113="10-2100-200",B113="10-2100-300",B113="10-2100-400",B113="10-2100-600",B113="10-2100-800",B113="20-2100-200",B113="20-2190-100",B113="20-2190-200",B113="20-2190-300",B113="20-2190-400",B113="20-2190-600",B113="20-2190-800",B113="40-2190-100",B113="40-2190-200",B113="40-2190-300",B113="40-2190-400",B113="40-2190-600",B113="40-2190-800",B113="50-2190-200",B113="10-2200-100",B113="10-2200-200",B113="10-2200-300",B113="10-2200-400",B113="10-2200-600",B113="10-2200-800",B113="50-2200-200",B113="10-2300-100",B113="10-2300-200",B113="10-2300-300",B113="10-2300-400",B113="10-2300-600",B113="10-2300-800",B113="50-2300-200",B113="80-2300-100",B113="80-2300-200",B113="80-2300-300",B113="80-2300-400",B113="80-2300-600",B113="80-2300-800",B113="10-2400-100",B113="10-2400-200",B113="10-2400-300",B113="10-2400-400",B113="10-2400-600",B113="10-2400-800",B113="50-2400-200",B113="10-2510-100",B113="10-2510-200",B113="10-2510-300",B113="10-2510-400",B113="10-2510-600",B113="10-2510-800",B113="20-2510-100",B113="20-2510-200",B113="20-2510-300",B113="20-2510-400",B113="20-2510-600",B113="20-2510-800",B113="50-2510-200",B113="10-2520-100",B113="10-2520-200",B113="10-2520-300",B113="10-2520-400",B113="10-2520-600",B113="10-2520-800",B113="50-2520-200",B113="10-2540-100",B113="10-2540-200",B113="10-2540-300",B113="10-2540-400",B113="10-2540-600",B113="20-2540-800",B113="20-2540-100",B113="20-2540-200",B113="20-2540-300",B113="20-2540-400",B113="20-2540-600",B113="50-2540-200",B113="90-2540-100",B113="90-2540-200",B113="90-2540-300",B113="90-2540-400",B113="90-2540-600",B113="90-2540-800",B113="90-2540-800",B113="10-2550-100",B113="10-2550-200",B113="10-2550-300",B113="10-2550-400",B113="10-2550-600",B113="10-2550-800",B113="20-2550-100",B113="20-2550-200",B113="20-2550-300",B113="20-2550-400",B113="20-2550-600",B113="20-2550-800",B113="40-2550-100",B113="40-2550-200",B113="40-2550-300",B113="40-2550-400",B113="40-2550-600",B113="40-2550-800",B113="50-2550-200",B113="10-2560-100",B113="10-2560-200",B113="10-2560-300",B113="10-2560-400",B113="10-2560-600",B113="10-2560-800",B113="20-2560-100",B113="20-2560-200",B113="20-2560-300",B113="20-2560-400",B113="20-2560-600",B113="20-2560-800",B113="50-2560-200",B113="10-2570-100",B113="10-2570-200",B113="10-2570-300",B113="10-2570-400",B113="10-2570-600",B113="10-2570-800",B113="50-2570-200",B113="10-2610-100",B113="10-2610-200",B113="10-2610-300",B113="10-2610-400",B113="10-2610-600",B113="10-2610-800",B113="50-2610-200",B113="10-2620-100",B113="10-2620-200",B113="10-2620-300",B113="10-2620-400",B113="10-2620-600",B113="10-2620-800",B113="50-2620-200",B113="10-2630-100",B113="10-2630-200",B113="10-2630-300",B113="10-2630-400",B113="10-2630-600",B113="10-2630-800",B113="50-2630-200",B113="10-2640-100",B113="10-2640-200",B113="10-2640-300",B113="10-2640-400",B113="10-2640-600",B113="10-2640-800",B113="50-2640-200",B113="10-2660-100",B113="10-2660-200",B113="10-2660-300",B113="10-2660-400",B113="10-2660-600",B113="10-2660-800",B113="50-2660-200",B113="10-2900-100",B113="10-2900-200",B113="10-2900-300",B113="10-2900-400",B113="10-2900-600",B113="10-2900-800",B113="20-2900-100",B113="20-2900-200",B113="20-2900-300",B113="20-2900-400",B113="20-2900-600",B113="20-2900-800",B113="40-2900-100",B113="40-2900-200",B113="40-2900-300",B113="40-2900-400",B113="40-2900-600",B113="40-2900-800",B113="50-2900-200",B113="60-2900-100",B113="60-2900-200",B113="60-2900-300",B113="60-2900-400",B113="60-2900-600",B113="60-2900-800",B113="90-2900-100",B113="90-2900-200",B113="90-2900-300",B113="90-2900-400",B113="90-2900-600",B113="90-2900-800",B113="10-3000-100",B113="10-3000-200",B113="10-3000-300",B113="10-3000-400",B113="10-3000-600",B113="10-3000-800",B113="20-3000-100",B113="20-3000-200",B113="20-3000-300",B113="20-3000-400",B113="20-3000-600",B113="20-3000-800",B113="40-3000-100",B113="40-3000-200",B113="40-3000-300",B113="40-3000-400",B113="40-3000-600",B113="40-3000-800",B113="50-3000-200"),E113,0)</f>
        <v>0</v>
      </c>
      <c r="G113" s="1816">
        <f t="shared" ref="G113:G125" si="22">IF(F113=0,0,D113-F113)</f>
        <v>0</v>
      </c>
    </row>
    <row r="114" spans="1:7" x14ac:dyDescent="0.25">
      <c r="A114" s="1675"/>
      <c r="B114" s="1689"/>
      <c r="C114" s="1676"/>
      <c r="D114" s="1867"/>
      <c r="E114" s="1562">
        <f t="shared" si="20"/>
        <v>0</v>
      </c>
      <c r="F114" s="1815">
        <f t="shared" si="21"/>
        <v>0</v>
      </c>
      <c r="G114" s="1816">
        <f t="shared" si="22"/>
        <v>0</v>
      </c>
    </row>
    <row r="115" spans="1:7" x14ac:dyDescent="0.25">
      <c r="A115" s="1675"/>
      <c r="B115" s="1689"/>
      <c r="C115" s="1676"/>
      <c r="D115" s="1867"/>
      <c r="E115" s="1562">
        <f t="shared" si="20"/>
        <v>0</v>
      </c>
      <c r="F115" s="1815">
        <f t="shared" si="21"/>
        <v>0</v>
      </c>
      <c r="G115" s="1816">
        <f t="shared" si="22"/>
        <v>0</v>
      </c>
    </row>
    <row r="116" spans="1:7" x14ac:dyDescent="0.25">
      <c r="A116" s="1675"/>
      <c r="B116" s="1689"/>
      <c r="C116" s="1676"/>
      <c r="D116" s="1867"/>
      <c r="E116" s="1562">
        <f t="shared" si="20"/>
        <v>0</v>
      </c>
      <c r="F116" s="1815">
        <f t="shared" si="21"/>
        <v>0</v>
      </c>
      <c r="G116" s="1816">
        <f t="shared" si="22"/>
        <v>0</v>
      </c>
    </row>
    <row r="117" spans="1:7" x14ac:dyDescent="0.25">
      <c r="A117" s="1675"/>
      <c r="B117" s="1689"/>
      <c r="C117" s="1676"/>
      <c r="D117" s="1867"/>
      <c r="E117" s="1562">
        <f t="shared" si="20"/>
        <v>0</v>
      </c>
      <c r="F117" s="1815">
        <f t="shared" si="21"/>
        <v>0</v>
      </c>
      <c r="G117" s="1816">
        <f t="shared" si="22"/>
        <v>0</v>
      </c>
    </row>
    <row r="118" spans="1:7" x14ac:dyDescent="0.25">
      <c r="A118" s="1675"/>
      <c r="B118" s="1689"/>
      <c r="C118" s="1676"/>
      <c r="D118" s="1867"/>
      <c r="E118" s="1562">
        <f t="shared" si="20"/>
        <v>0</v>
      </c>
      <c r="F118" s="1815">
        <f t="shared" si="21"/>
        <v>0</v>
      </c>
      <c r="G118" s="1816">
        <f t="shared" si="22"/>
        <v>0</v>
      </c>
    </row>
    <row r="119" spans="1:7" x14ac:dyDescent="0.25">
      <c r="A119" s="1675"/>
      <c r="B119" s="1689"/>
      <c r="C119" s="1676"/>
      <c r="D119" s="1867"/>
      <c r="E119" s="1562">
        <f t="shared" si="20"/>
        <v>0</v>
      </c>
      <c r="F119" s="1815">
        <f t="shared" si="21"/>
        <v>0</v>
      </c>
      <c r="G119" s="1816">
        <f t="shared" si="22"/>
        <v>0</v>
      </c>
    </row>
    <row r="120" spans="1:7" x14ac:dyDescent="0.25">
      <c r="A120" s="1675"/>
      <c r="B120" s="1689"/>
      <c r="C120" s="1676"/>
      <c r="D120" s="1867"/>
      <c r="E120" s="1562">
        <f t="shared" si="20"/>
        <v>0</v>
      </c>
      <c r="F120" s="1815">
        <f t="shared" si="21"/>
        <v>0</v>
      </c>
      <c r="G120" s="1816">
        <f t="shared" si="22"/>
        <v>0</v>
      </c>
    </row>
    <row r="121" spans="1:7" x14ac:dyDescent="0.25">
      <c r="A121" s="1675"/>
      <c r="B121" s="1689"/>
      <c r="C121" s="1676"/>
      <c r="D121" s="1867"/>
      <c r="E121" s="1562">
        <f t="shared" si="20"/>
        <v>0</v>
      </c>
      <c r="F121" s="1815">
        <f t="shared" si="21"/>
        <v>0</v>
      </c>
      <c r="G121" s="1816">
        <f t="shared" si="22"/>
        <v>0</v>
      </c>
    </row>
    <row r="122" spans="1:7" x14ac:dyDescent="0.25">
      <c r="A122" s="1675"/>
      <c r="B122" s="1689"/>
      <c r="C122" s="1676"/>
      <c r="D122" s="1867"/>
      <c r="E122" s="1562">
        <f t="shared" si="20"/>
        <v>0</v>
      </c>
      <c r="F122" s="1815">
        <f t="shared" si="21"/>
        <v>0</v>
      </c>
      <c r="G122" s="1816">
        <f t="shared" si="22"/>
        <v>0</v>
      </c>
    </row>
    <row r="123" spans="1:7" x14ac:dyDescent="0.25">
      <c r="A123" s="1675"/>
      <c r="B123" s="1689"/>
      <c r="C123" s="1676"/>
      <c r="D123" s="1867"/>
      <c r="E123" s="1562">
        <f t="shared" si="20"/>
        <v>0</v>
      </c>
      <c r="F123" s="1815">
        <f t="shared" si="21"/>
        <v>0</v>
      </c>
      <c r="G123" s="1816">
        <f t="shared" si="22"/>
        <v>0</v>
      </c>
    </row>
    <row r="124" spans="1:7" x14ac:dyDescent="0.25">
      <c r="A124" s="1675"/>
      <c r="B124" s="1689"/>
      <c r="C124" s="1676"/>
      <c r="D124" s="1867"/>
      <c r="E124" s="1562">
        <f t="shared" si="20"/>
        <v>0</v>
      </c>
      <c r="F124" s="1815">
        <f t="shared" si="21"/>
        <v>0</v>
      </c>
      <c r="G124" s="1816">
        <f t="shared" si="22"/>
        <v>0</v>
      </c>
    </row>
    <row r="125" spans="1:7" x14ac:dyDescent="0.25">
      <c r="A125" s="1675"/>
      <c r="B125" s="1689"/>
      <c r="C125" s="1676"/>
      <c r="D125" s="1867"/>
      <c r="E125" s="1562">
        <f t="shared" si="20"/>
        <v>0</v>
      </c>
      <c r="F125" s="1815">
        <f t="shared" si="21"/>
        <v>0</v>
      </c>
      <c r="G125" s="1816">
        <f t="shared" si="22"/>
        <v>0</v>
      </c>
    </row>
    <row r="126" spans="1:7" x14ac:dyDescent="0.25">
      <c r="A126" s="1675"/>
      <c r="B126" s="1689"/>
      <c r="C126" s="1676"/>
      <c r="D126" s="1867"/>
      <c r="E126" s="1562">
        <f t="shared" ref="E126:E134" si="23">IF(D126&lt;=25000,D126,IF(D126&gt;25000,25000,0))</f>
        <v>0</v>
      </c>
      <c r="F126" s="1815">
        <f t="shared" ref="F126:F134" si="24">IF(OR(B126="10-1000-100",B126="10-1000-200",B126="10-1000-300",B126="10-1000-400",B126="10-1000-600",B126="10-1000-800",B126="50-1000-200",B126="10-2100-100",B126="10-2100-200",B126="10-2100-300",B126="10-2100-400",B126="10-2100-600",B126="10-2100-800",B126="20-2100-200",B126="20-2190-100",B126="20-2190-200",B126="20-2190-300",B126="20-2190-400",B126="20-2190-600",B126="20-2190-800",B126="40-2190-100",B126="40-2190-200",B126="40-2190-300",B126="40-2190-400",B126="40-2190-600",B126="40-2190-800",B126="50-2190-200",B126="10-2200-100",B126="10-2200-200",B126="10-2200-300",B126="10-2200-400",B126="10-2200-600",B126="10-2200-800",B126="50-2200-200",B126="10-2300-100",B126="10-2300-200",B126="10-2300-300",B126="10-2300-400",B126="10-2300-600",B126="10-2300-800",B126="50-2300-200",B126="80-2300-100",B126="80-2300-200",B126="80-2300-300",B126="80-2300-400",B126="80-2300-600",B126="80-2300-800",B126="10-2400-100",B126="10-2400-200",B126="10-2400-300",B126="10-2400-400",B126="10-2400-600",B126="10-2400-800",B126="50-2400-200",B126="10-2510-100",B126="10-2510-200",B126="10-2510-300",B126="10-2510-400",B126="10-2510-600",B126="10-2510-800",B126="20-2510-100",B126="20-2510-200",B126="20-2510-300",B126="20-2510-400",B126="20-2510-600",B126="20-2510-800",B126="50-2510-200",B126="10-2520-100",B126="10-2520-200",B126="10-2520-300",B126="10-2520-400",B126="10-2520-600",B126="10-2520-800",B126="50-2520-200",B126="10-2540-100",B126="10-2540-200",B126="10-2540-300",B126="10-2540-400",B126="10-2540-600",B126="20-2540-800",B126="20-2540-100",B126="20-2540-200",B126="20-2540-300",B126="20-2540-400",B126="20-2540-600",B126="50-2540-200",B126="90-2540-100",B126="90-2540-200",B126="90-2540-300",B126="90-2540-400",B126="90-2540-600",B126="90-2540-800",B126="90-2540-800",B126="10-2550-100",B126="10-2550-200",B126="10-2550-300",B126="10-2550-400",B126="10-2550-600",B126="10-2550-800",B126="20-2550-100",B126="20-2550-200",B126="20-2550-300",B126="20-2550-400",B126="20-2550-600",B126="20-2550-800",B126="40-2550-100",B126="40-2550-200",B126="40-2550-300",B126="40-2550-400",B126="40-2550-600",B126="40-2550-800",B126="50-2550-200",B126="10-2560-100",B126="10-2560-200",B126="10-2560-300",B126="10-2560-400",B126="10-2560-600",B126="10-2560-800",B126="20-2560-100",B126="20-2560-200",B126="20-2560-300",B126="20-2560-400",B126="20-2560-600",B126="20-2560-800",B126="50-2560-200",B126="10-2570-100",B126="10-2570-200",B126="10-2570-300",B126="10-2570-400",B126="10-2570-600",B126="10-2570-800",B126="50-2570-200",B126="10-2610-100",B126="10-2610-200",B126="10-2610-300",B126="10-2610-400",B126="10-2610-600",B126="10-2610-800",B126="50-2610-200",B126="10-2620-100",B126="10-2620-200",B126="10-2620-300",B126="10-2620-400",B126="10-2620-600",B126="10-2620-800",B126="50-2620-200",B126="10-2630-100",B126="10-2630-200",B126="10-2630-300",B126="10-2630-400",B126="10-2630-600",B126="10-2630-800",B126="50-2630-200",B126="10-2640-100",B126="10-2640-200",B126="10-2640-300",B126="10-2640-400",B126="10-2640-600",B126="10-2640-800",B126="50-2640-200",B126="10-2660-100",B126="10-2660-200",B126="10-2660-300",B126="10-2660-400",B126="10-2660-600",B126="10-2660-800",B126="50-2660-200",B126="10-2900-100",B126="10-2900-200",B126="10-2900-300",B126="10-2900-400",B126="10-2900-600",B126="10-2900-800",B126="20-2900-100",B126="20-2900-200",B126="20-2900-300",B126="20-2900-400",B126="20-2900-600",B126="20-2900-800",B126="40-2900-100",B126="40-2900-200",B126="40-2900-300",B126="40-2900-400",B126="40-2900-600",B126="40-2900-800",B126="50-2900-200",B126="60-2900-100",B126="60-2900-200",B126="60-2900-300",B126="60-2900-400",B126="60-2900-600",B126="60-2900-800",B126="90-2900-100",B126="90-2900-200",B126="90-2900-300",B126="90-2900-400",B126="90-2900-600",B126="90-2900-800",B126="10-3000-100",B126="10-3000-200",B126="10-3000-300",B126="10-3000-400",B126="10-3000-600",B126="10-3000-800",B126="20-3000-100",B126="20-3000-200",B126="20-3000-300",B126="20-3000-400",B126="20-3000-600",B126="20-3000-800",B126="40-3000-100",B126="40-3000-200",B126="40-3000-300",B126="40-3000-400",B126="40-3000-600",B126="40-3000-800",B126="50-3000-200"),E126,0)</f>
        <v>0</v>
      </c>
      <c r="G126" s="1816">
        <f t="shared" ref="G126:G134" si="25">IF(F126=0,0,D126-F126)</f>
        <v>0</v>
      </c>
    </row>
    <row r="127" spans="1:7" x14ac:dyDescent="0.25">
      <c r="A127" s="1675"/>
      <c r="B127" s="1689"/>
      <c r="C127" s="1676"/>
      <c r="D127" s="1867"/>
      <c r="E127" s="1562">
        <f t="shared" si="23"/>
        <v>0</v>
      </c>
      <c r="F127" s="1815">
        <f t="shared" si="24"/>
        <v>0</v>
      </c>
      <c r="G127" s="1816">
        <f t="shared" si="25"/>
        <v>0</v>
      </c>
    </row>
    <row r="128" spans="1:7" x14ac:dyDescent="0.25">
      <c r="A128" s="1675"/>
      <c r="B128" s="1689"/>
      <c r="C128" s="1676"/>
      <c r="D128" s="1867"/>
      <c r="E128" s="1562">
        <f t="shared" si="23"/>
        <v>0</v>
      </c>
      <c r="F128" s="1815">
        <f t="shared" si="24"/>
        <v>0</v>
      </c>
      <c r="G128" s="1816">
        <f t="shared" si="25"/>
        <v>0</v>
      </c>
    </row>
    <row r="129" spans="1:7" x14ac:dyDescent="0.25">
      <c r="A129" s="1675"/>
      <c r="B129" s="1689"/>
      <c r="C129" s="1676"/>
      <c r="D129" s="1867"/>
      <c r="E129" s="1562">
        <f t="shared" si="23"/>
        <v>0</v>
      </c>
      <c r="F129" s="1815">
        <f t="shared" si="24"/>
        <v>0</v>
      </c>
      <c r="G129" s="1816">
        <f t="shared" si="25"/>
        <v>0</v>
      </c>
    </row>
    <row r="130" spans="1:7" x14ac:dyDescent="0.25">
      <c r="A130" s="1675"/>
      <c r="B130" s="1689"/>
      <c r="C130" s="1676"/>
      <c r="D130" s="1867"/>
      <c r="E130" s="1562">
        <f t="shared" si="23"/>
        <v>0</v>
      </c>
      <c r="F130" s="1815">
        <f t="shared" si="24"/>
        <v>0</v>
      </c>
      <c r="G130" s="1816">
        <f t="shared" si="25"/>
        <v>0</v>
      </c>
    </row>
    <row r="131" spans="1:7" x14ac:dyDescent="0.25">
      <c r="A131" s="1675"/>
      <c r="B131" s="1860"/>
      <c r="C131" s="1676"/>
      <c r="D131" s="1867"/>
      <c r="E131" s="1562">
        <f t="shared" si="23"/>
        <v>0</v>
      </c>
      <c r="F131" s="1815">
        <f t="shared" si="24"/>
        <v>0</v>
      </c>
      <c r="G131" s="1816">
        <f t="shared" si="25"/>
        <v>0</v>
      </c>
    </row>
    <row r="132" spans="1:7" x14ac:dyDescent="0.25">
      <c r="A132" s="1675"/>
      <c r="B132" s="1860"/>
      <c r="C132" s="1676"/>
      <c r="D132" s="1867"/>
      <c r="E132" s="1562">
        <f t="shared" si="23"/>
        <v>0</v>
      </c>
      <c r="F132" s="1815">
        <f t="shared" si="24"/>
        <v>0</v>
      </c>
      <c r="G132" s="1816">
        <f t="shared" si="25"/>
        <v>0</v>
      </c>
    </row>
    <row r="133" spans="1:7" x14ac:dyDescent="0.25">
      <c r="A133" s="1675"/>
      <c r="B133" s="1689"/>
      <c r="C133" s="1676"/>
      <c r="D133" s="1867"/>
      <c r="E133" s="1562">
        <f t="shared" si="23"/>
        <v>0</v>
      </c>
      <c r="F133" s="1815">
        <f t="shared" si="24"/>
        <v>0</v>
      </c>
      <c r="G133" s="1816">
        <f t="shared" si="25"/>
        <v>0</v>
      </c>
    </row>
    <row r="134" spans="1:7" x14ac:dyDescent="0.25">
      <c r="A134" s="1675"/>
      <c r="B134" s="1689"/>
      <c r="C134" s="1676"/>
      <c r="D134" s="1867"/>
      <c r="E134" s="1562">
        <f t="shared" si="23"/>
        <v>0</v>
      </c>
      <c r="F134" s="1815">
        <f t="shared" si="24"/>
        <v>0</v>
      </c>
      <c r="G134" s="1816">
        <f t="shared" si="25"/>
        <v>0</v>
      </c>
    </row>
    <row r="135" spans="1:7" x14ac:dyDescent="0.25">
      <c r="A135" s="1675"/>
      <c r="B135" s="1689"/>
      <c r="C135" s="1676"/>
      <c r="D135" s="1867"/>
      <c r="E135" s="1562">
        <f t="shared" ref="E135:E139" si="26">IF(D135&lt;=25000,D135,IF(D135&gt;25000,25000,0))</f>
        <v>0</v>
      </c>
      <c r="F135" s="1815">
        <f t="shared" ref="F135:F139" si="27">IF(OR(B135="10-1000-100",B135="10-1000-200",B135="10-1000-300",B135="10-1000-400",B135="10-1000-600",B135="10-1000-800",B135="50-1000-200",B135="10-2100-100",B135="10-2100-200",B135="10-2100-300",B135="10-2100-400",B135="10-2100-600",B135="10-2100-800",B135="20-2100-200",B135="20-2190-100",B135="20-2190-200",B135="20-2190-300",B135="20-2190-400",B135="20-2190-600",B135="20-2190-800",B135="40-2190-100",B135="40-2190-200",B135="40-2190-300",B135="40-2190-400",B135="40-2190-600",B135="40-2190-800",B135="50-2190-200",B135="10-2200-100",B135="10-2200-200",B135="10-2200-300",B135="10-2200-400",B135="10-2200-600",B135="10-2200-800",B135="50-2200-200",B135="10-2300-100",B135="10-2300-200",B135="10-2300-300",B135="10-2300-400",B135="10-2300-600",B135="10-2300-800",B135="50-2300-200",B135="80-2300-100",B135="80-2300-200",B135="80-2300-300",B135="80-2300-400",B135="80-2300-600",B135="80-2300-800",B135="10-2400-100",B135="10-2400-200",B135="10-2400-300",B135="10-2400-400",B135="10-2400-600",B135="10-2400-800",B135="50-2400-200",B135="10-2510-100",B135="10-2510-200",B135="10-2510-300",B135="10-2510-400",B135="10-2510-600",B135="10-2510-800",B135="20-2510-100",B135="20-2510-200",B135="20-2510-300",B135="20-2510-400",B135="20-2510-600",B135="20-2510-800",B135="50-2510-200",B135="10-2520-100",B135="10-2520-200",B135="10-2520-300",B135="10-2520-400",B135="10-2520-600",B135="10-2520-800",B135="50-2520-200",B135="10-2540-100",B135="10-2540-200",B135="10-2540-300",B135="10-2540-400",B135="10-2540-600",B135="20-2540-800",B135="20-2540-100",B135="20-2540-200",B135="20-2540-300",B135="20-2540-400",B135="20-2540-600",B135="50-2540-200",B135="90-2540-100",B135="90-2540-200",B135="90-2540-300",B135="90-2540-400",B135="90-2540-600",B135="90-2540-800",B135="90-2540-800",B135="10-2550-100",B135="10-2550-200",B135="10-2550-300",B135="10-2550-400",B135="10-2550-600",B135="10-2550-800",B135="20-2550-100",B135="20-2550-200",B135="20-2550-300",B135="20-2550-400",B135="20-2550-600",B135="20-2550-800",B135="40-2550-100",B135="40-2550-200",B135="40-2550-300",B135="40-2550-400",B135="40-2550-600",B135="40-2550-800",B135="50-2550-200",B135="10-2560-100",B135="10-2560-200",B135="10-2560-300",B135="10-2560-400",B135="10-2560-600",B135="10-2560-800",B135="20-2560-100",B135="20-2560-200",B135="20-2560-300",B135="20-2560-400",B135="20-2560-600",B135="20-2560-800",B135="50-2560-200",B135="10-2570-100",B135="10-2570-200",B135="10-2570-300",B135="10-2570-400",B135="10-2570-600",B135="10-2570-800",B135="50-2570-200",B135="10-2610-100",B135="10-2610-200",B135="10-2610-300",B135="10-2610-400",B135="10-2610-600",B135="10-2610-800",B135="50-2610-200",B135="10-2620-100",B135="10-2620-200",B135="10-2620-300",B135="10-2620-400",B135="10-2620-600",B135="10-2620-800",B135="50-2620-200",B135="10-2630-100",B135="10-2630-200",B135="10-2630-300",B135="10-2630-400",B135="10-2630-600",B135="10-2630-800",B135="50-2630-200",B135="10-2640-100",B135="10-2640-200",B135="10-2640-300",B135="10-2640-400",B135="10-2640-600",B135="10-2640-800",B135="50-2640-200",B135="10-2660-100",B135="10-2660-200",B135="10-2660-300",B135="10-2660-400",B135="10-2660-600",B135="10-2660-800",B135="50-2660-200",B135="10-2900-100",B135="10-2900-200",B135="10-2900-300",B135="10-2900-400",B135="10-2900-600",B135="10-2900-800",B135="20-2900-100",B135="20-2900-200",B135="20-2900-300",B135="20-2900-400",B135="20-2900-600",B135="20-2900-800",B135="40-2900-100",B135="40-2900-200",B135="40-2900-300",B135="40-2900-400",B135="40-2900-600",B135="40-2900-800",B135="50-2900-200",B135="60-2900-100",B135="60-2900-200",B135="60-2900-300",B135="60-2900-400",B135="60-2900-600",B135="60-2900-800",B135="90-2900-100",B135="90-2900-200",B135="90-2900-300",B135="90-2900-400",B135="90-2900-600",B135="90-2900-800",B135="10-3000-100",B135="10-3000-200",B135="10-3000-300",B135="10-3000-400",B135="10-3000-600",B135="10-3000-800",B135="20-3000-100",B135="20-3000-200",B135="20-3000-300",B135="20-3000-400",B135="20-3000-600",B135="20-3000-800",B135="40-3000-100",B135="40-3000-200",B135="40-3000-300",B135="40-3000-400",B135="40-3000-600",B135="40-3000-800",B135="50-3000-200"),E135,0)</f>
        <v>0</v>
      </c>
      <c r="G135" s="1816">
        <f t="shared" ref="G135:G139" si="28">IF(F135=0,0,D135-F135)</f>
        <v>0</v>
      </c>
    </row>
    <row r="136" spans="1:7" x14ac:dyDescent="0.25">
      <c r="A136" s="1675"/>
      <c r="B136" s="1689"/>
      <c r="C136" s="1676"/>
      <c r="D136" s="1867"/>
      <c r="E136" s="1562">
        <f t="shared" si="26"/>
        <v>0</v>
      </c>
      <c r="F136" s="1815">
        <f t="shared" si="27"/>
        <v>0</v>
      </c>
      <c r="G136" s="1816">
        <f t="shared" si="28"/>
        <v>0</v>
      </c>
    </row>
    <row r="137" spans="1:7" x14ac:dyDescent="0.25">
      <c r="A137" s="1675"/>
      <c r="B137" s="1689"/>
      <c r="C137" s="1676"/>
      <c r="D137" s="1867"/>
      <c r="E137" s="1562">
        <f t="shared" si="26"/>
        <v>0</v>
      </c>
      <c r="F137" s="1815">
        <f t="shared" si="27"/>
        <v>0</v>
      </c>
      <c r="G137" s="1816">
        <f t="shared" si="28"/>
        <v>0</v>
      </c>
    </row>
    <row r="138" spans="1:7" x14ac:dyDescent="0.25">
      <c r="A138" s="1675"/>
      <c r="B138" s="1689"/>
      <c r="C138" s="1676"/>
      <c r="D138" s="1867"/>
      <c r="E138" s="1562">
        <f t="shared" si="26"/>
        <v>0</v>
      </c>
      <c r="F138" s="1815">
        <f t="shared" si="27"/>
        <v>0</v>
      </c>
      <c r="G138" s="1816">
        <f t="shared" si="28"/>
        <v>0</v>
      </c>
    </row>
    <row r="139" spans="1:7" x14ac:dyDescent="0.25">
      <c r="A139" s="1675"/>
      <c r="B139" s="1689"/>
      <c r="C139" s="1676"/>
      <c r="D139" s="1867"/>
      <c r="E139" s="1562">
        <f t="shared" si="26"/>
        <v>0</v>
      </c>
      <c r="F139" s="1815">
        <f t="shared" si="27"/>
        <v>0</v>
      </c>
      <c r="G139" s="1816">
        <f t="shared" si="28"/>
        <v>0</v>
      </c>
    </row>
    <row r="140" spans="1:7" x14ac:dyDescent="0.25">
      <c r="A140" s="1675"/>
      <c r="B140" s="1688"/>
      <c r="C140" s="1676"/>
      <c r="D140" s="1867"/>
      <c r="E140" s="1562">
        <f t="shared" si="2"/>
        <v>0</v>
      </c>
      <c r="F140" s="1815">
        <f t="shared" si="3"/>
        <v>0</v>
      </c>
      <c r="G140" s="1816">
        <f t="shared" si="4"/>
        <v>0</v>
      </c>
    </row>
    <row r="141" spans="1:7" x14ac:dyDescent="0.25">
      <c r="A141" s="1819" t="s">
        <v>158</v>
      </c>
      <c r="B141" s="1820"/>
      <c r="C141" s="1821"/>
      <c r="D141" s="1817">
        <f>SUM(D17:D140)</f>
        <v>0</v>
      </c>
      <c r="E141" s="1563">
        <f t="shared" si="1"/>
        <v>0</v>
      </c>
      <c r="F141" s="1817">
        <f>SUM(F17:F140)</f>
        <v>0</v>
      </c>
      <c r="G141" s="1818">
        <f>SUM(G17:G140)</f>
        <v>0</v>
      </c>
    </row>
  </sheetData>
  <sheetProtection sheet="1" selectLockedCells="1"/>
  <mergeCells count="6">
    <mergeCell ref="A13:G13"/>
    <mergeCell ref="A4:G5"/>
    <mergeCell ref="A11:G11"/>
    <mergeCell ref="A7:G7"/>
    <mergeCell ref="A8:G8"/>
    <mergeCell ref="A9:G9"/>
  </mergeCells>
  <pageMargins left="0.2" right="0.2" top="0.5" bottom="0.25" header="0.3" footer="0.3"/>
  <pageSetup scale="83" firstPageNumber="3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46"/>
  <sheetViews>
    <sheetView showGridLines="0" defaultGridColor="0" colorId="8" zoomScale="110" zoomScaleNormal="110" workbookViewId="0">
      <selection activeCell="E12" sqref="E12"/>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656" t="s">
        <v>1177</v>
      </c>
      <c r="B1" s="1657"/>
      <c r="C1" s="1658"/>
    </row>
    <row r="2" spans="1:9" x14ac:dyDescent="0.2">
      <c r="A2" s="953" t="s">
        <v>1178</v>
      </c>
      <c r="B2" s="954"/>
      <c r="C2" s="954"/>
      <c r="D2" s="954"/>
      <c r="E2" s="955"/>
      <c r="F2" s="955"/>
      <c r="G2" s="956"/>
    </row>
    <row r="3" spans="1:9" ht="12" customHeight="1" x14ac:dyDescent="0.2">
      <c r="A3" s="957" t="s">
        <v>1423</v>
      </c>
      <c r="B3" s="958"/>
      <c r="C3" s="958"/>
      <c r="D3" s="958"/>
      <c r="E3" s="959"/>
      <c r="F3" s="959"/>
      <c r="G3" s="960"/>
    </row>
    <row r="4" spans="1:9" x14ac:dyDescent="0.2">
      <c r="A4" s="961" t="s">
        <v>779</v>
      </c>
      <c r="B4" s="962"/>
      <c r="C4" s="962"/>
      <c r="D4" s="962"/>
      <c r="E4" s="963"/>
      <c r="F4" s="964"/>
      <c r="G4" s="965"/>
      <c r="H4" s="252"/>
      <c r="I4" s="252"/>
    </row>
    <row r="5" spans="1:9" s="343" customFormat="1" ht="57" customHeight="1" x14ac:dyDescent="0.2">
      <c r="A5" s="2301" t="s">
        <v>1778</v>
      </c>
      <c r="B5" s="2302"/>
      <c r="C5" s="2302"/>
      <c r="D5" s="2302"/>
      <c r="E5" s="2302"/>
      <c r="F5" s="2302"/>
      <c r="G5" s="2303"/>
      <c r="H5" s="252"/>
      <c r="I5" s="610"/>
    </row>
    <row r="6" spans="1:9" s="669" customFormat="1" x14ac:dyDescent="0.2">
      <c r="A6" s="1659" t="s">
        <v>214</v>
      </c>
      <c r="B6" s="967"/>
      <c r="C6" s="967"/>
      <c r="D6" s="968"/>
      <c r="E6" s="968"/>
      <c r="F6" s="969"/>
      <c r="G6" s="970"/>
      <c r="H6" s="162"/>
      <c r="I6" s="162"/>
    </row>
    <row r="7" spans="1:9" s="669" customFormat="1" ht="12" customHeight="1" x14ac:dyDescent="0.2">
      <c r="A7" s="971" t="s">
        <v>964</v>
      </c>
      <c r="B7" s="972"/>
      <c r="C7" s="972"/>
      <c r="D7" s="973"/>
      <c r="E7" s="974"/>
      <c r="F7" s="975"/>
      <c r="G7" s="976"/>
      <c r="H7" s="162"/>
      <c r="I7" s="162"/>
    </row>
    <row r="8" spans="1:9" s="669" customFormat="1" ht="12" customHeight="1" x14ac:dyDescent="0.2">
      <c r="A8" s="971" t="s">
        <v>131</v>
      </c>
      <c r="B8" s="972"/>
      <c r="C8" s="972"/>
      <c r="D8" s="973"/>
      <c r="E8" s="974"/>
      <c r="F8" s="975"/>
      <c r="G8" s="976"/>
      <c r="H8" s="162"/>
      <c r="I8" s="162"/>
    </row>
    <row r="9" spans="1:9" s="669" customFormat="1" ht="12" customHeight="1" x14ac:dyDescent="0.2">
      <c r="A9" s="971" t="s">
        <v>132</v>
      </c>
      <c r="B9" s="972"/>
      <c r="C9" s="972"/>
      <c r="D9" s="973"/>
      <c r="E9" s="974"/>
      <c r="F9" s="975"/>
      <c r="G9" s="976"/>
      <c r="H9" s="162"/>
      <c r="I9" s="162"/>
    </row>
    <row r="10" spans="1:9" s="669" customFormat="1" ht="12" customHeight="1" x14ac:dyDescent="0.2">
      <c r="A10" s="971" t="s">
        <v>2072</v>
      </c>
      <c r="B10" s="972"/>
      <c r="C10" s="977"/>
      <c r="D10" s="973"/>
      <c r="E10" s="974">
        <v>408184</v>
      </c>
      <c r="F10" s="975"/>
      <c r="G10" s="976"/>
      <c r="H10" s="162"/>
      <c r="I10" s="162"/>
    </row>
    <row r="11" spans="1:9" s="669" customFormat="1" ht="22.5" customHeight="1" x14ac:dyDescent="0.2">
      <c r="A11" s="2306" t="s">
        <v>1942</v>
      </c>
      <c r="B11" s="2307"/>
      <c r="C11" s="2307"/>
      <c r="D11" s="2308"/>
      <c r="E11" s="978">
        <v>86532</v>
      </c>
      <c r="F11" s="975"/>
      <c r="G11" s="979"/>
      <c r="H11" s="162"/>
      <c r="I11" s="162"/>
    </row>
    <row r="12" spans="1:9" s="669" customFormat="1" ht="12" customHeight="1" x14ac:dyDescent="0.2">
      <c r="A12" s="971" t="s">
        <v>133</v>
      </c>
      <c r="B12" s="972"/>
      <c r="C12" s="972"/>
      <c r="D12" s="973"/>
      <c r="E12" s="974">
        <v>7</v>
      </c>
      <c r="F12" s="975"/>
      <c r="G12" s="976"/>
      <c r="H12" s="162"/>
      <c r="I12" s="162"/>
    </row>
    <row r="13" spans="1:9" s="669" customFormat="1" ht="12" customHeight="1" x14ac:dyDescent="0.2">
      <c r="A13" s="971" t="s">
        <v>212</v>
      </c>
      <c r="B13" s="972"/>
      <c r="C13" s="972"/>
      <c r="D13" s="973"/>
      <c r="E13" s="974"/>
      <c r="F13" s="975"/>
      <c r="G13" s="976"/>
      <c r="H13" s="162"/>
      <c r="I13" s="162"/>
    </row>
    <row r="14" spans="1:9" s="669" customFormat="1" ht="12" customHeight="1" x14ac:dyDescent="0.2">
      <c r="A14" s="971" t="s">
        <v>213</v>
      </c>
      <c r="B14" s="972"/>
      <c r="C14" s="972"/>
      <c r="D14" s="973"/>
      <c r="E14" s="974"/>
      <c r="F14" s="980"/>
      <c r="G14" s="981"/>
      <c r="H14" s="162"/>
      <c r="I14" s="162"/>
    </row>
    <row r="15" spans="1:9" s="669" customFormat="1" ht="12" customHeight="1" x14ac:dyDescent="0.2">
      <c r="A15" s="966" t="s">
        <v>389</v>
      </c>
      <c r="B15" s="968"/>
      <c r="C15" s="968"/>
      <c r="D15" s="968"/>
      <c r="E15" s="968"/>
      <c r="F15" s="968"/>
      <c r="G15" s="982"/>
      <c r="H15" s="162"/>
      <c r="I15" s="162"/>
    </row>
    <row r="16" spans="1:9" s="669" customFormat="1" x14ac:dyDescent="0.2">
      <c r="A16" s="983" t="s">
        <v>1443</v>
      </c>
      <c r="B16" s="984"/>
      <c r="C16" s="985"/>
      <c r="D16" s="964"/>
      <c r="E16" s="959"/>
      <c r="F16" s="959"/>
      <c r="G16" s="960"/>
      <c r="H16" s="162"/>
      <c r="I16" s="162"/>
    </row>
    <row r="17" spans="1:9" s="669" customFormat="1" ht="12" customHeight="1" x14ac:dyDescent="0.2">
      <c r="A17" s="986"/>
      <c r="B17" s="987"/>
      <c r="C17" s="329"/>
      <c r="D17" s="1660" t="s">
        <v>553</v>
      </c>
      <c r="E17" s="1661"/>
      <c r="F17" s="1660" t="s">
        <v>453</v>
      </c>
      <c r="G17" s="1662"/>
      <c r="H17" s="162"/>
      <c r="I17" s="162"/>
    </row>
    <row r="18" spans="1:9" s="259" customFormat="1" ht="11.25" x14ac:dyDescent="0.2">
      <c r="A18" s="989"/>
      <c r="C18" s="990" t="s">
        <v>454</v>
      </c>
      <c r="D18" s="1663" t="s">
        <v>455</v>
      </c>
      <c r="E18" s="1663" t="s">
        <v>55</v>
      </c>
      <c r="F18" s="1663" t="s">
        <v>455</v>
      </c>
      <c r="G18" s="1663" t="s">
        <v>55</v>
      </c>
      <c r="H18" s="178"/>
      <c r="I18" s="178"/>
    </row>
    <row r="19" spans="1:9" s="669" customFormat="1" ht="12" customHeight="1" x14ac:dyDescent="0.2">
      <c r="A19" s="991" t="s">
        <v>476</v>
      </c>
      <c r="B19" s="992"/>
      <c r="C19" s="993" t="s">
        <v>591</v>
      </c>
      <c r="D19" s="1822"/>
      <c r="E19" s="1823">
        <f>'Expenditures 15-22'!K33-SUM('Expenditures 15-22'!G33,'Expenditures 15-22'!I33)+'Expenditures 15-22'!D229</f>
        <v>11270722</v>
      </c>
      <c r="F19" s="1822"/>
      <c r="G19" s="1824">
        <f>'Expenditures 15-22'!K33-SUM('Expenditures 15-22'!G33,'Expenditures 15-22'!I33)+'Expenditures 15-22'!D229</f>
        <v>11270722</v>
      </c>
      <c r="H19" s="988"/>
      <c r="I19" s="162"/>
    </row>
    <row r="20" spans="1:9" s="669" customFormat="1" ht="12" customHeight="1" x14ac:dyDescent="0.2">
      <c r="A20" s="991" t="s">
        <v>56</v>
      </c>
      <c r="B20" s="992"/>
      <c r="C20" s="994"/>
      <c r="D20" s="1825"/>
      <c r="E20" s="1825"/>
      <c r="F20" s="1825"/>
      <c r="G20" s="1826"/>
      <c r="H20" s="988"/>
      <c r="I20" s="162"/>
    </row>
    <row r="21" spans="1:9" s="669" customFormat="1" ht="12" customHeight="1" x14ac:dyDescent="0.2">
      <c r="A21" s="995" t="s">
        <v>421</v>
      </c>
      <c r="B21" s="996"/>
      <c r="C21" s="994">
        <v>2100</v>
      </c>
      <c r="D21" s="1825"/>
      <c r="E21" s="1827">
        <f>'Expenditures 15-22'!K42-SUM('Expenditures 15-22'!G42,'Expenditures 15-22'!I42)+'Expenditures 15-22'!K120-SUM('Expenditures 15-22'!G120,'Expenditures 15-22'!I120)+'Expenditures 15-22'!K180-SUM('Expenditures 15-22'!G180,'Expenditures 15-22'!I180)+'Expenditures 15-22'!D238</f>
        <v>1311909</v>
      </c>
      <c r="F21" s="1825"/>
      <c r="G21" s="1828">
        <f>'Expenditures 15-22'!K42-SUM('Expenditures 15-22'!G42,'Expenditures 15-22'!I42)+'Expenditures 15-22'!K120-SUM('Expenditures 15-22'!G120,'Expenditures 15-22'!I120)+'Expenditures 15-22'!K180-SUM('Expenditures 15-22'!G180,'Expenditures 15-22'!I180)+'Expenditures 15-22'!D238</f>
        <v>1311909</v>
      </c>
      <c r="H21" s="988"/>
      <c r="I21" s="162"/>
    </row>
    <row r="22" spans="1:9" s="669" customFormat="1" ht="12" customHeight="1" x14ac:dyDescent="0.2">
      <c r="A22" s="995" t="s">
        <v>585</v>
      </c>
      <c r="B22" s="996"/>
      <c r="C22" s="994">
        <v>2200</v>
      </c>
      <c r="D22" s="1825"/>
      <c r="E22" s="1827">
        <f>'Expenditures 15-22'!K47-SUM('Expenditures 15-22'!G47,'Expenditures 15-22'!I47)+'Expenditures 15-22'!D243</f>
        <v>804395</v>
      </c>
      <c r="F22" s="1825"/>
      <c r="G22" s="1828">
        <f>'Expenditures 15-22'!K47-SUM('Expenditures 15-22'!G47,'Expenditures 15-22'!I47)+'Expenditures 15-22'!D243</f>
        <v>804395</v>
      </c>
      <c r="H22" s="988"/>
      <c r="I22" s="162"/>
    </row>
    <row r="23" spans="1:9" s="669" customFormat="1" ht="12" customHeight="1" x14ac:dyDescent="0.2">
      <c r="A23" s="995" t="s">
        <v>586</v>
      </c>
      <c r="B23" s="996"/>
      <c r="C23" s="994">
        <v>2300</v>
      </c>
      <c r="D23" s="1825"/>
      <c r="E23" s="1827">
        <f>'Expenditures 15-22'!K53-SUM('Expenditures 15-22'!G53,'Expenditures 15-22'!I53)+'Expenditures 15-22'!D257+'Expenditures 15-22'!K330-SUM('Expenditures 15-22'!G330,'Expenditures 15-22'!I330)</f>
        <v>1015516</v>
      </c>
      <c r="F23" s="1825"/>
      <c r="G23" s="1827">
        <f>'Expenditures 15-22'!K53-SUM('Expenditures 15-22'!G53,'Expenditures 15-22'!I53)+'Expenditures 15-22'!D257+'Expenditures 15-22'!K330-SUM('Expenditures 15-22'!G330,'Expenditures 15-22'!I330)</f>
        <v>1015516</v>
      </c>
      <c r="H23" s="988"/>
      <c r="I23" s="162"/>
    </row>
    <row r="24" spans="1:9" s="669" customFormat="1" ht="12" customHeight="1" x14ac:dyDescent="0.2">
      <c r="A24" s="995" t="s">
        <v>587</v>
      </c>
      <c r="B24" s="996"/>
      <c r="C24" s="994">
        <v>2400</v>
      </c>
      <c r="D24" s="1825"/>
      <c r="E24" s="1827">
        <f>'Expenditures 15-22'!K57-SUM('Expenditures 15-22'!G57,'Expenditures 15-22'!I57)+'Expenditures 15-22'!D261</f>
        <v>1426380</v>
      </c>
      <c r="F24" s="1825"/>
      <c r="G24" s="1828">
        <f>'Expenditures 15-22'!K57-SUM('Expenditures 15-22'!G57,'Expenditures 15-22'!I57)+'Expenditures 15-22'!D261</f>
        <v>1426380</v>
      </c>
      <c r="H24" s="988"/>
      <c r="I24" s="162"/>
    </row>
    <row r="25" spans="1:9" s="669" customFormat="1" ht="12" customHeight="1" x14ac:dyDescent="0.2">
      <c r="A25" s="991" t="s">
        <v>588</v>
      </c>
      <c r="B25" s="997"/>
      <c r="C25" s="994"/>
      <c r="D25" s="1825"/>
      <c r="E25" s="1827"/>
      <c r="F25" s="1825"/>
      <c r="G25" s="1828"/>
      <c r="H25" s="988"/>
      <c r="I25" s="162"/>
    </row>
    <row r="26" spans="1:9" s="669" customFormat="1" ht="12" customHeight="1" x14ac:dyDescent="0.2">
      <c r="A26" s="995" t="s">
        <v>536</v>
      </c>
      <c r="B26" s="998"/>
      <c r="C26" s="994">
        <v>2510</v>
      </c>
      <c r="D26" s="1827">
        <f>'Expenditures 15-22'!K59-SUM('Expenditures 15-22'!G59,'Expenditures 15-22'!I59)+'Expenditures 15-22'!D263-E7</f>
        <v>0</v>
      </c>
      <c r="E26" s="1827">
        <f>'Expenditures 15-22'!K122-SUM('Expenditures 15-22'!G122,'Expenditures 15-22'!I122)+E7</f>
        <v>0</v>
      </c>
      <c r="F26" s="1827">
        <f>'Expenditures 15-22'!K59-SUM('Expenditures 15-22'!G59,'Expenditures 15-22'!I59)+'Expenditures 15-22'!D263-E7</f>
        <v>0</v>
      </c>
      <c r="G26" s="1828">
        <f>'Expenditures 15-22'!K122-SUM('Expenditures 15-22'!G122,'Expenditures 15-22'!I122)+E7</f>
        <v>0</v>
      </c>
      <c r="H26" s="988"/>
      <c r="I26" s="162"/>
    </row>
    <row r="27" spans="1:9" s="669" customFormat="1" ht="12" customHeight="1" x14ac:dyDescent="0.2">
      <c r="A27" s="995" t="s">
        <v>483</v>
      </c>
      <c r="B27" s="998"/>
      <c r="C27" s="994">
        <v>2520</v>
      </c>
      <c r="D27" s="1827">
        <f>'Expenditures 15-22'!K60-SUM('Expenditures 15-22'!G60,'Expenditures 15-22'!I60)+'Expenditures 15-22'!D264-E8</f>
        <v>113293</v>
      </c>
      <c r="E27" s="1827">
        <f>E8</f>
        <v>0</v>
      </c>
      <c r="F27" s="1827">
        <f>'Expenditures 15-22'!K60-SUM('Expenditures 15-22'!G60,'Expenditures 15-22'!I60)+'Expenditures 15-22'!D264-E8</f>
        <v>113293</v>
      </c>
      <c r="G27" s="1828">
        <f>E8</f>
        <v>0</v>
      </c>
      <c r="H27" s="988"/>
      <c r="I27" s="162"/>
    </row>
    <row r="28" spans="1:9" s="669" customFormat="1" ht="12" customHeight="1" x14ac:dyDescent="0.2">
      <c r="A28" s="995" t="s">
        <v>537</v>
      </c>
      <c r="B28" s="998"/>
      <c r="C28" s="994">
        <v>2540</v>
      </c>
      <c r="D28" s="1829"/>
      <c r="E28" s="1827">
        <f>'Expenditures 15-22'!K61-SUM('Expenditures 15-22'!G61,'Expenditures 15-22'!I61)+'Expenditures 15-22'!K124-SUM('Expenditures 15-22'!G124,'Expenditures 15-22'!I124)+'Expenditures 15-22'!D266</f>
        <v>1224818</v>
      </c>
      <c r="F28" s="1829">
        <f>'Expenditures 15-22'!K61-SUM('Expenditures 15-22'!G61,'Expenditures 15-22'!I61)+'Expenditures 15-22'!K124-SUM('Expenditures 15-22'!G124,'Expenditures 15-22'!I124)+'Expenditures 15-22'!D266-E9</f>
        <v>1224818</v>
      </c>
      <c r="G28" s="1828">
        <f>E9</f>
        <v>0</v>
      </c>
      <c r="H28" s="988"/>
      <c r="I28" s="162"/>
    </row>
    <row r="29" spans="1:9" ht="12" customHeight="1" x14ac:dyDescent="0.2">
      <c r="A29" s="995" t="s">
        <v>538</v>
      </c>
      <c r="B29" s="998"/>
      <c r="C29" s="994">
        <v>2550</v>
      </c>
      <c r="D29" s="1825"/>
      <c r="E29" s="1827">
        <f>'Expenditures 15-22'!K62-SUM('Expenditures 15-22'!G62,'Expenditures 15-22'!I62)+'Expenditures 15-22'!K125-SUM('Expenditures 15-22'!G125,'Expenditures 15-22'!I125)+'Expenditures 15-22'!K182-SUM('Expenditures 15-22'!G182,'Expenditures 15-22'!I182)+'Expenditures 15-22'!D267</f>
        <v>720351</v>
      </c>
      <c r="F29" s="1825"/>
      <c r="G29" s="1828">
        <f>'Expenditures 15-22'!K62-SUM('Expenditures 15-22'!G62,'Expenditures 15-22'!I62)+'Expenditures 15-22'!K125-SUM('Expenditures 15-22'!G125,'Expenditures 15-22'!I125)+'Expenditures 15-22'!K182-SUM('Expenditures 15-22'!G182,'Expenditures 15-22'!I182)+'Expenditures 15-22'!D267</f>
        <v>720351</v>
      </c>
      <c r="H29" s="986"/>
    </row>
    <row r="30" spans="1:9" ht="12" customHeight="1" x14ac:dyDescent="0.2">
      <c r="A30" s="995" t="s">
        <v>102</v>
      </c>
      <c r="B30" s="998"/>
      <c r="C30" s="994">
        <v>2560</v>
      </c>
      <c r="D30" s="1825"/>
      <c r="E30" s="1827">
        <f>'Expenditures 15-22'!K63-SUM('Expenditures 15-22'!G63,'Expenditures 15-22'!I63)+'Expenditures 15-22'!D268-E10</f>
        <v>405282</v>
      </c>
      <c r="F30" s="1825"/>
      <c r="G30" s="1827">
        <f>'Expenditures 15-22'!K63-SUM('Expenditures 15-22'!G63,'Expenditures 15-22'!I63)+'Expenditures 15-22'!D268-E10</f>
        <v>405282</v>
      </c>
    </row>
    <row r="31" spans="1:9" ht="12" customHeight="1" x14ac:dyDescent="0.2">
      <c r="A31" s="995" t="s">
        <v>103</v>
      </c>
      <c r="B31" s="998"/>
      <c r="C31" s="994">
        <v>2570</v>
      </c>
      <c r="D31" s="1827">
        <f>'Expenditures 15-22'!K64-SUM('Expenditures 15-22'!G64,'Expenditures 15-22'!I64)+'Expenditures 15-22'!D269-E12</f>
        <v>50577</v>
      </c>
      <c r="E31" s="1827">
        <f>E12</f>
        <v>7</v>
      </c>
      <c r="F31" s="1827">
        <f>'Expenditures 15-22'!K64-SUM('Expenditures 15-22'!G64,'Expenditures 15-22'!I64)+'Expenditures 15-22'!D269-E12</f>
        <v>50577</v>
      </c>
      <c r="G31" s="1827">
        <f>E12</f>
        <v>7</v>
      </c>
    </row>
    <row r="32" spans="1:9" ht="12" customHeight="1" x14ac:dyDescent="0.2">
      <c r="A32" s="991" t="s">
        <v>539</v>
      </c>
      <c r="B32" s="997"/>
      <c r="C32" s="994"/>
      <c r="D32" s="1825"/>
      <c r="E32" s="1825"/>
      <c r="F32" s="1825"/>
      <c r="G32" s="1825"/>
    </row>
    <row r="33" spans="1:7" ht="12" customHeight="1" x14ac:dyDescent="0.2">
      <c r="A33" s="995" t="s">
        <v>540</v>
      </c>
      <c r="B33" s="998"/>
      <c r="C33" s="994">
        <v>2610</v>
      </c>
      <c r="D33" s="1825"/>
      <c r="E33" s="1827">
        <f>'Expenditures 15-22'!K67-SUM('Expenditures 15-22'!G67,'Expenditures 15-22'!I67)+'Expenditures 15-22'!D272</f>
        <v>0</v>
      </c>
      <c r="F33" s="1825"/>
      <c r="G33" s="1827">
        <f>'Expenditures 15-22'!K67-SUM('Expenditures 15-22'!G67,'Expenditures 15-22'!I67)+'Expenditures 15-22'!D272</f>
        <v>0</v>
      </c>
    </row>
    <row r="34" spans="1:7" ht="12" customHeight="1" x14ac:dyDescent="0.2">
      <c r="A34" s="995" t="s">
        <v>541</v>
      </c>
      <c r="B34" s="998"/>
      <c r="C34" s="994">
        <v>2620</v>
      </c>
      <c r="D34" s="1825"/>
      <c r="E34" s="1827">
        <f>'Expenditures 15-22'!K68-SUM('Expenditures 15-22'!G68,'Expenditures 15-22'!I68)+'Expenditures 15-22'!D273</f>
        <v>0</v>
      </c>
      <c r="F34" s="1825"/>
      <c r="G34" s="1827">
        <f>'Expenditures 15-22'!K68-SUM('Expenditures 15-22'!G68,'Expenditures 15-22'!I68)+'Expenditures 15-22'!D273</f>
        <v>0</v>
      </c>
    </row>
    <row r="35" spans="1:7" ht="12" customHeight="1" x14ac:dyDescent="0.2">
      <c r="A35" s="995" t="s">
        <v>1121</v>
      </c>
      <c r="B35" s="998"/>
      <c r="C35" s="994">
        <v>2630</v>
      </c>
      <c r="D35" s="1825"/>
      <c r="E35" s="1827">
        <f>'Expenditures 15-22'!K69-SUM('Expenditures 15-22'!G69,'Expenditures 15-22'!I69)+'Expenditures 15-22'!D274</f>
        <v>0</v>
      </c>
      <c r="F35" s="1825"/>
      <c r="G35" s="1827">
        <f>'Expenditures 15-22'!K69-SUM('Expenditures 15-22'!G69,'Expenditures 15-22'!I69)+'Expenditures 15-22'!D274</f>
        <v>0</v>
      </c>
    </row>
    <row r="36" spans="1:7" ht="12" customHeight="1" x14ac:dyDescent="0.2">
      <c r="A36" s="995" t="s">
        <v>423</v>
      </c>
      <c r="B36" s="998"/>
      <c r="C36" s="994">
        <v>2640</v>
      </c>
      <c r="D36" s="1827">
        <f>'Expenditures 15-22'!K70-SUM('Expenditures 15-22'!G70,'Expenditures 15-22'!I70)+'Expenditures 15-22'!D275-E13</f>
        <v>0</v>
      </c>
      <c r="E36" s="1827">
        <f>E13</f>
        <v>0</v>
      </c>
      <c r="F36" s="1827">
        <f>'Expenditures 15-22'!K70-SUM('Expenditures 15-22'!G70,'Expenditures 15-22'!I70)+'Expenditures 15-22'!D275-E13</f>
        <v>0</v>
      </c>
      <c r="G36" s="1827">
        <f>E13</f>
        <v>0</v>
      </c>
    </row>
    <row r="37" spans="1:7" ht="12" customHeight="1" x14ac:dyDescent="0.2">
      <c r="A37" s="995" t="s">
        <v>424</v>
      </c>
      <c r="B37" s="998"/>
      <c r="C37" s="994">
        <v>2660</v>
      </c>
      <c r="D37" s="1827">
        <f>'Expenditures 15-22'!K71-SUM('Expenditures 15-22'!G71,'Expenditures 15-22'!I71)+'Expenditures 15-22'!D276-E14</f>
        <v>73073</v>
      </c>
      <c r="E37" s="1827">
        <f>E14</f>
        <v>0</v>
      </c>
      <c r="F37" s="1827">
        <f>'Expenditures 15-22'!K71-SUM('Expenditures 15-22'!G71,'Expenditures 15-22'!I71)+'Expenditures 15-22'!D276-E14</f>
        <v>73073</v>
      </c>
      <c r="G37" s="1827">
        <f>E14</f>
        <v>0</v>
      </c>
    </row>
    <row r="38" spans="1:7" ht="12" customHeight="1" x14ac:dyDescent="0.2">
      <c r="A38" s="991" t="s">
        <v>542</v>
      </c>
      <c r="B38" s="992"/>
      <c r="C38" s="994">
        <v>2900</v>
      </c>
      <c r="D38" s="1825"/>
      <c r="E38" s="1827">
        <f>'Expenditures 15-22'!K73-SUM('Expenditures 15-22'!G73,'Expenditures 15-22'!I73)+'Expenditures 15-22'!K128-SUM('Expenditures 15-22'!G128,'Expenditures 15-22'!I128)+'Expenditures 15-22'!K183-SUM('Expenditures 15-22'!G183,'Expenditures 15-22'!I183)+'Expenditures 15-22'!D278</f>
        <v>0</v>
      </c>
      <c r="F38" s="1825"/>
      <c r="G38" s="1827">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991" t="s">
        <v>469</v>
      </c>
      <c r="B39" s="992"/>
      <c r="C39" s="994">
        <v>3000</v>
      </c>
      <c r="D39" s="1825"/>
      <c r="E39" s="1827">
        <f>'Expenditures 15-22'!K75-SUM('Expenditures 15-22'!G75,'Expenditures 15-22'!I75)+'Expenditures 15-22'!K130-SUM('Expenditures 15-22'!G130,'Expenditures 15-22'!I130)+'Expenditures 15-22'!K185-SUM('Expenditures 15-22'!G185,'Expenditures 15-22'!I185)+'Expenditures 15-22'!D280</f>
        <v>39186</v>
      </c>
      <c r="F39" s="1825"/>
      <c r="G39" s="1827">
        <f>'Expenditures 15-22'!K75-SUM('Expenditures 15-22'!G75,'Expenditures 15-22'!I75)+'Expenditures 15-22'!K130-SUM('Expenditures 15-22'!G130,'Expenditures 15-22'!I130)+'Expenditures 15-22'!K185-SUM('Expenditures 15-22'!G185,'Expenditures 15-22'!I185)+'Expenditures 15-22'!D280</f>
        <v>39186</v>
      </c>
    </row>
    <row r="40" spans="1:7" ht="12" customHeight="1" x14ac:dyDescent="0.2">
      <c r="A40" s="991" t="s">
        <v>1928</v>
      </c>
      <c r="B40" s="992"/>
      <c r="C40" s="994"/>
      <c r="D40" s="1825"/>
      <c r="E40" s="1829">
        <f>-'Contracts Paid in CY 29'!G141</f>
        <v>0</v>
      </c>
      <c r="F40" s="1825"/>
      <c r="G40" s="1829">
        <f>-'Contracts Paid in CY 29'!G141</f>
        <v>0</v>
      </c>
    </row>
    <row r="41" spans="1:7" ht="12" customHeight="1" x14ac:dyDescent="0.2">
      <c r="A41" s="999" t="s">
        <v>158</v>
      </c>
      <c r="B41" s="1000"/>
      <c r="C41" s="1001"/>
      <c r="D41" s="1829">
        <f>SUM(D19:D39)</f>
        <v>236943</v>
      </c>
      <c r="E41" s="1829">
        <f>SUM(E19:E40)</f>
        <v>18218566</v>
      </c>
      <c r="F41" s="1829">
        <f>SUM(F19:F39)</f>
        <v>1461761</v>
      </c>
      <c r="G41" s="1829">
        <f>SUM(G19:G40)</f>
        <v>16993748</v>
      </c>
    </row>
    <row r="42" spans="1:7" x14ac:dyDescent="0.2">
      <c r="A42" s="988"/>
      <c r="B42" s="162"/>
      <c r="C42" s="1002"/>
      <c r="D42" s="2304" t="s">
        <v>543</v>
      </c>
      <c r="E42" s="2305"/>
      <c r="F42" s="1003" t="s">
        <v>544</v>
      </c>
      <c r="G42" s="1004"/>
    </row>
    <row r="43" spans="1:7" ht="12" customHeight="1" x14ac:dyDescent="0.2">
      <c r="A43" s="988"/>
      <c r="B43" s="162"/>
      <c r="C43" s="1002"/>
      <c r="D43" s="1830" t="s">
        <v>493</v>
      </c>
      <c r="E43" s="1831">
        <f>D41</f>
        <v>236943</v>
      </c>
      <c r="F43" s="1830" t="s">
        <v>495</v>
      </c>
      <c r="G43" s="1831">
        <f>F41</f>
        <v>1461761</v>
      </c>
    </row>
    <row r="44" spans="1:7" ht="12" customHeight="1" x14ac:dyDescent="0.2">
      <c r="A44" s="988"/>
      <c r="B44" s="162"/>
      <c r="C44" s="1002"/>
      <c r="D44" s="1830" t="s">
        <v>494</v>
      </c>
      <c r="E44" s="1831">
        <f>E41</f>
        <v>18218566</v>
      </c>
      <c r="F44" s="1830" t="s">
        <v>494</v>
      </c>
      <c r="G44" s="1831">
        <f>G41</f>
        <v>16993748</v>
      </c>
    </row>
    <row r="45" spans="1:7" ht="12" customHeight="1" x14ac:dyDescent="0.2">
      <c r="A45" s="988"/>
      <c r="B45" s="162"/>
      <c r="C45" s="162"/>
      <c r="D45" s="1832" t="s">
        <v>1063</v>
      </c>
      <c r="E45" s="1833">
        <f>(E43/E44)</f>
        <v>1.3005579034046916E-2</v>
      </c>
      <c r="F45" s="1832" t="s">
        <v>1063</v>
      </c>
      <c r="G45" s="1833">
        <f>(G43/G44)</f>
        <v>8.6017575404790048E-2</v>
      </c>
    </row>
    <row r="46" spans="1:7" x14ac:dyDescent="0.2">
      <c r="A46" s="1005"/>
      <c r="B46" s="1006"/>
      <c r="C46" s="1006"/>
      <c r="D46" s="1007"/>
      <c r="E46" s="1008"/>
      <c r="F46" s="1007"/>
      <c r="G46" s="1008"/>
    </row>
  </sheetData>
  <sheetProtection algorithmName="SHA-512" hashValue="MZfWJ4SNSzSq0bofj3kIwmrpAcaZTWrEy2WrGPZwPTsL1IZa4xp8np3pm5de+ktGPEQCZQEiRloA/i8OeFJT0Q==" saltValue="bo+FSBJyLXl8WFkyHu9+RA==" spinCount="100000"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L97"/>
  <sheetViews>
    <sheetView showGridLines="0" zoomScale="110" zoomScaleNormal="110" workbookViewId="0">
      <pane ySplit="4" topLeftCell="A5" activePane="bottomLeft" state="frozen"/>
      <selection pane="bottomLeft" sqref="A1:F1"/>
    </sheetView>
  </sheetViews>
  <sheetFormatPr defaultColWidth="9.140625" defaultRowHeight="12.75" x14ac:dyDescent="0.2"/>
  <cols>
    <col min="1" max="1" width="54.5703125" style="1901" customWidth="1"/>
    <col min="2" max="2" width="4.140625" style="1901" customWidth="1"/>
    <col min="3" max="4" width="9.85546875" style="1872" customWidth="1"/>
    <col min="5" max="5" width="12.5703125" style="1902" customWidth="1"/>
    <col min="6" max="6" width="67.5703125" style="1872" customWidth="1"/>
    <col min="7" max="7" width="9.140625" style="1872" customWidth="1"/>
    <col min="8" max="8" width="5.5703125" style="1903" bestFit="1" customWidth="1"/>
    <col min="9" max="10" width="2" style="1903" bestFit="1" customWidth="1"/>
    <col min="11" max="11" width="9" style="1903" customWidth="1"/>
    <col min="12" max="16384" width="9.140625" style="1872"/>
  </cols>
  <sheetData>
    <row r="1" spans="1:10" x14ac:dyDescent="0.2">
      <c r="A1" s="2312" t="s">
        <v>1446</v>
      </c>
      <c r="B1" s="2312"/>
      <c r="C1" s="2312"/>
      <c r="D1" s="2312"/>
      <c r="E1" s="2312"/>
      <c r="F1" s="2312"/>
    </row>
    <row r="2" spans="1:10" x14ac:dyDescent="0.2">
      <c r="A2" s="1912" t="s">
        <v>2044</v>
      </c>
      <c r="B2" s="1873"/>
      <c r="C2" s="1912"/>
      <c r="D2" s="1873"/>
      <c r="E2" s="1873"/>
      <c r="F2" s="1874"/>
    </row>
    <row r="3" spans="1:10" x14ac:dyDescent="0.2">
      <c r="A3" s="1912" t="s">
        <v>1700</v>
      </c>
      <c r="B3" s="1873"/>
      <c r="C3" s="1912"/>
      <c r="D3" s="1873"/>
      <c r="E3" s="1873"/>
      <c r="F3" s="1874"/>
    </row>
    <row r="4" spans="1:10" ht="3.75" customHeight="1" x14ac:dyDescent="0.2">
      <c r="A4" s="1873"/>
      <c r="B4" s="1873"/>
      <c r="C4" s="1873"/>
      <c r="D4" s="1873"/>
      <c r="E4" s="1873"/>
      <c r="F4" s="1874"/>
    </row>
    <row r="5" spans="1:10" ht="15" x14ac:dyDescent="0.25">
      <c r="A5" s="2313" t="s">
        <v>1627</v>
      </c>
      <c r="B5" s="2314"/>
      <c r="C5" s="2315"/>
      <c r="D5" s="2315"/>
      <c r="E5" s="2315"/>
      <c r="F5" s="2315"/>
    </row>
    <row r="6" spans="1:10" ht="12" customHeight="1" x14ac:dyDescent="0.25">
      <c r="A6" s="1875"/>
      <c r="B6" s="1876"/>
      <c r="C6" s="2316" t="str">
        <f>COVER!A17</f>
        <v>RANTOUL CITY SCHOOLS</v>
      </c>
      <c r="D6" s="2316"/>
      <c r="E6" s="2316"/>
      <c r="F6" s="1877"/>
    </row>
    <row r="7" spans="1:10" ht="11.25" customHeight="1" thickBot="1" x14ac:dyDescent="0.3">
      <c r="A7" s="1875"/>
      <c r="B7" s="1876"/>
      <c r="C7" s="2317" t="str">
        <f>COVER!A13</f>
        <v>09-010-1370-02</v>
      </c>
      <c r="D7" s="2317"/>
      <c r="E7" s="2317"/>
      <c r="F7" s="1877"/>
    </row>
    <row r="8" spans="1:10" ht="25.5" customHeight="1" thickBot="1" x14ac:dyDescent="0.25">
      <c r="A8" s="1918" t="s">
        <v>2021</v>
      </c>
      <c r="B8" s="1878" t="s">
        <v>2075</v>
      </c>
      <c r="C8" s="1914" t="s">
        <v>1780</v>
      </c>
      <c r="D8" s="1913" t="s">
        <v>1781</v>
      </c>
      <c r="E8" s="1915" t="s">
        <v>1447</v>
      </c>
      <c r="F8" s="1913" t="s">
        <v>1782</v>
      </c>
      <c r="H8" s="1879" t="b">
        <v>0</v>
      </c>
    </row>
    <row r="9" spans="1:10" ht="15.75" customHeight="1" x14ac:dyDescent="0.2">
      <c r="A9" s="1880" t="s">
        <v>1623</v>
      </c>
      <c r="B9" s="1881"/>
      <c r="C9" s="1882"/>
      <c r="D9" s="1882"/>
      <c r="E9" s="1883"/>
      <c r="F9" s="1884"/>
    </row>
    <row r="10" spans="1:10" ht="27.75" customHeight="1" x14ac:dyDescent="0.2">
      <c r="A10" s="1885" t="s">
        <v>1779</v>
      </c>
      <c r="B10" s="1886"/>
      <c r="C10" s="1887"/>
      <c r="D10" s="1887"/>
      <c r="E10" s="1916" t="s">
        <v>1448</v>
      </c>
      <c r="F10" s="1917" t="s">
        <v>1449</v>
      </c>
    </row>
    <row r="11" spans="1:10" ht="12" customHeight="1" x14ac:dyDescent="0.2">
      <c r="A11" s="1888" t="s">
        <v>1450</v>
      </c>
      <c r="B11" s="1889"/>
      <c r="C11" s="1890"/>
      <c r="D11" s="1890"/>
      <c r="E11" s="1891"/>
      <c r="F11" s="1892"/>
      <c r="H11" s="1903">
        <f>IF(C11="X",5,0)</f>
        <v>0</v>
      </c>
      <c r="I11" s="1903">
        <f>IF(D11="X",5,0)</f>
        <v>0</v>
      </c>
      <c r="J11" s="1903">
        <f>IF(E11="X",5,0)</f>
        <v>0</v>
      </c>
    </row>
    <row r="12" spans="1:10" ht="12" customHeight="1" x14ac:dyDescent="0.2">
      <c r="A12" s="1888" t="s">
        <v>1451</v>
      </c>
      <c r="B12" s="1889"/>
      <c r="C12" s="1890"/>
      <c r="D12" s="1890"/>
      <c r="E12" s="1893"/>
      <c r="F12" s="1892"/>
      <c r="H12" s="1903">
        <f t="shared" ref="H12:H33" si="0">IF(C12="X",5,0)</f>
        <v>0</v>
      </c>
      <c r="I12" s="1903">
        <f t="shared" ref="I12:I33" si="1">IF(D12="X",5,0)</f>
        <v>0</v>
      </c>
      <c r="J12" s="1903">
        <f t="shared" ref="J12:J33" si="2">IF(E12="X",5,0)</f>
        <v>0</v>
      </c>
    </row>
    <row r="13" spans="1:10" ht="12" customHeight="1" x14ac:dyDescent="0.2">
      <c r="A13" s="1888" t="s">
        <v>1452</v>
      </c>
      <c r="B13" s="1889"/>
      <c r="C13" s="1890"/>
      <c r="D13" s="1890"/>
      <c r="E13" s="1893"/>
      <c r="F13" s="1892"/>
      <c r="H13" s="1903">
        <f t="shared" si="0"/>
        <v>0</v>
      </c>
      <c r="I13" s="1903">
        <f t="shared" si="1"/>
        <v>0</v>
      </c>
      <c r="J13" s="1903">
        <f t="shared" si="2"/>
        <v>0</v>
      </c>
    </row>
    <row r="14" spans="1:10" ht="12" customHeight="1" x14ac:dyDescent="0.2">
      <c r="A14" s="1888" t="s">
        <v>1453</v>
      </c>
      <c r="B14" s="1889"/>
      <c r="C14" s="1890"/>
      <c r="D14" s="1890"/>
      <c r="E14" s="1893"/>
      <c r="F14" s="1892"/>
      <c r="H14" s="1903">
        <f t="shared" si="0"/>
        <v>0</v>
      </c>
      <c r="I14" s="1903">
        <f t="shared" si="1"/>
        <v>0</v>
      </c>
      <c r="J14" s="1903">
        <f t="shared" si="2"/>
        <v>0</v>
      </c>
    </row>
    <row r="15" spans="1:10" ht="12" customHeight="1" x14ac:dyDescent="0.2">
      <c r="A15" s="1888" t="s">
        <v>1454</v>
      </c>
      <c r="B15" s="1889"/>
      <c r="C15" s="1890"/>
      <c r="D15" s="1890"/>
      <c r="E15" s="1893"/>
      <c r="F15" s="1892"/>
      <c r="H15" s="1903">
        <f t="shared" si="0"/>
        <v>0</v>
      </c>
      <c r="I15" s="1903">
        <f t="shared" si="1"/>
        <v>0</v>
      </c>
      <c r="J15" s="1903">
        <f t="shared" si="2"/>
        <v>0</v>
      </c>
    </row>
    <row r="16" spans="1:10" ht="12" customHeight="1" x14ac:dyDescent="0.2">
      <c r="A16" s="1888" t="s">
        <v>1455</v>
      </c>
      <c r="B16" s="1889"/>
      <c r="C16" s="1890"/>
      <c r="D16" s="1890"/>
      <c r="E16" s="1893"/>
      <c r="F16" s="1892"/>
      <c r="H16" s="1903">
        <f t="shared" si="0"/>
        <v>0</v>
      </c>
      <c r="I16" s="1903">
        <f t="shared" si="1"/>
        <v>0</v>
      </c>
      <c r="J16" s="1903">
        <f t="shared" si="2"/>
        <v>0</v>
      </c>
    </row>
    <row r="17" spans="1:12" ht="12" customHeight="1" x14ac:dyDescent="0.2">
      <c r="A17" s="1888" t="s">
        <v>1456</v>
      </c>
      <c r="B17" s="1889"/>
      <c r="C17" s="1890"/>
      <c r="D17" s="1890"/>
      <c r="E17" s="1893"/>
      <c r="F17" s="1892"/>
      <c r="H17" s="1903">
        <f t="shared" si="0"/>
        <v>0</v>
      </c>
      <c r="I17" s="1903">
        <f t="shared" si="1"/>
        <v>0</v>
      </c>
      <c r="J17" s="1903">
        <f t="shared" si="2"/>
        <v>0</v>
      </c>
    </row>
    <row r="18" spans="1:12" ht="12" customHeight="1" x14ac:dyDescent="0.2">
      <c r="A18" s="1888" t="s">
        <v>1457</v>
      </c>
      <c r="B18" s="1889"/>
      <c r="C18" s="1890"/>
      <c r="D18" s="1890"/>
      <c r="E18" s="1893"/>
      <c r="F18" s="1892"/>
      <c r="H18" s="1903">
        <f t="shared" si="0"/>
        <v>0</v>
      </c>
      <c r="I18" s="1903">
        <f t="shared" si="1"/>
        <v>0</v>
      </c>
      <c r="J18" s="1903">
        <f t="shared" si="2"/>
        <v>0</v>
      </c>
    </row>
    <row r="19" spans="1:12" ht="12" customHeight="1" x14ac:dyDescent="0.2">
      <c r="A19" s="1888" t="s">
        <v>1608</v>
      </c>
      <c r="B19" s="1889"/>
      <c r="C19" s="1890"/>
      <c r="D19" s="1890"/>
      <c r="E19" s="1893"/>
      <c r="F19" s="1892"/>
      <c r="H19" s="1903">
        <f t="shared" si="0"/>
        <v>0</v>
      </c>
      <c r="I19" s="1903">
        <f t="shared" si="1"/>
        <v>0</v>
      </c>
      <c r="J19" s="1903">
        <f t="shared" si="2"/>
        <v>0</v>
      </c>
    </row>
    <row r="20" spans="1:12" ht="12" customHeight="1" x14ac:dyDescent="0.2">
      <c r="A20" s="1888" t="s">
        <v>1609</v>
      </c>
      <c r="B20" s="1889"/>
      <c r="C20" s="1890"/>
      <c r="D20" s="1890"/>
      <c r="E20" s="1893"/>
      <c r="F20" s="1892"/>
      <c r="H20" s="1903">
        <f t="shared" si="0"/>
        <v>0</v>
      </c>
      <c r="I20" s="1903">
        <f t="shared" si="1"/>
        <v>0</v>
      </c>
      <c r="J20" s="1903">
        <f t="shared" si="2"/>
        <v>0</v>
      </c>
    </row>
    <row r="21" spans="1:12" ht="12" customHeight="1" x14ac:dyDescent="0.2">
      <c r="A21" s="1888" t="s">
        <v>1610</v>
      </c>
      <c r="B21" s="1889"/>
      <c r="C21" s="1890"/>
      <c r="D21" s="1890"/>
      <c r="E21" s="1893"/>
      <c r="F21" s="1892"/>
      <c r="H21" s="1903">
        <f t="shared" si="0"/>
        <v>0</v>
      </c>
      <c r="I21" s="1903">
        <f t="shared" si="1"/>
        <v>0</v>
      </c>
      <c r="J21" s="1903">
        <f t="shared" si="2"/>
        <v>0</v>
      </c>
    </row>
    <row r="22" spans="1:12" ht="12" customHeight="1" x14ac:dyDescent="0.2">
      <c r="A22" s="1888" t="s">
        <v>1611</v>
      </c>
      <c r="B22" s="1889"/>
      <c r="C22" s="1890"/>
      <c r="D22" s="1890"/>
      <c r="E22" s="1893"/>
      <c r="F22" s="1892"/>
      <c r="H22" s="1903">
        <f t="shared" si="0"/>
        <v>0</v>
      </c>
      <c r="I22" s="1903">
        <f t="shared" si="1"/>
        <v>0</v>
      </c>
      <c r="J22" s="1903">
        <f t="shared" si="2"/>
        <v>0</v>
      </c>
    </row>
    <row r="23" spans="1:12" ht="12" customHeight="1" x14ac:dyDescent="0.2">
      <c r="A23" s="1888" t="s">
        <v>1612</v>
      </c>
      <c r="B23" s="1889"/>
      <c r="C23" s="1890"/>
      <c r="D23" s="1890"/>
      <c r="E23" s="1893"/>
      <c r="F23" s="1892"/>
      <c r="H23" s="1903">
        <f t="shared" si="0"/>
        <v>0</v>
      </c>
      <c r="I23" s="1903">
        <f t="shared" si="1"/>
        <v>0</v>
      </c>
      <c r="J23" s="1903">
        <f t="shared" si="2"/>
        <v>0</v>
      </c>
    </row>
    <row r="24" spans="1:12" ht="12" customHeight="1" x14ac:dyDescent="0.2">
      <c r="A24" s="1888" t="s">
        <v>1613</v>
      </c>
      <c r="B24" s="1889"/>
      <c r="C24" s="1890"/>
      <c r="D24" s="1890"/>
      <c r="E24" s="1893"/>
      <c r="F24" s="1892"/>
      <c r="H24" s="1903">
        <f t="shared" si="0"/>
        <v>0</v>
      </c>
      <c r="I24" s="1903">
        <f t="shared" si="1"/>
        <v>0</v>
      </c>
      <c r="J24" s="1903">
        <f t="shared" si="2"/>
        <v>0</v>
      </c>
    </row>
    <row r="25" spans="1:12" ht="12" customHeight="1" x14ac:dyDescent="0.2">
      <c r="A25" s="1888" t="s">
        <v>1614</v>
      </c>
      <c r="B25" s="1889"/>
      <c r="C25" s="1890"/>
      <c r="D25" s="1890"/>
      <c r="E25" s="1893"/>
      <c r="F25" s="1892"/>
      <c r="H25" s="1903">
        <f t="shared" si="0"/>
        <v>0</v>
      </c>
      <c r="I25" s="1903">
        <f t="shared" si="1"/>
        <v>0</v>
      </c>
      <c r="J25" s="1903">
        <f t="shared" si="2"/>
        <v>0</v>
      </c>
    </row>
    <row r="26" spans="1:12" ht="12" customHeight="1" x14ac:dyDescent="0.2">
      <c r="A26" s="1888" t="s">
        <v>1615</v>
      </c>
      <c r="B26" s="1889"/>
      <c r="C26" s="1890"/>
      <c r="D26" s="1890"/>
      <c r="E26" s="1893"/>
      <c r="F26" s="1892"/>
      <c r="H26" s="1903">
        <f t="shared" si="0"/>
        <v>0</v>
      </c>
      <c r="I26" s="1903">
        <f t="shared" si="1"/>
        <v>0</v>
      </c>
      <c r="J26" s="1903">
        <f t="shared" si="2"/>
        <v>0</v>
      </c>
    </row>
    <row r="27" spans="1:12" ht="18.75" x14ac:dyDescent="0.2">
      <c r="A27" s="1888" t="s">
        <v>1616</v>
      </c>
      <c r="B27" s="1889"/>
      <c r="C27" s="1890"/>
      <c r="D27" s="1890"/>
      <c r="E27" s="1893"/>
      <c r="F27" s="1892"/>
      <c r="H27" s="1903">
        <f t="shared" si="0"/>
        <v>0</v>
      </c>
      <c r="I27" s="1903">
        <f t="shared" si="1"/>
        <v>0</v>
      </c>
      <c r="J27" s="1903">
        <f t="shared" si="2"/>
        <v>0</v>
      </c>
    </row>
    <row r="28" spans="1:12" ht="12" customHeight="1" x14ac:dyDescent="0.2">
      <c r="A28" s="1888" t="s">
        <v>1617</v>
      </c>
      <c r="B28" s="1889"/>
      <c r="C28" s="1890"/>
      <c r="D28" s="1890"/>
      <c r="E28" s="1893"/>
      <c r="F28" s="1892"/>
      <c r="H28" s="1903">
        <f t="shared" si="0"/>
        <v>0</v>
      </c>
      <c r="I28" s="1903">
        <f t="shared" si="1"/>
        <v>0</v>
      </c>
      <c r="J28" s="1903">
        <f t="shared" si="2"/>
        <v>0</v>
      </c>
    </row>
    <row r="29" spans="1:12" ht="12" customHeight="1" x14ac:dyDescent="0.2">
      <c r="A29" s="1888" t="s">
        <v>1618</v>
      </c>
      <c r="B29" s="1889"/>
      <c r="C29" s="1890"/>
      <c r="D29" s="1890"/>
      <c r="E29" s="1893"/>
      <c r="F29" s="1892"/>
      <c r="H29" s="1903">
        <f t="shared" si="0"/>
        <v>0</v>
      </c>
      <c r="I29" s="1903">
        <f t="shared" si="1"/>
        <v>0</v>
      </c>
      <c r="J29" s="1903">
        <f t="shared" si="2"/>
        <v>0</v>
      </c>
    </row>
    <row r="30" spans="1:12" ht="12" customHeight="1" x14ac:dyDescent="0.2">
      <c r="A30" s="1888" t="s">
        <v>1619</v>
      </c>
      <c r="B30" s="1889"/>
      <c r="C30" s="1890"/>
      <c r="D30" s="1890"/>
      <c r="E30" s="1893"/>
      <c r="F30" s="1892"/>
      <c r="H30" s="1903">
        <f t="shared" si="0"/>
        <v>0</v>
      </c>
      <c r="I30" s="1903">
        <f t="shared" si="1"/>
        <v>0</v>
      </c>
      <c r="J30" s="1903">
        <f t="shared" si="2"/>
        <v>0</v>
      </c>
    </row>
    <row r="31" spans="1:12" ht="12" customHeight="1" x14ac:dyDescent="0.2">
      <c r="A31" s="1888" t="s">
        <v>1620</v>
      </c>
      <c r="B31" s="1889"/>
      <c r="C31" s="1890"/>
      <c r="D31" s="1890"/>
      <c r="E31" s="1893"/>
      <c r="F31" s="1892"/>
      <c r="H31" s="1903">
        <f t="shared" si="0"/>
        <v>0</v>
      </c>
      <c r="I31" s="1903">
        <f t="shared" si="1"/>
        <v>0</v>
      </c>
      <c r="J31" s="1903">
        <f t="shared" si="2"/>
        <v>0</v>
      </c>
      <c r="L31" s="1894"/>
    </row>
    <row r="32" spans="1:12" ht="12" customHeight="1" x14ac:dyDescent="0.2">
      <c r="A32" s="1888" t="s">
        <v>1621</v>
      </c>
      <c r="B32" s="1889"/>
      <c r="C32" s="1890"/>
      <c r="D32" s="1890"/>
      <c r="E32" s="1893"/>
      <c r="F32" s="1892"/>
      <c r="H32" s="1903">
        <f t="shared" si="0"/>
        <v>0</v>
      </c>
      <c r="I32" s="1903">
        <f t="shared" si="1"/>
        <v>0</v>
      </c>
      <c r="J32" s="1903">
        <f t="shared" si="2"/>
        <v>0</v>
      </c>
    </row>
    <row r="33" spans="1:11" ht="12" customHeight="1" x14ac:dyDescent="0.2">
      <c r="A33" s="1888" t="s">
        <v>1622</v>
      </c>
      <c r="B33" s="1889"/>
      <c r="C33" s="1890"/>
      <c r="D33" s="1890"/>
      <c r="E33" s="1893"/>
      <c r="F33" s="1892"/>
      <c r="H33" s="1903">
        <f t="shared" si="0"/>
        <v>0</v>
      </c>
      <c r="I33" s="1903">
        <f t="shared" si="1"/>
        <v>0</v>
      </c>
      <c r="J33" s="1903">
        <f t="shared" si="2"/>
        <v>0</v>
      </c>
    </row>
    <row r="34" spans="1:11" ht="12" customHeight="1" x14ac:dyDescent="0.25">
      <c r="A34" s="1895"/>
      <c r="B34" s="1895"/>
      <c r="C34" s="1895"/>
      <c r="D34" s="1895"/>
      <c r="E34" s="1895"/>
      <c r="F34" s="1895"/>
      <c r="H34" s="1903">
        <f>SUM(H11:H32)</f>
        <v>0</v>
      </c>
      <c r="I34" s="1903">
        <f>SUM(I11:I32)</f>
        <v>0</v>
      </c>
      <c r="J34" s="1903">
        <f>SUM(J11:J32)</f>
        <v>0</v>
      </c>
      <c r="K34" s="1903">
        <f>SUM(H34:J34)</f>
        <v>0</v>
      </c>
    </row>
    <row r="35" spans="1:11" ht="12" customHeight="1" x14ac:dyDescent="0.2">
      <c r="A35" s="1896" t="s">
        <v>1459</v>
      </c>
      <c r="B35" s="1897"/>
      <c r="C35" s="2318"/>
      <c r="D35" s="2318"/>
      <c r="E35" s="2318"/>
      <c r="F35" s="2319"/>
    </row>
    <row r="36" spans="1:11" ht="12" customHeight="1" x14ac:dyDescent="0.2">
      <c r="A36" s="2309"/>
      <c r="B36" s="2310"/>
      <c r="C36" s="2310"/>
      <c r="D36" s="2310"/>
      <c r="E36" s="2310"/>
      <c r="F36" s="2311"/>
    </row>
    <row r="37" spans="1:11" ht="12" customHeight="1" x14ac:dyDescent="0.2">
      <c r="A37" s="2309"/>
      <c r="B37" s="2310"/>
      <c r="C37" s="2310"/>
      <c r="D37" s="2310"/>
      <c r="E37" s="2310"/>
      <c r="F37" s="2311"/>
    </row>
    <row r="38" spans="1:11" ht="12" customHeight="1" x14ac:dyDescent="0.2">
      <c r="A38" s="2323"/>
      <c r="B38" s="2324"/>
      <c r="C38" s="2324"/>
      <c r="D38" s="2324"/>
      <c r="E38" s="2324"/>
      <c r="F38" s="2325"/>
    </row>
    <row r="39" spans="1:11" ht="4.5" hidden="1" customHeight="1" x14ac:dyDescent="0.2">
      <c r="A39" s="1898"/>
      <c r="B39" s="1898"/>
      <c r="C39" s="1898"/>
      <c r="D39" s="1898"/>
      <c r="E39" s="1898"/>
      <c r="F39" s="1898"/>
    </row>
    <row r="40" spans="1:11" s="1895" customFormat="1" ht="12" customHeight="1" x14ac:dyDescent="0.25">
      <c r="A40" s="1899" t="s">
        <v>1458</v>
      </c>
      <c r="B40" s="1900"/>
      <c r="C40" s="2326"/>
      <c r="D40" s="2326"/>
      <c r="E40" s="2326"/>
      <c r="F40" s="2327"/>
      <c r="H40" s="1904"/>
      <c r="I40" s="1904"/>
      <c r="J40" s="1904"/>
      <c r="K40" s="1904"/>
    </row>
    <row r="41" spans="1:11" s="1895" customFormat="1" ht="12" customHeight="1" x14ac:dyDescent="0.25">
      <c r="A41" s="2328"/>
      <c r="B41" s="2329"/>
      <c r="C41" s="2329"/>
      <c r="D41" s="2329"/>
      <c r="E41" s="2329"/>
      <c r="F41" s="2330"/>
      <c r="H41" s="1904"/>
      <c r="I41" s="1904"/>
      <c r="J41" s="1904"/>
      <c r="K41" s="1904"/>
    </row>
    <row r="42" spans="1:11" s="1895" customFormat="1" ht="12" customHeight="1" x14ac:dyDescent="0.25">
      <c r="A42" s="2328"/>
      <c r="B42" s="2329"/>
      <c r="C42" s="2329"/>
      <c r="D42" s="2329"/>
      <c r="E42" s="2329"/>
      <c r="F42" s="2330"/>
      <c r="H42" s="1904"/>
      <c r="I42" s="1904"/>
      <c r="J42" s="1904"/>
      <c r="K42" s="1904"/>
    </row>
    <row r="43" spans="1:11" s="1895" customFormat="1" ht="15" x14ac:dyDescent="0.25">
      <c r="A43" s="2320"/>
      <c r="B43" s="2321"/>
      <c r="C43" s="2321"/>
      <c r="D43" s="2321"/>
      <c r="E43" s="2321"/>
      <c r="F43" s="2322"/>
      <c r="H43" s="1904"/>
      <c r="I43" s="1904"/>
      <c r="J43" s="1904"/>
      <c r="K43" s="1904"/>
    </row>
    <row r="44" spans="1:11" s="1895" customFormat="1" ht="12" hidden="1" customHeight="1" x14ac:dyDescent="0.25">
      <c r="A44" s="2320"/>
      <c r="B44" s="2321"/>
      <c r="C44" s="2321"/>
      <c r="D44" s="2321"/>
      <c r="E44" s="2321"/>
      <c r="F44" s="2322"/>
      <c r="H44" s="1904"/>
      <c r="I44" s="1904"/>
      <c r="J44" s="1904"/>
      <c r="K44" s="1904"/>
    </row>
    <row r="45" spans="1:11" s="1895" customFormat="1" ht="12" customHeight="1" x14ac:dyDescent="0.25">
      <c r="H45" s="1904"/>
      <c r="I45" s="1904"/>
      <c r="J45" s="1904"/>
      <c r="K45" s="1904"/>
    </row>
    <row r="46" spans="1:11" s="1895" customFormat="1" ht="9.75" customHeight="1" x14ac:dyDescent="0.25">
      <c r="H46" s="1904"/>
      <c r="I46" s="1904"/>
      <c r="J46" s="1904"/>
      <c r="K46" s="1904"/>
    </row>
    <row r="47" spans="1:11" s="1895" customFormat="1" ht="13.5" customHeight="1" x14ac:dyDescent="0.25">
      <c r="H47" s="1904"/>
      <c r="I47" s="1904"/>
      <c r="J47" s="1904"/>
      <c r="K47" s="1904"/>
    </row>
    <row r="48" spans="1:11" s="1895" customFormat="1" ht="15" x14ac:dyDescent="0.25">
      <c r="H48" s="1904"/>
      <c r="I48" s="1904"/>
      <c r="J48" s="1904"/>
      <c r="K48" s="1904"/>
    </row>
    <row r="49" spans="1:11" s="1895" customFormat="1" ht="15" hidden="1" x14ac:dyDescent="0.25">
      <c r="A49" s="1895" t="b">
        <v>0</v>
      </c>
      <c r="H49" s="1904"/>
      <c r="I49" s="1904"/>
      <c r="J49" s="1904"/>
      <c r="K49" s="1904"/>
    </row>
    <row r="50" spans="1:11" s="1895" customFormat="1" ht="15" x14ac:dyDescent="0.25">
      <c r="H50" s="1904"/>
      <c r="I50" s="1904"/>
      <c r="J50" s="1904"/>
      <c r="K50" s="1904"/>
    </row>
    <row r="51" spans="1:11" s="1895" customFormat="1" ht="15" x14ac:dyDescent="0.25">
      <c r="H51" s="1904"/>
      <c r="I51" s="1904"/>
      <c r="J51" s="1904"/>
      <c r="K51" s="1904"/>
    </row>
    <row r="52" spans="1:11" s="1895" customFormat="1" ht="15" x14ac:dyDescent="0.25">
      <c r="H52" s="1904"/>
      <c r="I52" s="1904"/>
      <c r="J52" s="1904"/>
      <c r="K52" s="1904"/>
    </row>
    <row r="53" spans="1:11" s="1895" customFormat="1" ht="15" x14ac:dyDescent="0.25">
      <c r="H53" s="1904"/>
      <c r="I53" s="1904"/>
      <c r="J53" s="1904"/>
      <c r="K53" s="1904"/>
    </row>
    <row r="54" spans="1:11" s="1895" customFormat="1" ht="15" x14ac:dyDescent="0.25">
      <c r="H54" s="1904"/>
      <c r="I54" s="1904"/>
      <c r="J54" s="1904"/>
      <c r="K54" s="1904"/>
    </row>
    <row r="55" spans="1:11" s="1895" customFormat="1" ht="15" x14ac:dyDescent="0.25">
      <c r="H55" s="1904"/>
      <c r="I55" s="1904"/>
      <c r="J55" s="1904"/>
      <c r="K55" s="1904"/>
    </row>
    <row r="56" spans="1:11" s="1895" customFormat="1" ht="15" x14ac:dyDescent="0.25">
      <c r="H56" s="1904"/>
      <c r="I56" s="1904"/>
      <c r="J56" s="1904"/>
      <c r="K56" s="1904"/>
    </row>
    <row r="57" spans="1:11" s="1895" customFormat="1" ht="15" x14ac:dyDescent="0.25">
      <c r="H57" s="1904"/>
      <c r="I57" s="1904"/>
      <c r="J57" s="1904"/>
      <c r="K57" s="1904"/>
    </row>
    <row r="58" spans="1:11" s="1895" customFormat="1" ht="15" x14ac:dyDescent="0.25">
      <c r="H58" s="1904"/>
      <c r="I58" s="1904"/>
      <c r="J58" s="1904"/>
      <c r="K58" s="1904"/>
    </row>
    <row r="59" spans="1:11" s="1895" customFormat="1" ht="15" x14ac:dyDescent="0.25">
      <c r="H59" s="1904"/>
      <c r="I59" s="1904"/>
      <c r="J59" s="1904"/>
      <c r="K59" s="1904"/>
    </row>
    <row r="60" spans="1:11" s="1895" customFormat="1" ht="15" x14ac:dyDescent="0.25">
      <c r="H60" s="1904"/>
      <c r="I60" s="1904"/>
      <c r="J60" s="1904"/>
      <c r="K60" s="1904"/>
    </row>
    <row r="61" spans="1:11" s="1895" customFormat="1" ht="15" x14ac:dyDescent="0.25">
      <c r="H61" s="1904"/>
      <c r="I61" s="1904"/>
      <c r="J61" s="1904"/>
      <c r="K61" s="1904"/>
    </row>
    <row r="62" spans="1:11" s="1895" customFormat="1" ht="15" x14ac:dyDescent="0.25">
      <c r="H62" s="1904"/>
      <c r="I62" s="1904"/>
      <c r="J62" s="1904"/>
      <c r="K62" s="1904"/>
    </row>
    <row r="63" spans="1:11" s="1895" customFormat="1" ht="15" x14ac:dyDescent="0.25">
      <c r="H63" s="1904"/>
      <c r="I63" s="1904"/>
      <c r="J63" s="1904"/>
      <c r="K63" s="1904"/>
    </row>
    <row r="64" spans="1:11" s="1895" customFormat="1" ht="15" x14ac:dyDescent="0.25">
      <c r="H64" s="1904"/>
      <c r="I64" s="1904"/>
      <c r="J64" s="1904"/>
      <c r="K64" s="1904"/>
    </row>
    <row r="65" spans="8:11" s="1895" customFormat="1" ht="15" x14ac:dyDescent="0.25">
      <c r="H65" s="1904"/>
      <c r="I65" s="1904"/>
      <c r="J65" s="1904"/>
      <c r="K65" s="1904"/>
    </row>
    <row r="66" spans="8:11" s="1895" customFormat="1" ht="15" x14ac:dyDescent="0.25">
      <c r="H66" s="1904"/>
      <c r="I66" s="1904"/>
      <c r="J66" s="1904"/>
      <c r="K66" s="1904"/>
    </row>
    <row r="67" spans="8:11" s="1895" customFormat="1" ht="15" x14ac:dyDescent="0.25">
      <c r="H67" s="1904"/>
      <c r="I67" s="1904"/>
      <c r="J67" s="1904"/>
      <c r="K67" s="1904"/>
    </row>
    <row r="68" spans="8:11" s="1895" customFormat="1" ht="15" x14ac:dyDescent="0.25">
      <c r="H68" s="1904"/>
      <c r="I68" s="1904"/>
      <c r="J68" s="1904"/>
      <c r="K68" s="1904"/>
    </row>
    <row r="69" spans="8:11" s="1895" customFormat="1" ht="15" x14ac:dyDescent="0.25">
      <c r="H69" s="1904"/>
      <c r="I69" s="1904"/>
      <c r="J69" s="1904"/>
      <c r="K69" s="1904"/>
    </row>
    <row r="70" spans="8:11" s="1895" customFormat="1" ht="15" x14ac:dyDescent="0.25">
      <c r="H70" s="1904"/>
      <c r="I70" s="1904"/>
      <c r="J70" s="1904"/>
      <c r="K70" s="1904"/>
    </row>
    <row r="71" spans="8:11" s="1895" customFormat="1" ht="15" x14ac:dyDescent="0.25">
      <c r="H71" s="1904"/>
      <c r="I71" s="1904"/>
      <c r="J71" s="1904"/>
      <c r="K71" s="1904"/>
    </row>
    <row r="72" spans="8:11" s="1895" customFormat="1" ht="15" x14ac:dyDescent="0.25">
      <c r="H72" s="1904"/>
      <c r="I72" s="1904"/>
      <c r="J72" s="1904"/>
      <c r="K72" s="1904"/>
    </row>
    <row r="73" spans="8:11" s="1895" customFormat="1" ht="15" x14ac:dyDescent="0.25">
      <c r="H73" s="1904"/>
      <c r="I73" s="1904"/>
      <c r="J73" s="1904"/>
      <c r="K73" s="1904"/>
    </row>
    <row r="74" spans="8:11" s="1895" customFormat="1" ht="15" x14ac:dyDescent="0.25">
      <c r="H74" s="1904"/>
      <c r="I74" s="1904"/>
      <c r="J74" s="1904"/>
      <c r="K74" s="1904"/>
    </row>
    <row r="75" spans="8:11" s="1895" customFormat="1" ht="15" x14ac:dyDescent="0.25">
      <c r="H75" s="1904"/>
      <c r="I75" s="1904"/>
      <c r="J75" s="1904"/>
      <c r="K75" s="1904"/>
    </row>
    <row r="76" spans="8:11" s="1895" customFormat="1" ht="15" x14ac:dyDescent="0.25">
      <c r="H76" s="1904"/>
      <c r="I76" s="1904"/>
      <c r="J76" s="1904"/>
      <c r="K76" s="1904"/>
    </row>
    <row r="77" spans="8:11" s="1895" customFormat="1" ht="15" x14ac:dyDescent="0.25">
      <c r="H77" s="1904"/>
      <c r="I77" s="1904"/>
      <c r="J77" s="1904"/>
      <c r="K77" s="1904"/>
    </row>
    <row r="78" spans="8:11" s="1895" customFormat="1" ht="15" x14ac:dyDescent="0.25">
      <c r="H78" s="1904"/>
      <c r="I78" s="1904"/>
      <c r="J78" s="1904"/>
      <c r="K78" s="1904"/>
    </row>
    <row r="79" spans="8:11" s="1895" customFormat="1" ht="15" x14ac:dyDescent="0.25">
      <c r="H79" s="1904"/>
      <c r="I79" s="1904"/>
      <c r="J79" s="1904"/>
      <c r="K79" s="1904"/>
    </row>
    <row r="80" spans="8:11" s="1895" customFormat="1" ht="15" x14ac:dyDescent="0.25">
      <c r="H80" s="1904"/>
      <c r="I80" s="1904"/>
      <c r="J80" s="1904"/>
      <c r="K80" s="1904"/>
    </row>
    <row r="81" spans="8:11" s="1895" customFormat="1" ht="15" x14ac:dyDescent="0.25">
      <c r="H81" s="1904"/>
      <c r="I81" s="1904"/>
      <c r="J81" s="1904"/>
      <c r="K81" s="1904"/>
    </row>
    <row r="82" spans="8:11" s="1895" customFormat="1" ht="15" x14ac:dyDescent="0.25">
      <c r="H82" s="1904"/>
      <c r="I82" s="1904"/>
      <c r="J82" s="1904"/>
      <c r="K82" s="1904"/>
    </row>
    <row r="83" spans="8:11" s="1895" customFormat="1" ht="15" x14ac:dyDescent="0.25">
      <c r="H83" s="1904"/>
      <c r="I83" s="1904"/>
      <c r="J83" s="1904"/>
      <c r="K83" s="1904"/>
    </row>
    <row r="84" spans="8:11" s="1895" customFormat="1" ht="15" x14ac:dyDescent="0.25">
      <c r="H84" s="1904"/>
      <c r="I84" s="1904"/>
      <c r="J84" s="1904"/>
      <c r="K84" s="1904"/>
    </row>
    <row r="85" spans="8:11" s="1895" customFormat="1" ht="15" x14ac:dyDescent="0.25">
      <c r="H85" s="1904"/>
      <c r="I85" s="1904"/>
      <c r="J85" s="1904"/>
      <c r="K85" s="1904"/>
    </row>
    <row r="86" spans="8:11" s="1895" customFormat="1" ht="15" x14ac:dyDescent="0.25">
      <c r="H86" s="1904"/>
      <c r="I86" s="1904"/>
      <c r="J86" s="1904"/>
      <c r="K86" s="1904"/>
    </row>
    <row r="87" spans="8:11" s="1895" customFormat="1" ht="15" x14ac:dyDescent="0.25">
      <c r="H87" s="1904"/>
      <c r="I87" s="1904"/>
      <c r="J87" s="1904"/>
      <c r="K87" s="1904"/>
    </row>
    <row r="88" spans="8:11" s="1895" customFormat="1" ht="15" x14ac:dyDescent="0.25">
      <c r="H88" s="1904"/>
      <c r="I88" s="1904"/>
      <c r="J88" s="1904"/>
      <c r="K88" s="1904"/>
    </row>
    <row r="89" spans="8:11" s="1895" customFormat="1" ht="15" x14ac:dyDescent="0.25">
      <c r="H89" s="1904"/>
      <c r="I89" s="1904"/>
      <c r="J89" s="1904"/>
      <c r="K89" s="1904"/>
    </row>
    <row r="90" spans="8:11" s="1895" customFormat="1" ht="15" x14ac:dyDescent="0.25">
      <c r="H90" s="1904"/>
      <c r="I90" s="1904"/>
      <c r="J90" s="1904"/>
      <c r="K90" s="1904"/>
    </row>
    <row r="91" spans="8:11" s="1895" customFormat="1" ht="15" x14ac:dyDescent="0.25">
      <c r="H91" s="1904"/>
      <c r="I91" s="1904"/>
      <c r="J91" s="1904"/>
      <c r="K91" s="1904"/>
    </row>
    <row r="92" spans="8:11" s="1895" customFormat="1" ht="15" x14ac:dyDescent="0.25">
      <c r="H92" s="1904"/>
      <c r="I92" s="1904"/>
      <c r="J92" s="1904"/>
      <c r="K92" s="1904"/>
    </row>
    <row r="93" spans="8:11" s="1895" customFormat="1" ht="15" x14ac:dyDescent="0.25">
      <c r="H93" s="1904"/>
      <c r="I93" s="1904"/>
      <c r="J93" s="1904"/>
      <c r="K93" s="1904"/>
    </row>
    <row r="94" spans="8:11" s="1895" customFormat="1" ht="15" x14ac:dyDescent="0.25">
      <c r="H94" s="1904"/>
      <c r="I94" s="1904"/>
      <c r="J94" s="1904"/>
      <c r="K94" s="1904"/>
    </row>
    <row r="95" spans="8:11" s="1895" customFormat="1" ht="15" x14ac:dyDescent="0.25">
      <c r="H95" s="1904"/>
      <c r="I95" s="1904"/>
      <c r="J95" s="1904"/>
      <c r="K95" s="1904"/>
    </row>
    <row r="96" spans="8:11" s="1895" customFormat="1" ht="15" x14ac:dyDescent="0.25">
      <c r="H96" s="1904"/>
      <c r="I96" s="1904"/>
      <c r="J96" s="1904"/>
      <c r="K96" s="1904"/>
    </row>
    <row r="97" spans="8:11" s="1895" customFormat="1" ht="15" x14ac:dyDescent="0.25">
      <c r="H97" s="1904"/>
      <c r="I97" s="1904"/>
      <c r="J97" s="1904"/>
      <c r="K97" s="1904"/>
    </row>
  </sheetData>
  <sheetProtection algorithmName="SHA-512" hashValue="BRPHoNwUsTuO4cqiDVnyKsm5ssNJFSeGuU3uFR/uSLxJXniRDz68ExtgEiwJacaC2of1fB+ficIqObFmSwgpKQ==" saltValue="9vJljbU0ZrpW7oiOPnY/yQ==" spinCount="100000" sheet="1" formatCells="0"/>
  <mergeCells count="13">
    <mergeCell ref="A44:F44"/>
    <mergeCell ref="A37:F37"/>
    <mergeCell ref="A38:F38"/>
    <mergeCell ref="C40:F40"/>
    <mergeCell ref="A41:F41"/>
    <mergeCell ref="A42:F42"/>
    <mergeCell ref="A43:F43"/>
    <mergeCell ref="A36:F36"/>
    <mergeCell ref="A1:F1"/>
    <mergeCell ref="A5:F5"/>
    <mergeCell ref="C6:E6"/>
    <mergeCell ref="C7:E7"/>
    <mergeCell ref="C35:F35"/>
  </mergeCells>
  <printOptions headings="1"/>
  <pageMargins left="0.3" right="0.2" top="0.68" bottom="0.37" header="0.17" footer="0.17"/>
  <pageSetup scale="85"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Q40"/>
  <sheetViews>
    <sheetView showGridLines="0" defaultGridColor="0" colorId="8" zoomScale="110" zoomScaleNormal="110" workbookViewId="0"/>
  </sheetViews>
  <sheetFormatPr defaultColWidth="9.140625" defaultRowHeight="12.75" x14ac:dyDescent="0.2"/>
  <cols>
    <col min="1" max="1" width="3" style="1011" customWidth="1"/>
    <col min="2" max="2" width="2.7109375" style="1011" customWidth="1"/>
    <col min="3" max="3" width="38.5703125" style="1011" customWidth="1"/>
    <col min="4" max="4" width="6.42578125" style="1011" customWidth="1"/>
    <col min="5" max="10" width="15.7109375" style="1011" customWidth="1"/>
    <col min="11" max="14" width="4.7109375" style="1011" customWidth="1"/>
    <col min="15" max="16384" width="9.140625" style="1011"/>
  </cols>
  <sheetData>
    <row r="1" spans="1:17" ht="11.85" customHeight="1" x14ac:dyDescent="0.2">
      <c r="A1" s="1009"/>
      <c r="B1" s="1010"/>
      <c r="E1" s="1012"/>
      <c r="F1" s="1013" t="s">
        <v>425</v>
      </c>
      <c r="G1" s="1014"/>
    </row>
    <row r="2" spans="1:17" ht="11.85" customHeight="1" x14ac:dyDescent="0.2">
      <c r="A2" s="1009"/>
      <c r="B2" s="1010"/>
      <c r="E2" s="1012"/>
      <c r="F2" s="1015" t="s">
        <v>308</v>
      </c>
      <c r="G2" s="1014"/>
    </row>
    <row r="3" spans="1:17" ht="11.85" customHeight="1" x14ac:dyDescent="0.2">
      <c r="E3" s="1012"/>
      <c r="F3" s="1015" t="s">
        <v>426</v>
      </c>
      <c r="G3" s="1012"/>
    </row>
    <row r="4" spans="1:17" ht="11.85" customHeight="1" x14ac:dyDescent="0.2">
      <c r="E4" s="1012"/>
      <c r="F4" s="1015" t="s">
        <v>923</v>
      </c>
      <c r="G4" s="1012"/>
    </row>
    <row r="5" spans="1:17" ht="12.2" customHeight="1" x14ac:dyDescent="0.2">
      <c r="F5" s="1015"/>
    </row>
    <row r="6" spans="1:17" x14ac:dyDescent="0.2">
      <c r="A6" s="1919" t="s">
        <v>693</v>
      </c>
      <c r="B6" s="1664"/>
      <c r="C6" s="1664"/>
      <c r="D6" s="1664"/>
      <c r="E6" s="1665"/>
      <c r="F6" s="1016"/>
      <c r="G6" s="1010"/>
      <c r="H6" s="1017" t="s">
        <v>1086</v>
      </c>
      <c r="I6" s="2336" t="str">
        <f>COVER!A17</f>
        <v>RANTOUL CITY SCHOOLS</v>
      </c>
      <c r="J6" s="2337"/>
      <c r="Q6" s="1686"/>
    </row>
    <row r="7" spans="1:17" x14ac:dyDescent="0.2">
      <c r="A7" s="2338" t="s">
        <v>924</v>
      </c>
      <c r="B7" s="2339"/>
      <c r="C7" s="2339"/>
      <c r="D7" s="2339"/>
      <c r="E7" s="2340"/>
      <c r="F7" s="1018"/>
      <c r="G7" s="1010"/>
      <c r="H7" s="1017" t="s">
        <v>390</v>
      </c>
      <c r="I7" s="2341" t="str">
        <f>COVER!A13</f>
        <v>09-010-1370-02</v>
      </c>
      <c r="J7" s="2341"/>
    </row>
    <row r="8" spans="1:17" ht="8.25" customHeight="1" x14ac:dyDescent="0.2">
      <c r="A8" s="1666"/>
      <c r="B8" s="1667"/>
      <c r="C8" s="1667"/>
      <c r="D8" s="1667"/>
      <c r="E8" s="1668"/>
      <c r="F8" s="1019"/>
      <c r="G8" s="1020"/>
      <c r="H8" s="1020"/>
      <c r="I8" s="1020"/>
      <c r="J8" s="1020"/>
    </row>
    <row r="9" spans="1:17" ht="13.5" customHeight="1" x14ac:dyDescent="0.2">
      <c r="A9" s="1021"/>
      <c r="B9" s="1022"/>
      <c r="C9" s="1022"/>
      <c r="D9" s="1023"/>
      <c r="E9" s="1920" t="s">
        <v>1701</v>
      </c>
      <c r="F9" s="1024"/>
      <c r="G9" s="1024"/>
      <c r="H9" s="1921" t="s">
        <v>1702</v>
      </c>
      <c r="I9" s="1024"/>
      <c r="J9" s="1025"/>
    </row>
    <row r="10" spans="1:17" s="1033" customFormat="1" ht="13.5" customHeight="1" x14ac:dyDescent="0.2">
      <c r="A10" s="1026"/>
      <c r="B10" s="1027"/>
      <c r="C10" s="1028"/>
      <c r="D10" s="1029"/>
      <c r="E10" s="1030" t="s">
        <v>445</v>
      </c>
      <c r="F10" s="1031" t="s">
        <v>446</v>
      </c>
      <c r="G10" s="1032"/>
      <c r="H10" s="1031" t="s">
        <v>445</v>
      </c>
      <c r="I10" s="1031" t="s">
        <v>446</v>
      </c>
      <c r="J10" s="1031"/>
    </row>
    <row r="11" spans="1:17" s="1033" customFormat="1" ht="22.5" x14ac:dyDescent="0.2">
      <c r="A11" s="2342" t="s">
        <v>502</v>
      </c>
      <c r="B11" s="2343"/>
      <c r="C11" s="2344"/>
      <c r="D11" s="1034" t="s">
        <v>926</v>
      </c>
      <c r="E11" s="1034" t="s">
        <v>66</v>
      </c>
      <c r="F11" s="1034" t="s">
        <v>6</v>
      </c>
      <c r="G11" s="1035" t="s">
        <v>158</v>
      </c>
      <c r="H11" s="1035" t="s">
        <v>66</v>
      </c>
      <c r="I11" s="1034" t="s">
        <v>6</v>
      </c>
      <c r="J11" s="1035" t="s">
        <v>158</v>
      </c>
    </row>
    <row r="12" spans="1:17" ht="15" customHeight="1" x14ac:dyDescent="0.2">
      <c r="A12" s="1036">
        <v>1</v>
      </c>
      <c r="B12" s="1037" t="s">
        <v>872</v>
      </c>
      <c r="C12" s="1038"/>
      <c r="D12" s="1039">
        <v>2320</v>
      </c>
      <c r="E12" s="1834">
        <f>'Expenditures 15-22'!K50</f>
        <v>526342</v>
      </c>
      <c r="F12" s="1040"/>
      <c r="G12" s="1834">
        <f t="shared" ref="G12:G18" si="0">SUM(E12:F12)</f>
        <v>526342</v>
      </c>
      <c r="H12" s="1041">
        <v>474981</v>
      </c>
      <c r="I12" s="1040"/>
      <c r="J12" s="1834">
        <f t="shared" ref="J12:J18" si="1">SUM(H12:I12)</f>
        <v>474981</v>
      </c>
    </row>
    <row r="13" spans="1:17" ht="15" customHeight="1" x14ac:dyDescent="0.2">
      <c r="A13" s="1036">
        <v>2</v>
      </c>
      <c r="B13" s="1037" t="s">
        <v>44</v>
      </c>
      <c r="C13" s="1038"/>
      <c r="D13" s="1039">
        <v>2330</v>
      </c>
      <c r="E13" s="1834">
        <f>'Expenditures 15-22'!K51</f>
        <v>0</v>
      </c>
      <c r="F13" s="1040"/>
      <c r="G13" s="1834">
        <f t="shared" si="0"/>
        <v>0</v>
      </c>
      <c r="H13" s="1041">
        <v>367158</v>
      </c>
      <c r="I13" s="1040"/>
      <c r="J13" s="1834">
        <f t="shared" si="1"/>
        <v>367158</v>
      </c>
    </row>
    <row r="14" spans="1:17" ht="15" customHeight="1" x14ac:dyDescent="0.2">
      <c r="A14" s="1036">
        <v>3</v>
      </c>
      <c r="B14" s="1037" t="s">
        <v>45</v>
      </c>
      <c r="C14" s="1038"/>
      <c r="D14" s="1042">
        <v>2490</v>
      </c>
      <c r="E14" s="1834">
        <f>'Expenditures 15-22'!K56</f>
        <v>0</v>
      </c>
      <c r="F14" s="1040"/>
      <c r="G14" s="1834">
        <f t="shared" si="0"/>
        <v>0</v>
      </c>
      <c r="H14" s="1041"/>
      <c r="I14" s="1040"/>
      <c r="J14" s="1834">
        <f t="shared" si="1"/>
        <v>0</v>
      </c>
    </row>
    <row r="15" spans="1:17" ht="15" customHeight="1" x14ac:dyDescent="0.2">
      <c r="A15" s="1036">
        <v>4</v>
      </c>
      <c r="B15" s="1037" t="s">
        <v>1128</v>
      </c>
      <c r="C15" s="1038"/>
      <c r="D15" s="1039">
        <v>2510</v>
      </c>
      <c r="E15" s="1834">
        <f>'Expenditures 15-22'!K59</f>
        <v>0</v>
      </c>
      <c r="F15" s="1834">
        <f>'Expenditures 15-22'!K122</f>
        <v>0</v>
      </c>
      <c r="G15" s="1834">
        <f t="shared" si="0"/>
        <v>0</v>
      </c>
      <c r="H15" s="1041"/>
      <c r="I15" s="1041"/>
      <c r="J15" s="1834">
        <f t="shared" si="1"/>
        <v>0</v>
      </c>
    </row>
    <row r="16" spans="1:17" ht="15" customHeight="1" x14ac:dyDescent="0.2">
      <c r="A16" s="1036">
        <v>5</v>
      </c>
      <c r="B16" s="1037" t="s">
        <v>103</v>
      </c>
      <c r="C16" s="1038"/>
      <c r="D16" s="1039">
        <v>2570</v>
      </c>
      <c r="E16" s="1834">
        <f>'Expenditures 15-22'!K64</f>
        <v>44448</v>
      </c>
      <c r="F16" s="1040"/>
      <c r="G16" s="1834">
        <f t="shared" si="0"/>
        <v>44448</v>
      </c>
      <c r="H16" s="1041">
        <v>87025</v>
      </c>
      <c r="I16" s="1040"/>
      <c r="J16" s="1834">
        <f t="shared" si="1"/>
        <v>87025</v>
      </c>
    </row>
    <row r="17" spans="1:10" ht="15" customHeight="1" x14ac:dyDescent="0.2">
      <c r="A17" s="1036">
        <v>6</v>
      </c>
      <c r="B17" s="1037" t="s">
        <v>1120</v>
      </c>
      <c r="C17" s="1038"/>
      <c r="D17" s="1039">
        <v>2610</v>
      </c>
      <c r="E17" s="1834">
        <f>'Expenditures 15-22'!K67</f>
        <v>0</v>
      </c>
      <c r="F17" s="1040"/>
      <c r="G17" s="1834">
        <f t="shared" si="0"/>
        <v>0</v>
      </c>
      <c r="H17" s="1041"/>
      <c r="I17" s="1040"/>
      <c r="J17" s="1834">
        <f t="shared" si="1"/>
        <v>0</v>
      </c>
    </row>
    <row r="18" spans="1:10" ht="22.5" customHeight="1" x14ac:dyDescent="0.2">
      <c r="A18" s="1043">
        <v>7</v>
      </c>
      <c r="B18" s="2345" t="s">
        <v>7</v>
      </c>
      <c r="C18" s="2346"/>
      <c r="D18" s="2347"/>
      <c r="E18" s="1044"/>
      <c r="F18" s="1044"/>
      <c r="G18" s="1835">
        <f t="shared" si="0"/>
        <v>0</v>
      </c>
      <c r="H18" s="1041"/>
      <c r="I18" s="1041"/>
      <c r="J18" s="1834">
        <f t="shared" si="1"/>
        <v>0</v>
      </c>
    </row>
    <row r="19" spans="1:10" ht="12.75" customHeight="1" thickBot="1" x14ac:dyDescent="0.25">
      <c r="A19" s="1036">
        <v>8</v>
      </c>
      <c r="B19" s="1045" t="s">
        <v>1223</v>
      </c>
      <c r="D19" s="1046"/>
      <c r="E19" s="1836">
        <f t="shared" ref="E19:J19" si="2">SUM(E12:E17)-E18</f>
        <v>570790</v>
      </c>
      <c r="F19" s="1836">
        <f t="shared" si="2"/>
        <v>0</v>
      </c>
      <c r="G19" s="1836">
        <f t="shared" si="2"/>
        <v>570790</v>
      </c>
      <c r="H19" s="1836">
        <f t="shared" si="2"/>
        <v>929164</v>
      </c>
      <c r="I19" s="1836">
        <f t="shared" si="2"/>
        <v>0</v>
      </c>
      <c r="J19" s="1836">
        <f t="shared" si="2"/>
        <v>929164</v>
      </c>
    </row>
    <row r="20" spans="1:10" ht="13.5" thickTop="1" x14ac:dyDescent="0.2">
      <c r="A20" s="1036">
        <v>9</v>
      </c>
      <c r="B20" s="2348" t="s">
        <v>1703</v>
      </c>
      <c r="C20" s="2348"/>
      <c r="D20" s="2349"/>
      <c r="E20" s="1047"/>
      <c r="F20" s="1047"/>
      <c r="G20" s="1047"/>
      <c r="H20" s="1047"/>
      <c r="I20" s="1047"/>
      <c r="J20" s="1837">
        <f>IF(AND(G19&gt;0,J19&gt;0),(((J19-G19)/G19)),"Enter Budget Data")</f>
        <v>0.62785612922440825</v>
      </c>
    </row>
    <row r="21" spans="1:10" ht="9" customHeight="1" x14ac:dyDescent="0.2">
      <c r="B21" s="1048"/>
    </row>
    <row r="22" spans="1:10" x14ac:dyDescent="0.2">
      <c r="A22" s="1049" t="s">
        <v>135</v>
      </c>
      <c r="B22" s="1048"/>
    </row>
    <row r="23" spans="1:10" x14ac:dyDescent="0.2">
      <c r="A23" s="1012" t="s">
        <v>1704</v>
      </c>
      <c r="B23" s="1048"/>
    </row>
    <row r="24" spans="1:10" x14ac:dyDescent="0.2">
      <c r="A24" s="1012" t="s">
        <v>1705</v>
      </c>
      <c r="B24" s="1048"/>
    </row>
    <row r="25" spans="1:10" x14ac:dyDescent="0.2">
      <c r="A25" s="1050"/>
      <c r="B25" s="1048"/>
    </row>
    <row r="26" spans="1:10" ht="20.100000000000001" customHeight="1" x14ac:dyDescent="0.2">
      <c r="B26" s="1048"/>
      <c r="C26" s="2354"/>
      <c r="D26" s="2354"/>
      <c r="E26" s="1051"/>
      <c r="F26" s="2353"/>
      <c r="G26" s="2353"/>
    </row>
    <row r="27" spans="1:10" x14ac:dyDescent="0.2">
      <c r="B27" s="1048"/>
      <c r="C27" s="1052" t="s">
        <v>1093</v>
      </c>
      <c r="D27" s="1053"/>
      <c r="E27" s="1054"/>
      <c r="F27" s="2350" t="s">
        <v>1589</v>
      </c>
      <c r="G27" s="2350"/>
    </row>
    <row r="28" spans="1:10" ht="28.5" customHeight="1" x14ac:dyDescent="0.2">
      <c r="B28" s="1048"/>
      <c r="C28" s="2352"/>
      <c r="D28" s="2352"/>
      <c r="E28" s="1055"/>
      <c r="F28" s="2352"/>
      <c r="G28" s="2352"/>
    </row>
    <row r="29" spans="1:10" x14ac:dyDescent="0.2">
      <c r="B29" s="1048"/>
      <c r="C29" s="1056" t="s">
        <v>1642</v>
      </c>
      <c r="E29" s="1057"/>
      <c r="F29" s="2351" t="s">
        <v>1590</v>
      </c>
      <c r="G29" s="2351"/>
    </row>
    <row r="30" spans="1:10" ht="9" customHeight="1" x14ac:dyDescent="0.2">
      <c r="B30" s="1048"/>
      <c r="C30" s="1058"/>
      <c r="E30" s="1059"/>
      <c r="F30" s="1060"/>
      <c r="G30" s="1060"/>
    </row>
    <row r="31" spans="1:10" ht="15" customHeight="1" x14ac:dyDescent="0.2">
      <c r="A31" s="1012"/>
      <c r="B31" s="1061" t="s">
        <v>1094</v>
      </c>
    </row>
    <row r="32" spans="1:10" ht="9" customHeight="1" x14ac:dyDescent="0.2">
      <c r="A32" s="1012"/>
      <c r="B32" s="1049"/>
    </row>
    <row r="33" spans="1:10" ht="12.75" customHeight="1" x14ac:dyDescent="0.2">
      <c r="A33" s="1012"/>
      <c r="B33" s="1062"/>
      <c r="C33" s="2333" t="s">
        <v>134</v>
      </c>
      <c r="D33" s="2334"/>
      <c r="E33" s="2334"/>
      <c r="F33" s="2334"/>
      <c r="G33" s="2334"/>
      <c r="H33" s="2334"/>
      <c r="I33" s="2334"/>
    </row>
    <row r="34" spans="1:10" ht="10.35" customHeight="1" x14ac:dyDescent="0.2">
      <c r="C34" s="2334"/>
      <c r="D34" s="2334"/>
      <c r="E34" s="2334"/>
      <c r="F34" s="2334"/>
      <c r="G34" s="2334"/>
      <c r="H34" s="2334"/>
      <c r="I34" s="2334"/>
    </row>
    <row r="35" spans="1:10" ht="7.5" customHeight="1" x14ac:dyDescent="0.2">
      <c r="C35" s="1063"/>
    </row>
    <row r="36" spans="1:10" ht="13.5" customHeight="1" x14ac:dyDescent="0.2">
      <c r="B36" s="1062"/>
      <c r="C36" s="2335" t="s">
        <v>1941</v>
      </c>
      <c r="D36" s="2334"/>
      <c r="E36" s="2334"/>
      <c r="F36" s="2334"/>
      <c r="G36" s="2334"/>
      <c r="H36" s="2334"/>
      <c r="I36" s="2334"/>
      <c r="J36" s="1064"/>
    </row>
    <row r="37" spans="1:10" ht="22.5" customHeight="1" x14ac:dyDescent="0.2">
      <c r="C37" s="2334"/>
      <c r="D37" s="2334"/>
      <c r="E37" s="2334"/>
      <c r="F37" s="2334"/>
      <c r="G37" s="2334"/>
      <c r="H37" s="2334"/>
      <c r="I37" s="2334"/>
      <c r="J37" s="1064"/>
    </row>
    <row r="38" spans="1:10" ht="7.5" customHeight="1" x14ac:dyDescent="0.2">
      <c r="C38" s="1063"/>
      <c r="D38" s="1065"/>
      <c r="E38" s="1066"/>
      <c r="F38" s="1067"/>
      <c r="G38" s="1066"/>
    </row>
    <row r="39" spans="1:10" ht="13.5" customHeight="1" x14ac:dyDescent="0.2">
      <c r="B39" s="1062"/>
      <c r="C39" s="2331" t="s">
        <v>937</v>
      </c>
      <c r="D39" s="2332"/>
      <c r="E39" s="2332"/>
      <c r="F39" s="2332"/>
      <c r="G39" s="2332"/>
      <c r="H39" s="2332"/>
      <c r="I39" s="2332"/>
    </row>
    <row r="40" spans="1:10" ht="13.35" customHeight="1" x14ac:dyDescent="0.2">
      <c r="A40" s="1012"/>
      <c r="C40" s="1068"/>
      <c r="D40" s="1068"/>
      <c r="E40" s="1068"/>
      <c r="F40" s="1068"/>
      <c r="G40" s="1068"/>
      <c r="H40" s="1068"/>
      <c r="I40" s="1068"/>
    </row>
  </sheetData>
  <sheetProtection algorithmName="SHA-512" hashValue="8G3YQ5agt56HIZUR5gxbUgPRGdorsFsRdRJ+21vNXwdz+3j66reKM7fsHt8p074ju4LyodTPtCV6P7MHAMtoOA==" saltValue="6K8w1DijnCuCBEY8RfcHsQ==" spinCount="100000"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2:B65"/>
  <sheetViews>
    <sheetView showGridLines="0" topLeftCell="A16" zoomScale="110" zoomScaleNormal="110" workbookViewId="0"/>
  </sheetViews>
  <sheetFormatPr defaultRowHeight="12.75" x14ac:dyDescent="0.2"/>
  <cols>
    <col min="1" max="1" width="3" style="329" customWidth="1"/>
    <col min="2" max="2" width="109.140625" style="329" customWidth="1"/>
    <col min="3" max="3" width="3.140625" style="329" customWidth="1"/>
    <col min="4" max="16384" width="9.140625" style="329"/>
  </cols>
  <sheetData>
    <row r="2" spans="1:2" x14ac:dyDescent="0.2">
      <c r="A2" s="389" t="s">
        <v>276</v>
      </c>
    </row>
    <row r="3" spans="1:2" x14ac:dyDescent="0.2">
      <c r="A3" s="329" t="s">
        <v>277</v>
      </c>
    </row>
    <row r="5" spans="1:2" x14ac:dyDescent="0.2">
      <c r="A5" s="1069">
        <v>1</v>
      </c>
      <c r="B5" s="1957" t="s">
        <v>2101</v>
      </c>
    </row>
    <row r="6" spans="1:2" x14ac:dyDescent="0.2">
      <c r="A6" s="1069"/>
      <c r="B6" s="1958" t="s">
        <v>2102</v>
      </c>
    </row>
    <row r="7" spans="1:2" x14ac:dyDescent="0.2">
      <c r="A7" s="1069"/>
      <c r="B7" s="329" t="s">
        <v>2103</v>
      </c>
    </row>
    <row r="8" spans="1:2" x14ac:dyDescent="0.2">
      <c r="A8" s="1069"/>
    </row>
    <row r="9" spans="1:2" x14ac:dyDescent="0.2">
      <c r="A9" s="1070">
        <v>2</v>
      </c>
      <c r="B9" s="1957" t="s">
        <v>2104</v>
      </c>
    </row>
    <row r="10" spans="1:2" x14ac:dyDescent="0.2">
      <c r="A10" s="1070"/>
      <c r="B10" s="1958" t="s">
        <v>2105</v>
      </c>
    </row>
    <row r="11" spans="1:2" x14ac:dyDescent="0.2">
      <c r="A11" s="1070"/>
      <c r="B11" s="329" t="s">
        <v>2106</v>
      </c>
    </row>
    <row r="12" spans="1:2" x14ac:dyDescent="0.2">
      <c r="A12" s="1070"/>
    </row>
    <row r="13" spans="1:2" x14ac:dyDescent="0.2">
      <c r="A13" s="1070">
        <v>3</v>
      </c>
      <c r="B13" s="1957" t="s">
        <v>2107</v>
      </c>
    </row>
    <row r="14" spans="1:2" x14ac:dyDescent="0.2">
      <c r="A14" s="1070"/>
      <c r="B14" s="1958" t="s">
        <v>2105</v>
      </c>
    </row>
    <row r="15" spans="1:2" x14ac:dyDescent="0.2">
      <c r="A15" s="1070"/>
      <c r="B15" s="329" t="s">
        <v>2108</v>
      </c>
    </row>
    <row r="16" spans="1:2" x14ac:dyDescent="0.2">
      <c r="A16" s="1070"/>
    </row>
    <row r="17" spans="1:2" x14ac:dyDescent="0.2">
      <c r="A17" s="1070">
        <v>4</v>
      </c>
      <c r="B17" s="1957" t="s">
        <v>2109</v>
      </c>
    </row>
    <row r="18" spans="1:2" x14ac:dyDescent="0.2">
      <c r="A18" s="1070"/>
      <c r="B18" s="1958" t="s">
        <v>2105</v>
      </c>
    </row>
    <row r="19" spans="1:2" x14ac:dyDescent="0.2">
      <c r="A19" s="1070"/>
      <c r="B19" s="329" t="s">
        <v>2110</v>
      </c>
    </row>
    <row r="20" spans="1:2" x14ac:dyDescent="0.2">
      <c r="A20" s="1070"/>
      <c r="B20" s="329" t="s">
        <v>2111</v>
      </c>
    </row>
    <row r="21" spans="1:2" x14ac:dyDescent="0.2">
      <c r="A21" s="1070"/>
      <c r="B21" s="1958" t="s">
        <v>2112</v>
      </c>
    </row>
    <row r="22" spans="1:2" x14ac:dyDescent="0.2">
      <c r="A22" s="1070"/>
      <c r="B22" s="329" t="s">
        <v>2113</v>
      </c>
    </row>
    <row r="23" spans="1:2" x14ac:dyDescent="0.2">
      <c r="A23" s="1070"/>
      <c r="B23" s="1958" t="s">
        <v>2115</v>
      </c>
    </row>
    <row r="24" spans="1:2" x14ac:dyDescent="0.2">
      <c r="A24" s="1070"/>
      <c r="B24" s="329" t="s">
        <v>2114</v>
      </c>
    </row>
    <row r="25" spans="1:2" x14ac:dyDescent="0.2">
      <c r="A25" s="1070"/>
    </row>
    <row r="26" spans="1:2" x14ac:dyDescent="0.2">
      <c r="A26" s="1070">
        <v>5</v>
      </c>
      <c r="B26" s="1957" t="s">
        <v>2116</v>
      </c>
    </row>
    <row r="27" spans="1:2" x14ac:dyDescent="0.2">
      <c r="A27" s="1070"/>
      <c r="B27" s="1958" t="s">
        <v>2105</v>
      </c>
    </row>
    <row r="28" spans="1:2" x14ac:dyDescent="0.2">
      <c r="A28" s="1070"/>
      <c r="B28" s="329" t="s">
        <v>2117</v>
      </c>
    </row>
    <row r="29" spans="1:2" x14ac:dyDescent="0.2">
      <c r="A29" s="1070"/>
      <c r="B29" s="329" t="s">
        <v>2118</v>
      </c>
    </row>
    <row r="30" spans="1:2" x14ac:dyDescent="0.2">
      <c r="A30" s="1070"/>
    </row>
    <row r="31" spans="1:2" x14ac:dyDescent="0.2">
      <c r="A31" s="1070">
        <v>6</v>
      </c>
      <c r="B31" s="1957" t="s">
        <v>2119</v>
      </c>
    </row>
    <row r="32" spans="1:2" x14ac:dyDescent="0.2">
      <c r="A32" s="1070"/>
      <c r="B32" s="1958" t="s">
        <v>2105</v>
      </c>
    </row>
    <row r="33" spans="1:2" x14ac:dyDescent="0.2">
      <c r="A33" s="1070"/>
      <c r="B33" s="329" t="s">
        <v>2121</v>
      </c>
    </row>
    <row r="34" spans="1:2" x14ac:dyDescent="0.2">
      <c r="A34" s="1070"/>
      <c r="B34" s="329" t="s">
        <v>2120</v>
      </c>
    </row>
    <row r="35" spans="1:2" x14ac:dyDescent="0.2">
      <c r="A35" s="1070"/>
    </row>
    <row r="36" spans="1:2" x14ac:dyDescent="0.2">
      <c r="A36" s="1070">
        <v>7</v>
      </c>
      <c r="B36" s="1957" t="s">
        <v>2122</v>
      </c>
    </row>
    <row r="37" spans="1:2" x14ac:dyDescent="0.2">
      <c r="A37" s="1070"/>
      <c r="B37" s="329" t="s">
        <v>2123</v>
      </c>
    </row>
    <row r="38" spans="1:2" x14ac:dyDescent="0.2">
      <c r="A38" s="1070"/>
    </row>
    <row r="39" spans="1:2" x14ac:dyDescent="0.2">
      <c r="A39" s="1070">
        <v>8</v>
      </c>
      <c r="B39" s="1957" t="s">
        <v>2124</v>
      </c>
    </row>
    <row r="40" spans="1:2" x14ac:dyDescent="0.2">
      <c r="A40" s="1070"/>
      <c r="B40" s="1958" t="s">
        <v>2125</v>
      </c>
    </row>
    <row r="41" spans="1:2" x14ac:dyDescent="0.2">
      <c r="A41" s="1070"/>
      <c r="B41" s="329" t="s">
        <v>2126</v>
      </c>
    </row>
    <row r="42" spans="1:2" x14ac:dyDescent="0.2">
      <c r="A42" s="1070"/>
      <c r="B42" s="1958" t="s">
        <v>2127</v>
      </c>
    </row>
    <row r="43" spans="1:2" x14ac:dyDescent="0.2">
      <c r="A43" s="1070"/>
      <c r="B43" s="329" t="s">
        <v>2128</v>
      </c>
    </row>
    <row r="44" spans="1:2" x14ac:dyDescent="0.2">
      <c r="A44" s="1070"/>
    </row>
    <row r="45" spans="1:2" x14ac:dyDescent="0.2">
      <c r="A45" s="1070"/>
    </row>
    <row r="46" spans="1:2" x14ac:dyDescent="0.2">
      <c r="A46" s="1070"/>
    </row>
    <row r="47" spans="1:2" x14ac:dyDescent="0.2">
      <c r="A47" s="1070"/>
    </row>
    <row r="48" spans="1:2" x14ac:dyDescent="0.2">
      <c r="A48" s="1070"/>
    </row>
    <row r="49" spans="1:2" x14ac:dyDescent="0.2">
      <c r="A49" s="1070"/>
    </row>
    <row r="50" spans="1:2" x14ac:dyDescent="0.2">
      <c r="A50" s="1070"/>
    </row>
    <row r="51" spans="1:2" x14ac:dyDescent="0.2">
      <c r="A51" s="1070"/>
    </row>
    <row r="52" spans="1:2" x14ac:dyDescent="0.2">
      <c r="A52" s="1070"/>
    </row>
    <row r="53" spans="1:2" x14ac:dyDescent="0.2">
      <c r="A53" s="1070"/>
    </row>
    <row r="54" spans="1:2" x14ac:dyDescent="0.2">
      <c r="A54" s="1070"/>
    </row>
    <row r="55" spans="1:2" x14ac:dyDescent="0.2">
      <c r="A55" s="1070"/>
    </row>
    <row r="56" spans="1:2" x14ac:dyDescent="0.2">
      <c r="A56" s="1070"/>
    </row>
    <row r="57" spans="1:2" x14ac:dyDescent="0.2">
      <c r="A57" s="1070"/>
    </row>
    <row r="58" spans="1:2" x14ac:dyDescent="0.2">
      <c r="A58" s="1070"/>
    </row>
    <row r="59" spans="1:2" x14ac:dyDescent="0.2">
      <c r="A59" s="1070"/>
    </row>
    <row r="60" spans="1:2" x14ac:dyDescent="0.2">
      <c r="A60" s="1070"/>
    </row>
    <row r="61" spans="1:2" x14ac:dyDescent="0.2">
      <c r="A61" s="1070"/>
    </row>
    <row r="62" spans="1:2" x14ac:dyDescent="0.2">
      <c r="A62" s="1070"/>
    </row>
    <row r="63" spans="1:2" x14ac:dyDescent="0.2">
      <c r="A63" s="1070"/>
    </row>
    <row r="64" spans="1:2" x14ac:dyDescent="0.2">
      <c r="A64" s="1070"/>
      <c r="B64" s="258" t="str">
        <f>COVER!A17</f>
        <v>RANTOUL CITY SCHOOLS</v>
      </c>
    </row>
    <row r="65" spans="2:2" x14ac:dyDescent="0.2">
      <c r="B65" s="1071" t="str">
        <f>COVER!A13</f>
        <v>09-010-1370-02</v>
      </c>
    </row>
  </sheetData>
  <phoneticPr fontId="13"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4"/>
  <sheetViews>
    <sheetView showGridLines="0" zoomScale="110" zoomScaleNormal="110" workbookViewId="0"/>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1126</v>
      </c>
      <c r="C1" s="163" t="s">
        <v>1231</v>
      </c>
      <c r="D1" s="163"/>
      <c r="E1" s="163"/>
    </row>
    <row r="2" spans="1:5" ht="12.75" thickTop="1" x14ac:dyDescent="0.2">
      <c r="A2" s="164"/>
      <c r="B2" s="164"/>
      <c r="C2" s="164" t="s">
        <v>1231</v>
      </c>
      <c r="D2" s="165" t="s">
        <v>703</v>
      </c>
      <c r="E2" s="166" t="s">
        <v>1160</v>
      </c>
    </row>
    <row r="3" spans="1:5" x14ac:dyDescent="0.2">
      <c r="C3" s="162" t="s">
        <v>1231</v>
      </c>
      <c r="D3" s="167"/>
    </row>
    <row r="4" spans="1:5" x14ac:dyDescent="0.2">
      <c r="A4" s="168" t="s">
        <v>1968</v>
      </c>
      <c r="C4" s="162" t="s">
        <v>1231</v>
      </c>
      <c r="D4" s="169" t="s">
        <v>10</v>
      </c>
      <c r="E4" s="170" t="s">
        <v>22</v>
      </c>
    </row>
    <row r="5" spans="1:5" x14ac:dyDescent="0.2">
      <c r="A5" s="168" t="s">
        <v>1970</v>
      </c>
      <c r="C5" s="162" t="s">
        <v>1231</v>
      </c>
      <c r="D5" s="169" t="s">
        <v>10</v>
      </c>
      <c r="E5" s="170" t="s">
        <v>22</v>
      </c>
    </row>
    <row r="6" spans="1:5" x14ac:dyDescent="0.2">
      <c r="A6" s="168" t="s">
        <v>1969</v>
      </c>
      <c r="C6" s="162" t="s">
        <v>1231</v>
      </c>
      <c r="D6" s="167" t="s">
        <v>11</v>
      </c>
      <c r="E6" s="170" t="s">
        <v>998</v>
      </c>
    </row>
    <row r="7" spans="1:5" x14ac:dyDescent="0.2">
      <c r="A7" s="168" t="s">
        <v>1971</v>
      </c>
      <c r="C7" s="162" t="s">
        <v>1231</v>
      </c>
      <c r="D7" s="169" t="s">
        <v>12</v>
      </c>
      <c r="E7" s="170" t="s">
        <v>999</v>
      </c>
    </row>
    <row r="8" spans="1:5" x14ac:dyDescent="0.2">
      <c r="A8" s="168" t="s">
        <v>400</v>
      </c>
      <c r="C8" s="162" t="s">
        <v>1231</v>
      </c>
      <c r="D8" s="169"/>
      <c r="E8" s="171"/>
    </row>
    <row r="9" spans="1:5" x14ac:dyDescent="0.2">
      <c r="B9" s="167" t="s">
        <v>692</v>
      </c>
      <c r="C9" s="167" t="s">
        <v>1231</v>
      </c>
      <c r="D9" s="169" t="s">
        <v>13</v>
      </c>
      <c r="E9" s="170" t="s">
        <v>23</v>
      </c>
    </row>
    <row r="10" spans="1:5" x14ac:dyDescent="0.2">
      <c r="B10" s="167" t="s">
        <v>1031</v>
      </c>
      <c r="C10" s="162" t="s">
        <v>1231</v>
      </c>
      <c r="D10" s="169"/>
      <c r="E10" s="171"/>
    </row>
    <row r="11" spans="1:5" x14ac:dyDescent="0.2">
      <c r="B11" s="167" t="s">
        <v>1972</v>
      </c>
      <c r="C11" s="162" t="s">
        <v>1231</v>
      </c>
      <c r="D11" s="169" t="s">
        <v>14</v>
      </c>
      <c r="E11" s="170" t="s">
        <v>1218</v>
      </c>
    </row>
    <row r="12" spans="1:5" x14ac:dyDescent="0.2">
      <c r="B12" s="169" t="s">
        <v>1973</v>
      </c>
      <c r="C12" s="162" t="s">
        <v>1231</v>
      </c>
      <c r="D12" s="169" t="s">
        <v>15</v>
      </c>
      <c r="E12" s="170" t="s">
        <v>1099</v>
      </c>
    </row>
    <row r="13" spans="1:5" x14ac:dyDescent="0.2">
      <c r="B13" s="167" t="s">
        <v>1211</v>
      </c>
      <c r="C13" s="162" t="s">
        <v>1231</v>
      </c>
      <c r="D13" s="169" t="s">
        <v>16</v>
      </c>
      <c r="E13" s="170" t="s">
        <v>656</v>
      </c>
    </row>
    <row r="14" spans="1:5" x14ac:dyDescent="0.2">
      <c r="A14" s="168" t="s">
        <v>528</v>
      </c>
      <c r="B14" s="167"/>
      <c r="D14" s="169"/>
      <c r="E14" s="171"/>
    </row>
    <row r="15" spans="1:5" x14ac:dyDescent="0.2">
      <c r="A15" s="172"/>
      <c r="B15" s="162" t="s">
        <v>1974</v>
      </c>
      <c r="C15" s="162" t="s">
        <v>1231</v>
      </c>
      <c r="D15" s="169" t="s">
        <v>17</v>
      </c>
      <c r="E15" s="170" t="s">
        <v>657</v>
      </c>
    </row>
    <row r="16" spans="1:5" x14ac:dyDescent="0.2">
      <c r="A16" s="172"/>
      <c r="B16" s="162" t="s">
        <v>1975</v>
      </c>
      <c r="C16" s="162" t="s">
        <v>1231</v>
      </c>
      <c r="D16" s="169" t="s">
        <v>702</v>
      </c>
      <c r="E16" s="170" t="s">
        <v>1100</v>
      </c>
    </row>
    <row r="17" spans="1:5" x14ac:dyDescent="0.2">
      <c r="B17" s="167" t="s">
        <v>1045</v>
      </c>
      <c r="C17" s="162" t="s">
        <v>1231</v>
      </c>
    </row>
    <row r="18" spans="1:5" x14ac:dyDescent="0.2">
      <c r="B18" s="167" t="s">
        <v>1981</v>
      </c>
      <c r="D18" s="169" t="s">
        <v>18</v>
      </c>
      <c r="E18" s="170" t="s">
        <v>1101</v>
      </c>
    </row>
    <row r="19" spans="1:5" x14ac:dyDescent="0.2">
      <c r="A19" s="168" t="s">
        <v>1161</v>
      </c>
      <c r="C19" s="162" t="s">
        <v>1231</v>
      </c>
      <c r="D19" s="169"/>
      <c r="E19" s="171"/>
    </row>
    <row r="20" spans="1:5" x14ac:dyDescent="0.2">
      <c r="B20" s="167" t="s">
        <v>1976</v>
      </c>
      <c r="C20" s="162" t="s">
        <v>1231</v>
      </c>
      <c r="D20" s="169" t="s">
        <v>19</v>
      </c>
      <c r="E20" s="170" t="s">
        <v>53</v>
      </c>
    </row>
    <row r="21" spans="1:5" x14ac:dyDescent="0.2">
      <c r="B21" s="167" t="s">
        <v>1977</v>
      </c>
      <c r="C21" s="162" t="s">
        <v>1231</v>
      </c>
      <c r="D21" s="169" t="s">
        <v>20</v>
      </c>
      <c r="E21" s="170" t="s">
        <v>1708</v>
      </c>
    </row>
    <row r="22" spans="1:5" x14ac:dyDescent="0.2">
      <c r="A22" s="168"/>
      <c r="B22" s="162" t="s">
        <v>1965</v>
      </c>
      <c r="C22" s="162" t="s">
        <v>1231</v>
      </c>
      <c r="D22" s="167" t="s">
        <v>1967</v>
      </c>
      <c r="E22" s="1859" t="s">
        <v>1709</v>
      </c>
    </row>
    <row r="23" spans="1:5" x14ac:dyDescent="0.2">
      <c r="A23" s="168"/>
      <c r="B23" s="162" t="s">
        <v>1966</v>
      </c>
      <c r="D23" s="167" t="s">
        <v>658</v>
      </c>
      <c r="E23" s="1859" t="s">
        <v>1016</v>
      </c>
    </row>
    <row r="24" spans="1:5" x14ac:dyDescent="0.2">
      <c r="A24" s="168" t="s">
        <v>1707</v>
      </c>
      <c r="C24" s="162" t="s">
        <v>1231</v>
      </c>
      <c r="D24" s="167" t="s">
        <v>1460</v>
      </c>
      <c r="E24" s="170" t="s">
        <v>1017</v>
      </c>
    </row>
    <row r="25" spans="1:5" x14ac:dyDescent="0.2">
      <c r="A25" s="168" t="s">
        <v>1978</v>
      </c>
      <c r="C25" s="162" t="s">
        <v>1231</v>
      </c>
      <c r="D25" s="169" t="s">
        <v>21</v>
      </c>
      <c r="E25" s="170" t="s">
        <v>1102</v>
      </c>
    </row>
    <row r="26" spans="1:5" x14ac:dyDescent="0.2">
      <c r="A26" s="168" t="s">
        <v>1979</v>
      </c>
      <c r="C26" s="162" t="s">
        <v>1231</v>
      </c>
      <c r="D26" s="169" t="s">
        <v>584</v>
      </c>
      <c r="E26" s="170" t="s">
        <v>1103</v>
      </c>
    </row>
    <row r="27" spans="1:5" x14ac:dyDescent="0.2">
      <c r="A27" s="168" t="s">
        <v>1980</v>
      </c>
      <c r="C27" s="162" t="s">
        <v>1231</v>
      </c>
      <c r="D27" s="169" t="s">
        <v>578</v>
      </c>
      <c r="E27" s="170" t="s">
        <v>704</v>
      </c>
    </row>
    <row r="28" spans="1:5" x14ac:dyDescent="0.2">
      <c r="A28" s="168" t="s">
        <v>1982</v>
      </c>
      <c r="D28" s="169" t="s">
        <v>705</v>
      </c>
      <c r="E28" s="170" t="s">
        <v>1433</v>
      </c>
    </row>
    <row r="29" spans="1:5" x14ac:dyDescent="0.2">
      <c r="A29" s="168" t="s">
        <v>1983</v>
      </c>
      <c r="D29" s="169" t="s">
        <v>1461</v>
      </c>
      <c r="E29" s="170" t="s">
        <v>1442</v>
      </c>
    </row>
    <row r="30" spans="1:5" x14ac:dyDescent="0.2">
      <c r="A30" s="173" t="s">
        <v>1984</v>
      </c>
      <c r="C30" s="162" t="s">
        <v>1231</v>
      </c>
      <c r="D30" s="169" t="s">
        <v>42</v>
      </c>
      <c r="E30" s="170" t="s">
        <v>1039</v>
      </c>
    </row>
    <row r="31" spans="1:5" x14ac:dyDescent="0.2">
      <c r="A31" s="168" t="s">
        <v>1602</v>
      </c>
      <c r="C31" s="162" t="s">
        <v>1231</v>
      </c>
      <c r="D31" s="167"/>
      <c r="E31" s="171"/>
    </row>
    <row r="32" spans="1:5" x14ac:dyDescent="0.2">
      <c r="B32" s="167" t="s">
        <v>1985</v>
      </c>
      <c r="C32" s="162" t="s">
        <v>1231</v>
      </c>
      <c r="D32" s="169" t="s">
        <v>1603</v>
      </c>
      <c r="E32" s="170" t="s">
        <v>1462</v>
      </c>
    </row>
    <row r="33" spans="1:5" x14ac:dyDescent="0.2">
      <c r="A33" s="172"/>
      <c r="D33" s="169"/>
      <c r="E33" s="171"/>
    </row>
    <row r="34" spans="1:5" x14ac:dyDescent="0.2">
      <c r="A34" s="172"/>
      <c r="D34" s="169"/>
      <c r="E34" s="171"/>
    </row>
    <row r="35" spans="1:5" ht="15.75" customHeight="1" thickBot="1" x14ac:dyDescent="0.25">
      <c r="A35" s="2072" t="s">
        <v>1125</v>
      </c>
      <c r="B35" s="2072"/>
      <c r="C35" s="2072"/>
      <c r="D35" s="2072"/>
      <c r="E35" s="2072"/>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069" t="s">
        <v>715</v>
      </c>
      <c r="B40" s="2069"/>
      <c r="C40" s="2069"/>
      <c r="D40" s="2069"/>
      <c r="E40" s="2069"/>
    </row>
    <row r="41" spans="1:5" x14ac:dyDescent="0.2">
      <c r="A41" s="2070" t="s">
        <v>1706</v>
      </c>
      <c r="B41" s="2070"/>
      <c r="C41" s="2070"/>
      <c r="D41" s="2070"/>
      <c r="E41" s="2070"/>
    </row>
    <row r="42" spans="1:5" ht="12.75" customHeight="1" x14ac:dyDescent="0.2">
      <c r="A42" s="2071" t="s">
        <v>1080</v>
      </c>
      <c r="B42" s="2071"/>
      <c r="C42" s="2071"/>
      <c r="D42" s="2071"/>
      <c r="E42" s="2071"/>
    </row>
    <row r="43" spans="1:5" ht="6.75" customHeight="1" x14ac:dyDescent="0.2">
      <c r="A43" s="167"/>
      <c r="B43" s="176"/>
    </row>
    <row r="44" spans="1:5" x14ac:dyDescent="0.2">
      <c r="A44" s="185" t="s">
        <v>1040</v>
      </c>
      <c r="B44" s="186" t="s">
        <v>2015</v>
      </c>
    </row>
    <row r="45" spans="1:5" ht="6.75" customHeight="1" x14ac:dyDescent="0.2">
      <c r="A45" s="187"/>
      <c r="B45" s="186"/>
    </row>
    <row r="46" spans="1:5" x14ac:dyDescent="0.2">
      <c r="A46" s="185" t="s">
        <v>1041</v>
      </c>
      <c r="B46" s="169" t="s">
        <v>1711</v>
      </c>
    </row>
    <row r="47" spans="1:5" ht="9.75" customHeight="1" x14ac:dyDescent="0.2">
      <c r="A47" s="189"/>
      <c r="B47" s="188"/>
    </row>
    <row r="48" spans="1:5" x14ac:dyDescent="0.2">
      <c r="A48" s="169" t="s">
        <v>1710</v>
      </c>
      <c r="B48" s="169" t="s">
        <v>1715</v>
      </c>
      <c r="C48" s="177"/>
    </row>
    <row r="49" spans="1:3" ht="9.75" customHeight="1" x14ac:dyDescent="0.2">
      <c r="A49" s="188"/>
      <c r="B49" s="188"/>
      <c r="C49" s="177"/>
    </row>
    <row r="50" spans="1:3" x14ac:dyDescent="0.2">
      <c r="A50" s="200" t="s">
        <v>1712</v>
      </c>
      <c r="B50" s="198" t="s">
        <v>1716</v>
      </c>
    </row>
    <row r="51" spans="1:3" x14ac:dyDescent="0.2">
      <c r="B51" s="169" t="s">
        <v>1872</v>
      </c>
    </row>
    <row r="52" spans="1:3" x14ac:dyDescent="0.2">
      <c r="A52" s="190"/>
      <c r="B52" s="188" t="s">
        <v>1892</v>
      </c>
    </row>
    <row r="53" spans="1:3" ht="4.5" customHeight="1" x14ac:dyDescent="0.2">
      <c r="A53" s="190"/>
      <c r="B53" s="190"/>
    </row>
    <row r="54" spans="1:3" x14ac:dyDescent="0.2">
      <c r="A54" s="190"/>
      <c r="B54" s="201" t="s">
        <v>1713</v>
      </c>
    </row>
    <row r="55" spans="1:3" ht="8.25" customHeight="1" x14ac:dyDescent="0.2">
      <c r="A55" s="190"/>
      <c r="B55" s="191"/>
    </row>
    <row r="56" spans="1:3" x14ac:dyDescent="0.2">
      <c r="A56" s="192"/>
      <c r="B56" s="169" t="s">
        <v>1873</v>
      </c>
    </row>
    <row r="57" spans="1:3" x14ac:dyDescent="0.2">
      <c r="A57" s="193"/>
      <c r="B57" s="190" t="s">
        <v>1875</v>
      </c>
    </row>
    <row r="58" spans="1:3" x14ac:dyDescent="0.2">
      <c r="A58" s="194"/>
      <c r="B58" s="190" t="s">
        <v>1876</v>
      </c>
    </row>
    <row r="59" spans="1:3" x14ac:dyDescent="0.2">
      <c r="A59" s="195"/>
      <c r="B59" s="1507" t="s">
        <v>1877</v>
      </c>
    </row>
    <row r="60" spans="1:3" x14ac:dyDescent="0.2">
      <c r="A60" s="196"/>
      <c r="B60" s="1507" t="s">
        <v>1878</v>
      </c>
    </row>
    <row r="61" spans="1:3" ht="6" customHeight="1" x14ac:dyDescent="0.2">
      <c r="A61" s="197"/>
      <c r="B61" s="189"/>
    </row>
    <row r="62" spans="1:3" x14ac:dyDescent="0.2">
      <c r="A62" s="169" t="s">
        <v>1714</v>
      </c>
      <c r="B62" s="198" t="s">
        <v>1874</v>
      </c>
    </row>
    <row r="63" spans="1:3" x14ac:dyDescent="0.2">
      <c r="A63" s="188"/>
      <c r="B63" s="169" t="s">
        <v>1889</v>
      </c>
    </row>
    <row r="64" spans="1:3" x14ac:dyDescent="0.2">
      <c r="A64" s="195"/>
      <c r="B64" s="1509" t="s">
        <v>1879</v>
      </c>
    </row>
    <row r="65" spans="1:9" x14ac:dyDescent="0.2">
      <c r="A65" s="188"/>
      <c r="B65" s="169" t="s">
        <v>1890</v>
      </c>
    </row>
    <row r="66" spans="1:9" x14ac:dyDescent="0.2">
      <c r="A66" s="190"/>
      <c r="B66" s="190" t="s">
        <v>1880</v>
      </c>
    </row>
    <row r="67" spans="1:9" ht="12" customHeight="1" x14ac:dyDescent="0.2">
      <c r="A67" s="188"/>
      <c r="B67" s="169" t="s">
        <v>1891</v>
      </c>
    </row>
    <row r="68" spans="1:9" x14ac:dyDescent="0.2">
      <c r="A68" s="189"/>
      <c r="B68" s="190" t="s">
        <v>1881</v>
      </c>
    </row>
    <row r="69" spans="1:9" x14ac:dyDescent="0.2">
      <c r="A69" s="190"/>
      <c r="B69" s="188" t="s">
        <v>1882</v>
      </c>
    </row>
    <row r="70" spans="1:9" ht="13.5" customHeight="1" x14ac:dyDescent="0.2">
      <c r="A70" s="190"/>
      <c r="B70" s="188" t="s">
        <v>1883</v>
      </c>
    </row>
    <row r="71" spans="1:9" ht="12" customHeight="1" x14ac:dyDescent="0.2">
      <c r="A71" s="192"/>
      <c r="B71" s="1508" t="s">
        <v>1717</v>
      </c>
    </row>
    <row r="72" spans="1:9" ht="9" customHeight="1" x14ac:dyDescent="0.2">
      <c r="A72" s="192"/>
      <c r="B72" s="199"/>
    </row>
    <row r="73" spans="1:9" x14ac:dyDescent="0.2">
      <c r="A73" s="189" t="s">
        <v>1718</v>
      </c>
      <c r="B73" s="169" t="s">
        <v>1885</v>
      </c>
    </row>
    <row r="74" spans="1:9" x14ac:dyDescent="0.2">
      <c r="A74" s="189"/>
      <c r="B74" s="169" t="s">
        <v>1884</v>
      </c>
    </row>
    <row r="75" spans="1:9" ht="8.25" customHeight="1" x14ac:dyDescent="0.2">
      <c r="A75" s="189"/>
      <c r="B75" s="189"/>
    </row>
    <row r="76" spans="1:9" ht="12.2" customHeight="1" x14ac:dyDescent="0.2">
      <c r="A76" s="189" t="s">
        <v>1719</v>
      </c>
      <c r="B76" s="198" t="s">
        <v>1886</v>
      </c>
    </row>
    <row r="77" spans="1:9" ht="12.2" customHeight="1" x14ac:dyDescent="0.2">
      <c r="A77" s="190"/>
      <c r="B77" s="169" t="s">
        <v>1720</v>
      </c>
      <c r="C77" s="179"/>
      <c r="D77" s="180"/>
      <c r="E77" s="181"/>
      <c r="F77" s="181"/>
      <c r="G77" s="181"/>
      <c r="H77" s="181"/>
      <c r="I77" s="181"/>
    </row>
    <row r="78" spans="1:9" ht="11.25" customHeight="1" x14ac:dyDescent="0.2">
      <c r="A78" s="190"/>
      <c r="B78" s="190" t="s">
        <v>1888</v>
      </c>
      <c r="C78" s="179"/>
      <c r="D78" s="182"/>
      <c r="E78" s="182"/>
      <c r="F78" s="182"/>
      <c r="G78" s="182"/>
      <c r="H78" s="182"/>
      <c r="I78" s="181"/>
    </row>
    <row r="79" spans="1:9" ht="12.2" customHeight="1" x14ac:dyDescent="0.2">
      <c r="A79" s="190"/>
      <c r="B79" s="169" t="s">
        <v>1721</v>
      </c>
      <c r="C79" s="179"/>
      <c r="D79" s="182"/>
      <c r="E79" s="182"/>
      <c r="F79" s="182"/>
      <c r="G79" s="182"/>
      <c r="H79" s="182"/>
      <c r="I79" s="181"/>
    </row>
    <row r="80" spans="1:9" ht="11.25" customHeight="1" x14ac:dyDescent="0.2">
      <c r="A80" s="189"/>
      <c r="B80" s="190" t="s">
        <v>1887</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algorithmName="SHA-512" hashValue="U5uRDrukM3hHT6tbSANn5F7oyBm2528EqqcsU22dt4TEz8huvECgwejDhWWgMIRTTX72s1+dDkxZar6jzJR/VQ==" saltValue="eGFQbmWYSjXjeBlBoCZNZA==" spinCount="100000" sheet="1" objects="1" scenarios="1"/>
  <mergeCells count="4">
    <mergeCell ref="A40:E40"/>
    <mergeCell ref="A41:E41"/>
    <mergeCell ref="A42:E42"/>
    <mergeCell ref="A35:E35"/>
  </mergeCells>
  <hyperlinks>
    <hyperlink ref="B71" r:id="rId1" display="Federal Single Audit 2 CFR 200.500"/>
    <hyperlink ref="A42" r:id="rId2"/>
    <hyperlink ref="B54" r:id="rId3" display="Attachment Manager Link"/>
    <hyperlink ref="E4" location="'Aud Quest 2'!A1" display="2"/>
    <hyperlink ref="E5" location="'Aud Quest 2'!A1" display="2"/>
    <hyperlink ref="E6" location="'FP Info 3'!A1" display="3"/>
    <hyperlink ref="E7" location="'Fin Profile 4'!A1" display="4"/>
    <hyperlink ref="E9" location="'Assets-Liab 5-6'!A1" display="5 - 6 "/>
    <hyperlink ref="E11" location="'Acct Summary 7-8'!A1" display="7 - 8"/>
    <hyperlink ref="E12" location="'Revenues 9-14'!A1" display="9 - 14"/>
    <hyperlink ref="E13" location="'Expenditures 15-22'!A1" display="15 - 22"/>
    <hyperlink ref="E15" location="'Tax Sched 24'!A1" display="24"/>
    <hyperlink ref="E16" location="'Short-Term Long-Term Debt 25'!A1" display="25"/>
    <hyperlink ref="E18" location="'Rest Tax Levies-Tort Im 26'!A1" display="26"/>
    <hyperlink ref="E20" location="'Cap Outlay Deprec 27'!A1" display="27"/>
    <hyperlink ref="E21" location="'PCTC-OEPP 28-29'!A1" display="28 - 29"/>
    <hyperlink ref="E22" location="'Contracts Paid in CY 29'!A1" display="29"/>
    <hyperlink ref="E24" location="'Shared Outsourced Services 31'!A1" display="31"/>
    <hyperlink ref="E25" location="'AC32'!A1" display="32"/>
    <hyperlink ref="E26" location="'Itemization 33'!A1" display="33"/>
    <hyperlink ref="E27" location="'REF 34'!A1" display="34"/>
    <hyperlink ref="E28" location="'Opinion-Notes 35'!A1" display="35"/>
    <hyperlink ref="E29" location="'DeficitAFRSum Calc 36'!A1" display="36"/>
    <hyperlink ref="E30" location="AUDITCHECK!A1" display="-"/>
    <hyperlink ref="E32" location="'Single Audit Cover'!A1" display="37 - 46"/>
    <hyperlink ref="E23" location="'ICR Computation 30'!A1" display="30"/>
  </hyperlinks>
  <pageMargins left="0.7" right="0.7" top="0.75" bottom="0.75" header="0.3" footer="0.3"/>
  <pageSetup scale="73"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9"/>
  <sheetViews>
    <sheetView showGridLines="0" defaultGridColor="0" colorId="8" zoomScale="110" zoomScaleNormal="110" workbookViewId="0"/>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547</v>
      </c>
      <c r="B1" s="22"/>
      <c r="C1" s="21"/>
    </row>
    <row r="3" spans="1:4" x14ac:dyDescent="0.2">
      <c r="B3" s="18">
        <v>1</v>
      </c>
      <c r="C3" s="20" t="s">
        <v>973</v>
      </c>
    </row>
    <row r="4" spans="1:4" ht="22.5" x14ac:dyDescent="0.2">
      <c r="B4" s="18" t="s">
        <v>22</v>
      </c>
      <c r="C4" s="16" t="s">
        <v>293</v>
      </c>
    </row>
    <row r="5" spans="1:4" ht="13.5" customHeight="1" x14ac:dyDescent="0.2">
      <c r="B5" s="18" t="s">
        <v>998</v>
      </c>
      <c r="C5" s="16" t="s">
        <v>950</v>
      </c>
    </row>
    <row r="6" spans="1:4" ht="13.5" customHeight="1" x14ac:dyDescent="0.2">
      <c r="A6" s="23"/>
      <c r="B6" s="25" t="s">
        <v>999</v>
      </c>
      <c r="C6" s="65" t="s">
        <v>1481</v>
      </c>
      <c r="D6" s="24"/>
    </row>
    <row r="7" spans="1:4" ht="13.5" customHeight="1" x14ac:dyDescent="0.2">
      <c r="A7" s="23"/>
      <c r="B7" s="25"/>
      <c r="C7" s="65" t="s">
        <v>1482</v>
      </c>
      <c r="D7" s="24"/>
    </row>
    <row r="8" spans="1:4" ht="13.5" customHeight="1" x14ac:dyDescent="0.2">
      <c r="A8" s="23"/>
      <c r="B8" s="146" t="s">
        <v>1000</v>
      </c>
      <c r="C8" s="65" t="s">
        <v>1467</v>
      </c>
      <c r="D8" s="24"/>
    </row>
    <row r="9" spans="1:4" ht="13.5" customHeight="1" x14ac:dyDescent="0.2">
      <c r="A9" s="14"/>
      <c r="B9" s="144" t="s">
        <v>1001</v>
      </c>
      <c r="C9" s="142" t="s">
        <v>1386</v>
      </c>
    </row>
    <row r="10" spans="1:4" ht="13.5" customHeight="1" x14ac:dyDescent="0.2">
      <c r="B10" s="18" t="s">
        <v>1002</v>
      </c>
      <c r="C10" s="15" t="s">
        <v>965</v>
      </c>
    </row>
    <row r="11" spans="1:4" ht="12.75" customHeight="1" x14ac:dyDescent="0.2">
      <c r="B11" s="18" t="s">
        <v>1003</v>
      </c>
      <c r="C11" s="16" t="s">
        <v>914</v>
      </c>
    </row>
    <row r="12" spans="1:4" ht="21.75" customHeight="1" x14ac:dyDescent="0.2">
      <c r="B12" s="18" t="s">
        <v>1004</v>
      </c>
      <c r="C12" s="145" t="s">
        <v>1466</v>
      </c>
    </row>
    <row r="13" spans="1:4" s="19" customFormat="1" ht="12.75" customHeight="1" x14ac:dyDescent="0.2">
      <c r="B13" s="18" t="s">
        <v>971</v>
      </c>
      <c r="C13" s="16" t="s">
        <v>1189</v>
      </c>
    </row>
    <row r="14" spans="1:4" ht="21.75" customHeight="1" x14ac:dyDescent="0.2">
      <c r="B14" s="18" t="s">
        <v>972</v>
      </c>
      <c r="C14" s="16" t="s">
        <v>898</v>
      </c>
    </row>
    <row r="15" spans="1:4" ht="12.75" customHeight="1" x14ac:dyDescent="0.2">
      <c r="B15" s="143" t="s">
        <v>1392</v>
      </c>
      <c r="C15" s="142" t="s">
        <v>1393</v>
      </c>
    </row>
    <row r="16" spans="1:4" ht="12.75" customHeight="1" x14ac:dyDescent="0.2">
      <c r="C16" s="142" t="s">
        <v>1394</v>
      </c>
    </row>
    <row r="17" spans="3:3" ht="12.75" customHeight="1" x14ac:dyDescent="0.2">
      <c r="C17" s="66" t="s">
        <v>1395</v>
      </c>
    </row>
    <row r="19" spans="3:3" x14ac:dyDescent="0.2">
      <c r="C19" s="7"/>
    </row>
  </sheetData>
  <sheetProtection algorithmName="SHA-512" hashValue="Tm7o87d6ReytWFsLxMxpHmdmd1+ebxjLhlAV00WZc4NTfxL83yp/iubXHURYmg8MtBV+3BVkctWco6PAT5/tNw==" saltValue="wazHjSGEk+iO9l+4MXV7+w==" spinCount="100000" sheet="1" objects="1" scenarios="1"/>
  <phoneticPr fontId="13"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A11:F18"/>
  <sheetViews>
    <sheetView showGridLines="0" zoomScale="110" zoomScaleNormal="110" workbookViewId="0">
      <selection activeCell="B2" sqref="B2"/>
    </sheetView>
  </sheetViews>
  <sheetFormatPr defaultRowHeight="12.75" x14ac:dyDescent="0.2"/>
  <cols>
    <col min="1" max="1" width="1.85546875" style="329" customWidth="1"/>
    <col min="2" max="2" width="59.7109375" style="329" customWidth="1"/>
    <col min="3" max="16384" width="9.140625" style="329"/>
  </cols>
  <sheetData>
    <row r="11" spans="1:6" x14ac:dyDescent="0.2">
      <c r="B11" s="1072"/>
      <c r="C11" s="1072"/>
      <c r="D11" s="1072"/>
      <c r="E11" s="1072"/>
      <c r="F11" s="1072"/>
    </row>
    <row r="13" spans="1:6" x14ac:dyDescent="0.2">
      <c r="A13" s="1073" t="s">
        <v>1573</v>
      </c>
    </row>
    <row r="15" spans="1:6" x14ac:dyDescent="0.2">
      <c r="A15" s="389" t="s">
        <v>912</v>
      </c>
    </row>
    <row r="16" spans="1:6" s="1072" customFormat="1" ht="45" customHeight="1" x14ac:dyDescent="0.2">
      <c r="A16" s="1074"/>
      <c r="B16" s="1074" t="s">
        <v>1783</v>
      </c>
    </row>
    <row r="17" spans="1:2" ht="6" customHeight="1" x14ac:dyDescent="0.2"/>
    <row r="18" spans="1:2" ht="24.75" customHeight="1" x14ac:dyDescent="0.2">
      <c r="A18" s="2355" t="s">
        <v>1784</v>
      </c>
      <c r="B18" s="2355"/>
    </row>
  </sheetData>
  <sheetProtection selectLockedCells="1"/>
  <mergeCells count="1">
    <mergeCell ref="A18:B18"/>
  </mergeCells>
  <phoneticPr fontId="13"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Exch.Document.DC" dvAspect="DVASPECT_ICON" shapeId="35841" r:id="rId4">
          <objectPr defaultSize="0" r:id="rId5">
            <anchor moveWithCells="1">
              <from>
                <xdr:col>1</xdr:col>
                <xdr:colOff>0</xdr:colOff>
                <xdr:row>1</xdr:row>
                <xdr:rowOff>0</xdr:rowOff>
              </from>
              <to>
                <xdr:col>1</xdr:col>
                <xdr:colOff>914400</xdr:colOff>
                <xdr:row>5</xdr:row>
                <xdr:rowOff>38100</xdr:rowOff>
              </to>
            </anchor>
          </objectPr>
        </oleObject>
      </mc:Choice>
      <mc:Fallback>
        <oleObject progId="AcroExch.Document.DC" dvAspect="DVASPECT_ICON" shapeId="35841" r:id="rId4"/>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H48"/>
  <sheetViews>
    <sheetView showGridLines="0" showZeros="0" zoomScale="110" zoomScaleNormal="110" workbookViewId="0">
      <selection sqref="A1:F1"/>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56" t="s">
        <v>1790</v>
      </c>
      <c r="B1" s="2357"/>
      <c r="C1" s="2357"/>
      <c r="D1" s="2357"/>
      <c r="E1" s="2357"/>
      <c r="F1" s="2358"/>
    </row>
    <row r="2" spans="1:8" ht="45" customHeight="1" x14ac:dyDescent="0.2">
      <c r="A2" s="2366" t="s">
        <v>1791</v>
      </c>
      <c r="B2" s="2367"/>
      <c r="C2" s="2367"/>
      <c r="D2" s="2367"/>
      <c r="E2" s="2367"/>
      <c r="F2" s="2368"/>
      <c r="G2" s="1075"/>
      <c r="H2" s="1075"/>
    </row>
    <row r="3" spans="1:8" ht="57" customHeight="1" x14ac:dyDescent="0.2">
      <c r="A3" s="2369" t="s">
        <v>1786</v>
      </c>
      <c r="B3" s="2370"/>
      <c r="C3" s="2370"/>
      <c r="D3" s="2370"/>
      <c r="E3" s="2370"/>
      <c r="F3" s="2371"/>
      <c r="G3" s="1075"/>
      <c r="H3" s="1075"/>
    </row>
    <row r="4" spans="1:8" ht="14.25" customHeight="1" x14ac:dyDescent="0.2">
      <c r="A4" s="2375" t="s">
        <v>2052</v>
      </c>
      <c r="B4" s="2376"/>
      <c r="C4" s="2376"/>
      <c r="D4" s="2376"/>
      <c r="E4" s="2376"/>
      <c r="F4" s="2377"/>
      <c r="G4" s="1075"/>
      <c r="H4" s="1075"/>
    </row>
    <row r="5" spans="1:8" ht="14.25" customHeight="1" x14ac:dyDescent="0.2">
      <c r="A5" s="2378" t="s">
        <v>2053</v>
      </c>
      <c r="B5" s="2379"/>
      <c r="C5" s="2379"/>
      <c r="D5" s="2379"/>
      <c r="E5" s="2379"/>
      <c r="F5" s="2380"/>
      <c r="G5" s="1075"/>
      <c r="H5" s="1075"/>
    </row>
    <row r="6" spans="1:8" s="1076" customFormat="1" ht="41.25" customHeight="1" x14ac:dyDescent="0.2">
      <c r="A6" s="2372" t="s">
        <v>1792</v>
      </c>
      <c r="B6" s="2373"/>
      <c r="C6" s="2373"/>
      <c r="D6" s="2373"/>
      <c r="E6" s="2373"/>
      <c r="F6" s="2374"/>
    </row>
    <row r="7" spans="1:8" ht="42" customHeight="1" x14ac:dyDescent="0.2">
      <c r="A7" s="1077" t="s">
        <v>502</v>
      </c>
      <c r="B7" s="1078" t="s">
        <v>1576</v>
      </c>
      <c r="C7" s="1078" t="s">
        <v>1577</v>
      </c>
      <c r="D7" s="1078" t="s">
        <v>1575</v>
      </c>
      <c r="E7" s="1078" t="s">
        <v>1578</v>
      </c>
      <c r="F7" s="1078" t="s">
        <v>1434</v>
      </c>
    </row>
    <row r="8" spans="1:8" s="1080" customFormat="1" ht="14.25" customHeight="1" x14ac:dyDescent="0.2">
      <c r="A8" s="1079" t="s">
        <v>1435</v>
      </c>
      <c r="B8" s="1838">
        <f>'Acct Summary 7-8'!C8</f>
        <v>17502612</v>
      </c>
      <c r="C8" s="1838">
        <f>'Acct Summary 7-8'!D8</f>
        <v>1673074</v>
      </c>
      <c r="D8" s="1838">
        <f>'Acct Summary 7-8'!F8</f>
        <v>956667</v>
      </c>
      <c r="E8" s="1838">
        <f>'Acct Summary 7-8'!I8</f>
        <v>10573</v>
      </c>
      <c r="F8" s="1838">
        <f>SUM(B8:E8)</f>
        <v>20142926</v>
      </c>
    </row>
    <row r="9" spans="1:8" s="1080" customFormat="1" ht="14.25" customHeight="1" thickBot="1" x14ac:dyDescent="0.25">
      <c r="A9" s="1079" t="s">
        <v>1436</v>
      </c>
      <c r="B9" s="1839">
        <f>'Acct Summary 7-8'!C17</f>
        <v>16757504</v>
      </c>
      <c r="C9" s="1839">
        <f>'Acct Summary 7-8'!D17</f>
        <v>1248253</v>
      </c>
      <c r="D9" s="1839">
        <f>'Acct Summary 7-8'!F17</f>
        <v>720351</v>
      </c>
      <c r="E9" s="1838"/>
      <c r="F9" s="1838">
        <f>SUM(B9:E9)</f>
        <v>18726108</v>
      </c>
    </row>
    <row r="10" spans="1:8" s="1080" customFormat="1" ht="14.25" thickTop="1" thickBot="1" x14ac:dyDescent="0.25">
      <c r="A10" s="1081" t="s">
        <v>1437</v>
      </c>
      <c r="B10" s="1840">
        <f>(B8-B9)</f>
        <v>745108</v>
      </c>
      <c r="C10" s="1840">
        <f>(C8-C9)</f>
        <v>424821</v>
      </c>
      <c r="D10" s="1840">
        <f>(D8-D9)</f>
        <v>236316</v>
      </c>
      <c r="E10" s="1839">
        <f>(E8-E9)</f>
        <v>10573</v>
      </c>
      <c r="F10" s="1841">
        <f>SUM(F8-F9)</f>
        <v>1416818</v>
      </c>
    </row>
    <row r="11" spans="1:8" s="1080" customFormat="1" ht="14.25" thickTop="1" thickBot="1" x14ac:dyDescent="0.25">
      <c r="A11" s="1082" t="s">
        <v>1785</v>
      </c>
      <c r="B11" s="1842">
        <f>'Acct Summary 7-8'!C81</f>
        <v>9125606</v>
      </c>
      <c r="C11" s="1842">
        <f>'Acct Summary 7-8'!D81</f>
        <v>684293</v>
      </c>
      <c r="D11" s="1842">
        <f>'Acct Summary 7-8'!F81</f>
        <v>392225</v>
      </c>
      <c r="E11" s="1842">
        <f>'Acct Summary 7-8'!I81</f>
        <v>546423</v>
      </c>
      <c r="F11" s="1843">
        <f>SUM(B11:E11)</f>
        <v>10748547</v>
      </c>
    </row>
    <row r="12" spans="1:8" ht="16.5" customHeight="1" thickTop="1" x14ac:dyDescent="0.2">
      <c r="A12" s="1083"/>
      <c r="B12" s="1084"/>
      <c r="C12" s="2360" t="str">
        <f>IF(AND(F10&lt;0,F11&gt;=0,ABS(F10*3)&gt;ABS(F11)),A16,IF(AND(F10&lt;0,F11&gt;0,ABS(F10*3)&lt;=ABS(F11)),A17,IF(AND(F10&lt;0,F11&lt;0),A16,IF(F11=0,A19,A18))))</f>
        <v>Balanced - no deficit reduction plan is required.</v>
      </c>
      <c r="D12" s="2361"/>
      <c r="E12" s="2361"/>
      <c r="F12" s="2362"/>
    </row>
    <row r="13" spans="1:8" ht="19.5" customHeight="1" x14ac:dyDescent="0.2">
      <c r="A13" s="1085"/>
      <c r="B13" s="1086"/>
      <c r="C13" s="2360"/>
      <c r="D13" s="2361"/>
      <c r="E13" s="2361"/>
      <c r="F13" s="2362"/>
      <c r="H13" s="1075"/>
    </row>
    <row r="14" spans="1:8" ht="19.5" customHeight="1" x14ac:dyDescent="0.2">
      <c r="A14" s="1085"/>
      <c r="B14" s="1086"/>
      <c r="C14" s="2360"/>
      <c r="D14" s="2361"/>
      <c r="E14" s="2361"/>
      <c r="F14" s="2362"/>
      <c r="H14" s="1075"/>
    </row>
    <row r="15" spans="1:8" ht="17.25" customHeight="1" x14ac:dyDescent="0.2">
      <c r="A15" s="1085"/>
      <c r="B15" s="1086"/>
      <c r="C15" s="2363"/>
      <c r="D15" s="2364"/>
      <c r="E15" s="2364"/>
      <c r="F15" s="2365"/>
      <c r="H15" s="1075"/>
    </row>
    <row r="16" spans="1:8" s="310" customFormat="1" ht="51.75" hidden="1" customHeight="1" x14ac:dyDescent="0.2">
      <c r="A16" s="2359" t="s">
        <v>1787</v>
      </c>
      <c r="B16" s="2359"/>
      <c r="C16" s="2359"/>
      <c r="D16" s="2359"/>
      <c r="E16" s="2359"/>
      <c r="F16" s="310" t="s">
        <v>1438</v>
      </c>
    </row>
    <row r="17" spans="1:6" hidden="1" x14ac:dyDescent="0.2">
      <c r="A17" s="316" t="s">
        <v>1788</v>
      </c>
      <c r="F17" s="1087" t="s">
        <v>1439</v>
      </c>
    </row>
    <row r="18" spans="1:6" hidden="1" x14ac:dyDescent="0.2">
      <c r="A18" s="316" t="s">
        <v>1789</v>
      </c>
      <c r="F18" s="316" t="s">
        <v>1477</v>
      </c>
    </row>
    <row r="19" spans="1:6" hidden="1" x14ac:dyDescent="0.2">
      <c r="A19" s="316" t="s">
        <v>1476</v>
      </c>
      <c r="F19" s="316" t="s">
        <v>1441</v>
      </c>
    </row>
    <row r="20" spans="1:6" ht="14.25" customHeight="1" x14ac:dyDescent="0.2"/>
    <row r="21" spans="1:6" x14ac:dyDescent="0.2">
      <c r="B21" s="1088"/>
    </row>
    <row r="48" spans="3:3" x14ac:dyDescent="0.2">
      <c r="C48" s="1087"/>
    </row>
  </sheetData>
  <sheetProtection algorithmName="SHA-512" hashValue="JFdRORx6kcJAeGfSGdcH2dqGZfSSL0gYrXhmY+WzAyO26zC4rL/lGCilFzoGc/lyEzR54tH/tTDRejvBRzgU6w==" saltValue="BuDkqExCwByQQu2t6r39E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indexed="39"/>
  </sheetPr>
  <dimension ref="A1:L82"/>
  <sheetViews>
    <sheetView showGridLines="0" defaultGridColor="0" topLeftCell="A47" colorId="8" zoomScale="110" zoomScaleNormal="110" workbookViewId="0"/>
  </sheetViews>
  <sheetFormatPr defaultColWidth="9.140625" defaultRowHeight="12" x14ac:dyDescent="0.2"/>
  <cols>
    <col min="1" max="1" width="2.7109375" style="1134" customWidth="1"/>
    <col min="2" max="2" width="3.140625" style="1134" customWidth="1"/>
    <col min="3" max="3" width="96.140625" style="1074" customWidth="1"/>
    <col min="4" max="4" width="42.140625" style="242" customWidth="1"/>
    <col min="5" max="5" width="2.7109375" style="1093" customWidth="1"/>
    <col min="6" max="6" width="1" style="1093" customWidth="1"/>
    <col min="7" max="16384" width="9.140625" style="1093"/>
  </cols>
  <sheetData>
    <row r="1" spans="1:4" ht="4.5" customHeight="1" thickBot="1" x14ac:dyDescent="0.25">
      <c r="A1" s="1089"/>
      <c r="B1" s="1090"/>
      <c r="C1" s="1091"/>
      <c r="D1" s="1092"/>
    </row>
    <row r="2" spans="1:4" ht="7.5" customHeight="1" thickTop="1" x14ac:dyDescent="0.2">
      <c r="A2" s="1922"/>
      <c r="B2" s="1923"/>
      <c r="C2" s="1924"/>
      <c r="D2" s="1925"/>
    </row>
    <row r="3" spans="1:4" ht="36" customHeight="1" x14ac:dyDescent="0.2">
      <c r="A3" s="2381" t="s">
        <v>686</v>
      </c>
      <c r="B3" s="2382"/>
      <c r="C3" s="2382"/>
      <c r="D3" s="2383"/>
    </row>
    <row r="4" spans="1:4" x14ac:dyDescent="0.2">
      <c r="A4" s="1153" t="s">
        <v>1793</v>
      </c>
      <c r="B4" s="1154"/>
      <c r="C4" s="1155"/>
      <c r="D4" s="1156"/>
    </row>
    <row r="5" spans="1:4" ht="21" customHeight="1" x14ac:dyDescent="0.2">
      <c r="A5" s="1149"/>
      <c r="B5" s="1150">
        <v>1</v>
      </c>
      <c r="C5" s="1151" t="s">
        <v>1943</v>
      </c>
      <c r="D5" s="1152"/>
    </row>
    <row r="6" spans="1:4" s="669" customFormat="1" ht="14.25" customHeight="1" x14ac:dyDescent="0.2">
      <c r="A6" s="1139"/>
      <c r="B6" s="1094">
        <f t="shared" ref="B6:B13" si="0">B5+1</f>
        <v>2</v>
      </c>
      <c r="C6" s="1095" t="s">
        <v>919</v>
      </c>
      <c r="D6" s="1096"/>
    </row>
    <row r="7" spans="1:4" s="669" customFormat="1" ht="12.75" x14ac:dyDescent="0.2">
      <c r="A7" s="1139"/>
      <c r="B7" s="1094">
        <f t="shared" si="0"/>
        <v>3</v>
      </c>
      <c r="C7" s="2392" t="s">
        <v>1584</v>
      </c>
      <c r="D7" s="2393"/>
    </row>
    <row r="8" spans="1:4" s="669" customFormat="1" ht="12.75" x14ac:dyDescent="0.2">
      <c r="A8" s="1139"/>
      <c r="B8" s="1094"/>
      <c r="C8" s="1097" t="s">
        <v>1583</v>
      </c>
      <c r="D8" s="1098"/>
    </row>
    <row r="9" spans="1:4" s="669" customFormat="1" ht="14.25" customHeight="1" x14ac:dyDescent="0.2">
      <c r="A9" s="1139"/>
      <c r="B9" s="1094">
        <f>B7+1</f>
        <v>4</v>
      </c>
      <c r="C9" s="1095" t="s">
        <v>2045</v>
      </c>
      <c r="D9" s="1096"/>
    </row>
    <row r="10" spans="1:4" s="669" customFormat="1" ht="14.25" customHeight="1" x14ac:dyDescent="0.2">
      <c r="A10" s="1139"/>
      <c r="B10" s="1094">
        <f t="shared" si="0"/>
        <v>5</v>
      </c>
      <c r="C10" s="1095" t="s">
        <v>660</v>
      </c>
      <c r="D10" s="1096"/>
    </row>
    <row r="11" spans="1:4" s="669" customFormat="1" ht="14.25" customHeight="1" x14ac:dyDescent="0.2">
      <c r="A11" s="1139"/>
      <c r="B11" s="1094">
        <f t="shared" si="0"/>
        <v>6</v>
      </c>
      <c r="C11" s="1095" t="s">
        <v>811</v>
      </c>
      <c r="D11" s="1096"/>
    </row>
    <row r="12" spans="1:4" s="669" customFormat="1" ht="14.25" customHeight="1" x14ac:dyDescent="0.2">
      <c r="A12" s="1139"/>
      <c r="B12" s="1094">
        <f t="shared" si="0"/>
        <v>7</v>
      </c>
      <c r="C12" s="1095" t="s">
        <v>1122</v>
      </c>
      <c r="D12" s="1096"/>
    </row>
    <row r="13" spans="1:4" s="669" customFormat="1" ht="14.25" customHeight="1" x14ac:dyDescent="0.2">
      <c r="A13" s="1139"/>
      <c r="B13" s="1094">
        <f t="shared" si="0"/>
        <v>8</v>
      </c>
      <c r="C13" s="1135" t="s">
        <v>812</v>
      </c>
      <c r="D13" s="1096"/>
    </row>
    <row r="14" spans="1:4" s="669" customFormat="1" ht="14.25" customHeight="1" x14ac:dyDescent="0.2">
      <c r="A14" s="1139"/>
      <c r="B14" s="1136">
        <v>9</v>
      </c>
      <c r="C14" s="1137" t="s">
        <v>1585</v>
      </c>
      <c r="D14" s="1138"/>
    </row>
    <row r="15" spans="1:4" s="669" customFormat="1" ht="21.75" customHeight="1" x14ac:dyDescent="0.2">
      <c r="A15" s="2384" t="s">
        <v>1065</v>
      </c>
      <c r="B15" s="2385"/>
      <c r="C15" s="2385"/>
      <c r="D15" s="2386"/>
    </row>
    <row r="16" spans="1:4" s="669" customFormat="1" ht="24" customHeight="1" x14ac:dyDescent="0.2">
      <c r="A16" s="2387" t="s">
        <v>684</v>
      </c>
      <c r="B16" s="2388"/>
      <c r="C16" s="2388"/>
      <c r="D16" s="2389"/>
    </row>
    <row r="17" spans="1:10" s="669" customFormat="1" ht="12.75" customHeight="1" x14ac:dyDescent="0.2">
      <c r="A17" s="1157" t="s">
        <v>1794</v>
      </c>
      <c r="B17" s="1158"/>
      <c r="C17" s="1159"/>
      <c r="D17" s="1160"/>
    </row>
    <row r="18" spans="1:10" s="669" customFormat="1" ht="12.75" customHeight="1" x14ac:dyDescent="0.2">
      <c r="A18" s="1161" t="s">
        <v>1795</v>
      </c>
      <c r="B18" s="1162"/>
      <c r="C18" s="1163"/>
      <c r="D18" s="1164"/>
    </row>
    <row r="19" spans="1:10" ht="6.75" customHeight="1" thickBot="1" x14ac:dyDescent="0.25">
      <c r="A19" s="1165"/>
      <c r="B19" s="1166"/>
      <c r="C19" s="1167"/>
      <c r="D19" s="1168"/>
    </row>
    <row r="20" spans="1:10" s="1172" customFormat="1" ht="12.75" thickTop="1" x14ac:dyDescent="0.2">
      <c r="A20" s="1169"/>
      <c r="B20" s="1170" t="s">
        <v>1796</v>
      </c>
      <c r="C20" s="1171"/>
      <c r="D20" s="1174" t="s">
        <v>734</v>
      </c>
    </row>
    <row r="21" spans="1:10" x14ac:dyDescent="0.2">
      <c r="A21" s="1099"/>
      <c r="B21" s="1100">
        <v>1</v>
      </c>
      <c r="C21" s="2396" t="s">
        <v>332</v>
      </c>
      <c r="D21" s="2397"/>
    </row>
    <row r="22" spans="1:10" ht="12.75" x14ac:dyDescent="0.2">
      <c r="A22" s="1140"/>
      <c r="B22" s="1141">
        <v>2</v>
      </c>
      <c r="C22" s="2394" t="s">
        <v>1605</v>
      </c>
      <c r="D22" s="2395"/>
    </row>
    <row r="23" spans="1:10" ht="12.2" customHeight="1" x14ac:dyDescent="0.2">
      <c r="A23" s="1140"/>
      <c r="B23" s="1141"/>
      <c r="C23" s="1142" t="s">
        <v>1011</v>
      </c>
      <c r="D23" s="1143" t="str">
        <f>IF(COVER!O11="X","CASH",IF(COVER!O12="X","ACCRUAL ","PLEASE CHECK AN ACCOUNTING BASIS."))</f>
        <v>CASH</v>
      </c>
    </row>
    <row r="24" spans="1:10" ht="12.2" customHeight="1" x14ac:dyDescent="0.2">
      <c r="A24" s="1140"/>
      <c r="B24" s="1141"/>
      <c r="C24" s="1142" t="s">
        <v>1399</v>
      </c>
      <c r="D24" s="1143" t="str">
        <f>IF(COVER!O11="X","OK",IF(AND('Aud Quest 2'!J90=0,'Aud Quest 2'!I77&lt;DATE(2017,12,31)),"ENTER ACCOUNTING INFO",IF(AND('Aud Quest 2'!J90&gt;0,'Aud Quest 2'!I77&lt;DATE(2017,12,31)),"OK")))</f>
        <v>OK</v>
      </c>
    </row>
    <row r="25" spans="1:10" x14ac:dyDescent="0.2">
      <c r="A25" s="1101"/>
      <c r="B25" s="1102"/>
      <c r="C25" s="1103" t="s">
        <v>1607</v>
      </c>
      <c r="D25" s="1104" t="str">
        <f>IF(AND(COVER!J29="X",COVER!J30="X",COVER!L30&lt;&gt;"X"),"OK",IF(AND(COVER!J29="X",COVER!J30&lt;&gt;"X",COVER!L30="X"),"OK",IF(AND(COVER!L29="X",COVER!J30&lt;&gt;"X"),"OK","PLEASE CHECK YES or NO.")))</f>
        <v>OK</v>
      </c>
    </row>
    <row r="26" spans="1:10" x14ac:dyDescent="0.2">
      <c r="A26" s="1101"/>
      <c r="B26" s="1144"/>
      <c r="C26" s="1105" t="s">
        <v>1606</v>
      </c>
      <c r="D26" s="1106" t="str">
        <f>IF(AND(COVER!J29="X",COVER!J30="X",COVER!L29&lt;&gt;"X"),"OK",IF(AND(COVER!J29="X",COVER!J30&lt;&gt;"X",COVER!L30="X"),"SENDING AN A-133 SEPERATELY!",IF(AND(COVER!L29="X",COVER!J30&lt;&gt;"X"),"OK","PLEASE CHECK YES or NO.")))</f>
        <v>OK</v>
      </c>
    </row>
    <row r="27" spans="1:10" ht="12" hidden="1" customHeight="1" x14ac:dyDescent="0.2">
      <c r="A27" s="1107"/>
      <c r="B27" s="1144"/>
      <c r="C27" s="1103" t="s">
        <v>1032</v>
      </c>
      <c r="D27" s="1106" t="str">
        <f>IF(AND(COVER!J29="X",COVER!J31="X",COVER!L29&lt;&gt;"X"),"OK",IF(AND(COVER!J29="X",COVER!J31&lt;&gt;"X",COVER!L31="X"),"NO FINDINGS WERE ISSUED",IF(AND(COVER!L29="X",COVER!J31&lt;&gt;"X"),"OK","PLEASE CHECK YES or NO.")))</f>
        <v>NO FINDINGS WERE ISSUED</v>
      </c>
    </row>
    <row r="28" spans="1:10" ht="24" hidden="1" customHeight="1" x14ac:dyDescent="0.2">
      <c r="A28" s="1107"/>
      <c r="B28" s="1144"/>
      <c r="C28" s="1103" t="s">
        <v>897</v>
      </c>
      <c r="D28" s="1108" t="b">
        <f>IF('Aud Quest 2'!B53="X",IF('Aud Quest 2'!F53&gt;"00/00/00 ","Enter Effective Date","ok"))</f>
        <v>0</v>
      </c>
    </row>
    <row r="29" spans="1:10" x14ac:dyDescent="0.2">
      <c r="A29" s="1101"/>
      <c r="B29" s="1144"/>
      <c r="C29" s="1105" t="s">
        <v>1440</v>
      </c>
      <c r="D29" s="1106"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99"/>
      <c r="B30" s="1141">
        <f>B22+1</f>
        <v>3</v>
      </c>
      <c r="C30" s="1109" t="s">
        <v>879</v>
      </c>
      <c r="D30" s="1110"/>
    </row>
    <row r="31" spans="1:10" x14ac:dyDescent="0.2">
      <c r="A31" s="1101"/>
      <c r="B31" s="1111"/>
      <c r="C31" s="1145" t="s">
        <v>271</v>
      </c>
      <c r="D31" s="1112" t="str">
        <f>IF(SUM('FP Info 3'!J10:L10)&lt;=0.0999999,"OK","CORRECT THE TAX RATES BY MOVING THE DECIMAL TWO PLACES TO THE LEFT.")</f>
        <v>OK</v>
      </c>
      <c r="E31" s="359"/>
      <c r="F31" s="359"/>
      <c r="G31" s="359"/>
      <c r="H31" s="359"/>
      <c r="I31" s="359"/>
      <c r="J31" s="359"/>
    </row>
    <row r="32" spans="1:10" x14ac:dyDescent="0.2">
      <c r="A32" s="1101"/>
      <c r="B32" s="1146"/>
      <c r="C32" s="1113" t="s">
        <v>1035</v>
      </c>
      <c r="D32" s="1104" t="str">
        <f>IF(OR(COVER!B6="x",'FP Info 3'!B31="X",'FP Info 3'!B32="X"),"OK","ENTRY IS REQUIRED!")</f>
        <v>OK</v>
      </c>
    </row>
    <row r="33" spans="1:12" s="1117" customFormat="1" ht="12.75" customHeight="1" x14ac:dyDescent="0.2">
      <c r="A33" s="1114"/>
      <c r="B33" s="1141">
        <f>B30+1</f>
        <v>4</v>
      </c>
      <c r="C33" s="1115" t="s">
        <v>813</v>
      </c>
      <c r="D33" s="1116"/>
    </row>
    <row r="34" spans="1:12" s="1117" customFormat="1" x14ac:dyDescent="0.2">
      <c r="A34" s="1118"/>
      <c r="B34" s="1141"/>
      <c r="C34" s="1119" t="s">
        <v>880</v>
      </c>
      <c r="D34" s="1104" t="str">
        <f>IF('Assets-Liab 5-6'!C4&lt;-0.49, "ERROR!","OK")</f>
        <v>OK</v>
      </c>
    </row>
    <row r="35" spans="1:12" x14ac:dyDescent="0.2">
      <c r="A35" s="1118"/>
      <c r="B35" s="1141"/>
      <c r="C35" s="1119" t="s">
        <v>324</v>
      </c>
      <c r="D35" s="1104" t="str">
        <f>IF('Assets-Liab 5-6'!D4&lt;-0.49, "ERROR!","OK")</f>
        <v>OK</v>
      </c>
      <c r="L35" s="1173"/>
    </row>
    <row r="36" spans="1:12" x14ac:dyDescent="0.2">
      <c r="A36" s="1118"/>
      <c r="B36" s="1141"/>
      <c r="C36" s="1119" t="s">
        <v>814</v>
      </c>
      <c r="D36" s="1104" t="str">
        <f>IF('Assets-Liab 5-6'!E4&lt;-0.49, "ERROR!","OK")</f>
        <v>OK</v>
      </c>
    </row>
    <row r="37" spans="1:12" x14ac:dyDescent="0.2">
      <c r="A37" s="1118"/>
      <c r="B37" s="1141"/>
      <c r="C37" s="1119" t="s">
        <v>325</v>
      </c>
      <c r="D37" s="1104" t="str">
        <f>IF('Assets-Liab 5-6'!F4&lt;-0.49, "ERROR!","OK")</f>
        <v>OK</v>
      </c>
    </row>
    <row r="38" spans="1:12" x14ac:dyDescent="0.2">
      <c r="A38" s="1118"/>
      <c r="B38" s="1141"/>
      <c r="C38" s="1119" t="s">
        <v>326</v>
      </c>
      <c r="D38" s="1104" t="str">
        <f>IF('Assets-Liab 5-6'!G4&lt;-0.49, "ERROR!","OK")</f>
        <v>OK</v>
      </c>
    </row>
    <row r="39" spans="1:12" x14ac:dyDescent="0.2">
      <c r="A39" s="1118"/>
      <c r="B39" s="1141"/>
      <c r="C39" s="1119" t="s">
        <v>815</v>
      </c>
      <c r="D39" s="1104" t="str">
        <f>IF('Assets-Liab 5-6'!H4&lt;-0.49, "ERROR!","OK")</f>
        <v>OK</v>
      </c>
    </row>
    <row r="40" spans="1:12" x14ac:dyDescent="0.2">
      <c r="A40" s="1118"/>
      <c r="B40" s="1141"/>
      <c r="C40" s="1119" t="s">
        <v>327</v>
      </c>
      <c r="D40" s="1104" t="str">
        <f>IF('Assets-Liab 5-6'!I4&lt;-0.49, "ERROR!","OK")</f>
        <v>OK</v>
      </c>
    </row>
    <row r="41" spans="1:12" x14ac:dyDescent="0.2">
      <c r="A41" s="1118"/>
      <c r="B41" s="1141"/>
      <c r="C41" s="1119" t="s">
        <v>816</v>
      </c>
      <c r="D41" s="1104" t="str">
        <f>IF('Assets-Liab 5-6'!J4&lt;-0.49, "ERROR!","OK")</f>
        <v>OK</v>
      </c>
    </row>
    <row r="42" spans="1:12" x14ac:dyDescent="0.2">
      <c r="A42" s="1118"/>
      <c r="B42" s="1141"/>
      <c r="C42" s="1119" t="s">
        <v>328</v>
      </c>
      <c r="D42" s="1104" t="str">
        <f>IF('Assets-Liab 5-6'!K4&lt;-0.49, "ERROR!","OK")</f>
        <v>OK</v>
      </c>
    </row>
    <row r="43" spans="1:12" x14ac:dyDescent="0.2">
      <c r="A43" s="1120"/>
      <c r="B43" s="1121">
        <f>B33+1</f>
        <v>5</v>
      </c>
      <c r="C43" s="2398" t="s">
        <v>557</v>
      </c>
      <c r="D43" s="2399"/>
    </row>
    <row r="44" spans="1:12" x14ac:dyDescent="0.2">
      <c r="A44" s="1120"/>
      <c r="B44" s="1122"/>
      <c r="C44" s="1123" t="s">
        <v>1402</v>
      </c>
      <c r="D44" s="1124" t="str">
        <f>IF(SUM('Assets-Liab 5-6'!C13)&lt;&gt;SUM('Assets-Liab 5-6'!C41),"ERROR!","OK")</f>
        <v>OK</v>
      </c>
    </row>
    <row r="45" spans="1:12" x14ac:dyDescent="0.2">
      <c r="A45" s="1120"/>
      <c r="B45" s="1122"/>
      <c r="C45" s="1123" t="s">
        <v>1403</v>
      </c>
      <c r="D45" s="1124" t="str">
        <f>IF(SUM('Assets-Liab 5-6'!D13)&lt;&gt;SUM('Assets-Liab 5-6'!D41),"ERROR!","OK")</f>
        <v>OK</v>
      </c>
    </row>
    <row r="46" spans="1:12" x14ac:dyDescent="0.2">
      <c r="A46" s="1120"/>
      <c r="B46" s="1122"/>
      <c r="C46" s="1123" t="s">
        <v>1404</v>
      </c>
      <c r="D46" s="1124" t="str">
        <f>IF(SUM('Assets-Liab 5-6'!E13)&lt;&gt;SUM('Assets-Liab 5-6'!E41),"ERROR!","OK")</f>
        <v>OK</v>
      </c>
    </row>
    <row r="47" spans="1:12" x14ac:dyDescent="0.2">
      <c r="A47" s="1120"/>
      <c r="B47" s="1122"/>
      <c r="C47" s="1123" t="s">
        <v>1405</v>
      </c>
      <c r="D47" s="1124" t="str">
        <f>IF(SUM('Assets-Liab 5-6'!F13)&lt;&gt;SUM('Assets-Liab 5-6'!F41),"ERROR!","OK")</f>
        <v>OK</v>
      </c>
    </row>
    <row r="48" spans="1:12" x14ac:dyDescent="0.2">
      <c r="A48" s="1120"/>
      <c r="B48" s="1122"/>
      <c r="C48" s="1123" t="s">
        <v>1406</v>
      </c>
      <c r="D48" s="1124" t="str">
        <f>IF(SUM('Assets-Liab 5-6'!G13)&lt;&gt;SUM('Assets-Liab 5-6'!G41),"ERROR!","OK")</f>
        <v>OK</v>
      </c>
    </row>
    <row r="49" spans="1:4" x14ac:dyDescent="0.2">
      <c r="A49" s="1120"/>
      <c r="B49" s="1122"/>
      <c r="C49" s="1123" t="s">
        <v>1407</v>
      </c>
      <c r="D49" s="1124" t="str">
        <f>IF(SUM('Assets-Liab 5-6'!H13)&lt;&gt;SUM('Assets-Liab 5-6'!H41),"ERROR!","OK")</f>
        <v>OK</v>
      </c>
    </row>
    <row r="50" spans="1:4" x14ac:dyDescent="0.2">
      <c r="A50" s="1120"/>
      <c r="B50" s="1122"/>
      <c r="C50" s="1123" t="s">
        <v>1408</v>
      </c>
      <c r="D50" s="1124" t="str">
        <f>IF(SUM('Assets-Liab 5-6'!I13)&lt;&gt;SUM('Assets-Liab 5-6'!I41),"ERROR!","OK")</f>
        <v>OK</v>
      </c>
    </row>
    <row r="51" spans="1:4" x14ac:dyDescent="0.2">
      <c r="A51" s="1120"/>
      <c r="B51" s="1122"/>
      <c r="C51" s="1123" t="s">
        <v>1409</v>
      </c>
      <c r="D51" s="1124" t="str">
        <f>IF(SUM('Assets-Liab 5-6'!J13)&lt;&gt;SUM('Assets-Liab 5-6'!J41),"ERROR!","OK")</f>
        <v>OK</v>
      </c>
    </row>
    <row r="52" spans="1:4" x14ac:dyDescent="0.2">
      <c r="A52" s="1120"/>
      <c r="B52" s="1122"/>
      <c r="C52" s="1123" t="s">
        <v>1410</v>
      </c>
      <c r="D52" s="1124" t="str">
        <f>IF(SUM('Assets-Liab 5-6'!K13)&lt;&gt;SUM('Assets-Liab 5-6'!K41),"ERROR!","OK")</f>
        <v>OK</v>
      </c>
    </row>
    <row r="53" spans="1:4" x14ac:dyDescent="0.2">
      <c r="A53" s="1120"/>
      <c r="B53" s="1122"/>
      <c r="C53" s="1123" t="s">
        <v>1411</v>
      </c>
      <c r="D53" s="1124" t="str">
        <f>IF(SUM('Assets-Liab 5-6'!L13)&lt;&gt;('Assets-Liab 5-6'!L41),"ERROR!","OK")</f>
        <v>OK</v>
      </c>
    </row>
    <row r="54" spans="1:4" x14ac:dyDescent="0.2">
      <c r="A54" s="1120"/>
      <c r="B54" s="1122"/>
      <c r="C54" s="1123" t="s">
        <v>1412</v>
      </c>
      <c r="D54" s="1124" t="str">
        <f>IF(SUM('Assets-Liab 5-6'!M23)&lt;&gt;('Assets-Liab 5-6'!M41),"ERROR!","OK")</f>
        <v>OK</v>
      </c>
    </row>
    <row r="55" spans="1:4" x14ac:dyDescent="0.2">
      <c r="A55" s="1120"/>
      <c r="B55" s="1122"/>
      <c r="C55" s="1123" t="s">
        <v>1413</v>
      </c>
      <c r="D55" s="1124" t="str">
        <f>IF(SUM('Assets-Liab 5-6'!N23)&lt;&gt;('Assets-Liab 5-6'!N41),"ERROR!","OK")</f>
        <v>OK</v>
      </c>
    </row>
    <row r="56" spans="1:4" x14ac:dyDescent="0.2">
      <c r="A56" s="1101"/>
      <c r="B56" s="1121">
        <f>B43+1</f>
        <v>6</v>
      </c>
      <c r="C56" s="2390" t="s">
        <v>817</v>
      </c>
      <c r="D56" s="2391"/>
    </row>
    <row r="57" spans="1:4" s="1117" customFormat="1" x14ac:dyDescent="0.2">
      <c r="A57" s="1101"/>
      <c r="B57" s="1111"/>
      <c r="C57" s="1119" t="s">
        <v>1414</v>
      </c>
      <c r="D57" s="1125" t="str">
        <f>IF('Assets-Liab 5-6'!C38+'Assets-Liab 5-6'!C39='Acct Summary 7-8'!C81,"OK","ERROR!")</f>
        <v>OK</v>
      </c>
    </row>
    <row r="58" spans="1:4" x14ac:dyDescent="0.2">
      <c r="A58" s="1101"/>
      <c r="B58" s="1111"/>
      <c r="C58" s="1119" t="s">
        <v>1415</v>
      </c>
      <c r="D58" s="1125" t="str">
        <f>IF((('Assets-Liab 5-6'!D38+'Assets-Liab 5-6'!D39) ='Acct Summary 7-8'!D81), "OK", "ERROR!" )</f>
        <v>OK</v>
      </c>
    </row>
    <row r="59" spans="1:4" s="1117" customFormat="1" x14ac:dyDescent="0.2">
      <c r="A59" s="1101"/>
      <c r="B59" s="1111"/>
      <c r="C59" s="1119" t="s">
        <v>1416</v>
      </c>
      <c r="D59" s="1125" t="str">
        <f>IF((('Assets-Liab 5-6'!E38 + 'Assets-Liab 5-6'!E39) ='Acct Summary 7-8'!E81), "OK", "ERROR!" )</f>
        <v>OK</v>
      </c>
    </row>
    <row r="60" spans="1:4" x14ac:dyDescent="0.2">
      <c r="A60" s="1101"/>
      <c r="B60" s="1111"/>
      <c r="C60" s="1119" t="s">
        <v>1417</v>
      </c>
      <c r="D60" s="1125" t="str">
        <f>IF((('Assets-Liab 5-6'!F38 + 'Assets-Liab 5-6'!F39) ='Acct Summary 7-8'!F81), "OK", "ERROR!" )</f>
        <v>OK</v>
      </c>
    </row>
    <row r="61" spans="1:4" ht="12.75" customHeight="1" x14ac:dyDescent="0.2">
      <c r="A61" s="1101"/>
      <c r="B61" s="1111"/>
      <c r="C61" s="1119" t="s">
        <v>1430</v>
      </c>
      <c r="D61" s="1125" t="str">
        <f>IF((('Assets-Liab 5-6'!G38 + 'Assets-Liab 5-6'!G39) ='Acct Summary 7-8'!G81), "OK", "ERROR!" )</f>
        <v>OK</v>
      </c>
    </row>
    <row r="62" spans="1:4" x14ac:dyDescent="0.2">
      <c r="A62" s="1101"/>
      <c r="B62" s="1111"/>
      <c r="C62" s="1119" t="s">
        <v>1418</v>
      </c>
      <c r="D62" s="1125" t="str">
        <f>IF((('Assets-Liab 5-6'!H38 + 'Assets-Liab 5-6'!H39) ='Acct Summary 7-8'!H81), "OK", "ERROR!" )</f>
        <v>OK</v>
      </c>
    </row>
    <row r="63" spans="1:4" ht="12.75" customHeight="1" x14ac:dyDescent="0.2">
      <c r="A63" s="1101"/>
      <c r="B63" s="1111"/>
      <c r="C63" s="1119" t="s">
        <v>1419</v>
      </c>
      <c r="D63" s="1125" t="str">
        <f>IF((('Assets-Liab 5-6'!I38 + 'Assets-Liab 5-6'!I39) ='Acct Summary 7-8'!I81), "OK", "ERROR!" )</f>
        <v>OK</v>
      </c>
    </row>
    <row r="64" spans="1:4" x14ac:dyDescent="0.2">
      <c r="A64" s="1101"/>
      <c r="B64" s="1111"/>
      <c r="C64" s="1119" t="s">
        <v>1420</v>
      </c>
      <c r="D64" s="1125" t="str">
        <f>IF((('Assets-Liab 5-6'!J38 + 'Assets-Liab 5-6'!J39) ='Acct Summary 7-8'!J81), "OK", "ERROR!" )</f>
        <v>OK</v>
      </c>
    </row>
    <row r="65" spans="1:4" x14ac:dyDescent="0.2">
      <c r="A65" s="1118"/>
      <c r="B65" s="1111"/>
      <c r="C65" s="1119" t="s">
        <v>1431</v>
      </c>
      <c r="D65" s="1125" t="str">
        <f>IF((('Assets-Liab 5-6'!K38 + 'Assets-Liab 5-6'!K39) ='Acct Summary 7-8'!K81), "OK", "ERROR!" )</f>
        <v>OK</v>
      </c>
    </row>
    <row r="66" spans="1:4" x14ac:dyDescent="0.2">
      <c r="A66" s="1099"/>
      <c r="B66" s="1141">
        <f>B56+1+1</f>
        <v>8</v>
      </c>
      <c r="C66" s="1147" t="s">
        <v>2046</v>
      </c>
      <c r="D66" s="1126"/>
    </row>
    <row r="67" spans="1:4" x14ac:dyDescent="0.2">
      <c r="A67" s="1120"/>
      <c r="B67" s="1141"/>
      <c r="C67" s="1148" t="s">
        <v>1079</v>
      </c>
      <c r="D67" s="1126"/>
    </row>
    <row r="68" spans="1:4" x14ac:dyDescent="0.2">
      <c r="A68" s="1101"/>
      <c r="B68" s="1111"/>
      <c r="C68" s="1103" t="s">
        <v>2047</v>
      </c>
      <c r="D68" s="1125" t="str">
        <f>IF('Short-Term Long-Term Debt 24'!F49=SUM(,'Acct Summary 7-8'!C33:K33),"OK","ERROR!")</f>
        <v>OK</v>
      </c>
    </row>
    <row r="69" spans="1:4" x14ac:dyDescent="0.2">
      <c r="A69" s="1101"/>
      <c r="B69" s="1111"/>
      <c r="C69" s="1103" t="s">
        <v>2048</v>
      </c>
      <c r="D69" s="1125" t="str">
        <f>IF('Expenditures 15-22'!H170&lt;&gt;'Short-Term Long-Term Debt 24'!H49,"ERROR!","OK")</f>
        <v>ERROR!</v>
      </c>
    </row>
    <row r="70" spans="1:4" x14ac:dyDescent="0.2">
      <c r="A70" s="1099"/>
      <c r="B70" s="1121">
        <f>B66+1</f>
        <v>9</v>
      </c>
      <c r="C70" s="2390" t="s">
        <v>1797</v>
      </c>
      <c r="D70" s="2391"/>
    </row>
    <row r="71" spans="1:4" x14ac:dyDescent="0.2">
      <c r="A71" s="1099"/>
      <c r="B71" s="1121"/>
      <c r="C71" s="1103" t="s">
        <v>1421</v>
      </c>
      <c r="D71" s="1127" t="str">
        <f>IF(SUM('Acct Summary 7-8'!C27:K27) =SUM( 'Acct Summary 7-8'!C49:K49),"OK", "ERROR")</f>
        <v>OK</v>
      </c>
    </row>
    <row r="72" spans="1:4" x14ac:dyDescent="0.2">
      <c r="A72" s="1101"/>
      <c r="B72" s="1111"/>
      <c r="C72" s="1119" t="s">
        <v>1422</v>
      </c>
      <c r="D72" s="1125" t="str">
        <f>IF(SUM('Acct Summary 7-8'!C28:K28)=SUM('Acct Summary 7-8'!C50:K50),"OK","ERROR!")</f>
        <v>OK</v>
      </c>
    </row>
    <row r="73" spans="1:4" ht="24" x14ac:dyDescent="0.2">
      <c r="A73" s="1128"/>
      <c r="B73" s="1111"/>
      <c r="C73" s="1119" t="s">
        <v>1798</v>
      </c>
      <c r="D73" s="1127" t="str">
        <f>IF(SUM('Acct Summary 7-8'!C42:K42)&gt;=SUM( 'Acct Summary 7-8'!C74:K74),"OK", "ERROR")</f>
        <v>OK</v>
      </c>
    </row>
    <row r="74" spans="1:4" x14ac:dyDescent="0.2">
      <c r="A74" s="1099"/>
      <c r="B74" s="1121">
        <f>B70+1</f>
        <v>10</v>
      </c>
      <c r="C74" s="1115" t="s">
        <v>2049</v>
      </c>
      <c r="D74" s="1129"/>
    </row>
    <row r="75" spans="1:4" x14ac:dyDescent="0.2">
      <c r="A75" s="1101"/>
      <c r="B75" s="1111"/>
      <c r="C75" s="1119" t="s">
        <v>1444</v>
      </c>
      <c r="D75" s="1125" t="str">
        <f>IF(SUM('Assets-Liab 5-6'!C38:H38)&gt;=SUM('Rest Tax Levies-Tort Im 25'!G25:K25),"OK","ERROR")</f>
        <v>OK</v>
      </c>
    </row>
    <row r="76" spans="1:4" x14ac:dyDescent="0.2">
      <c r="A76" s="1101"/>
      <c r="B76" s="1111"/>
      <c r="C76" s="1119" t="s">
        <v>1490</v>
      </c>
      <c r="D76" s="1125" t="str">
        <f>IF(SUM('Assets-Liab 5-6'!C39:K39)&gt;0,"OK","ENTRY IS REQUIRED!")</f>
        <v>OK</v>
      </c>
    </row>
    <row r="77" spans="1:4" x14ac:dyDescent="0.2">
      <c r="A77" s="1101"/>
      <c r="B77" s="1130">
        <f>B74+1</f>
        <v>11</v>
      </c>
      <c r="C77" s="1175" t="s">
        <v>1445</v>
      </c>
      <c r="D77" s="1125"/>
    </row>
    <row r="78" spans="1:4" x14ac:dyDescent="0.2">
      <c r="A78" s="1101"/>
      <c r="B78" s="1111"/>
      <c r="C78" s="1119" t="s">
        <v>2050</v>
      </c>
      <c r="D78" s="1125" t="str">
        <f>IF(ISNUMBER('Acct Summary 7-8'!C9),"OK","ENTRY IS REQUIRED!")</f>
        <v>OK</v>
      </c>
    </row>
    <row r="79" spans="1:4" x14ac:dyDescent="0.2">
      <c r="A79" s="1120"/>
      <c r="B79" s="1121">
        <f>B74+1+1</f>
        <v>12</v>
      </c>
      <c r="C79" s="1131" t="s">
        <v>2016</v>
      </c>
      <c r="D79" s="1132" t="str">
        <f>IF(OR(COVER!$B$6="X",'PCTC-OEPP 27-28'!F78&gt;0),"OK","PLEASE ENTER 9 MO ADA.")</f>
        <v>OK</v>
      </c>
    </row>
    <row r="80" spans="1:4" x14ac:dyDescent="0.2">
      <c r="A80" s="1099"/>
      <c r="B80" s="1121">
        <v>13</v>
      </c>
      <c r="C80" s="1131" t="s">
        <v>2051</v>
      </c>
      <c r="D80" s="1132" t="str">
        <f>IF('Contracts Paid in CY 29'!D141&gt;0,"OK","PLEASE ENTER CONTRACTS PAID IN CURRENT YEAR.")</f>
        <v>PLEASE ENTER CONTRACTS PAID IN CURRENT YEAR.</v>
      </c>
    </row>
    <row r="81" spans="1:4" x14ac:dyDescent="0.2">
      <c r="A81" s="1099"/>
      <c r="B81" s="1121">
        <v>14</v>
      </c>
      <c r="C81" s="1131" t="s">
        <v>1496</v>
      </c>
      <c r="D81" s="1124" t="str">
        <f>IF('Shared Outsourced Services 31'!B8="X","OK",IF('Shared Outsourced Services 31'!K34&gt;0,"OK","ENTRY REQUIRED!"))</f>
        <v>OK</v>
      </c>
    </row>
    <row r="82" spans="1:4" x14ac:dyDescent="0.2">
      <c r="A82" s="1120"/>
      <c r="B82" s="1121">
        <v>15</v>
      </c>
      <c r="C82" s="1131" t="s">
        <v>1495</v>
      </c>
      <c r="D82" s="1133" t="str">
        <f>IF(COVER!B5="X",IF('AC32'!J19=0,"ENTER BUDGET DATA!","OK"),"OK")</f>
        <v>OK</v>
      </c>
    </row>
  </sheetData>
  <sheetProtection algorithmName="SHA-512" hashValue="vq5Qoc31DNCCqoLA6zlp82BOergRIBKEsEl4GAQKIhwnR+Hqq64k9MxEjqcUPwDM1G70LWYIAlWObLcR5w6qUA==" saltValue="vtFcMY4BEjsCjbLvYP2LqA==" spinCount="100000" sheet="1" objects="1" scenarios="1"/>
  <mergeCells count="9">
    <mergeCell ref="A3:D3"/>
    <mergeCell ref="A15:D15"/>
    <mergeCell ref="A16:D16"/>
    <mergeCell ref="C56:D56"/>
    <mergeCell ref="C70:D70"/>
    <mergeCell ref="C7:D7"/>
    <mergeCell ref="C22:D22"/>
    <mergeCell ref="C21:D21"/>
    <mergeCell ref="C43:D43"/>
  </mergeCells>
  <phoneticPr fontId="13"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F7800"/>
  <sheetViews>
    <sheetView zoomScaleNormal="100" workbookViewId="0">
      <pane ySplit="1" topLeftCell="A52" activePane="bottomLeft" state="frozen"/>
      <selection activeCell="W22" sqref="W22"/>
      <selection pane="bottomLeft" activeCell="D1" sqref="D1:D1048576"/>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576</v>
      </c>
      <c r="B1" s="138" t="s">
        <v>279</v>
      </c>
    </row>
    <row r="2" spans="1:2" x14ac:dyDescent="0.2">
      <c r="A2" t="s">
        <v>280</v>
      </c>
      <c r="B2" s="138" t="str">
        <f>COVER!A13</f>
        <v>09-010-1370-02</v>
      </c>
    </row>
    <row r="3" spans="1:2" x14ac:dyDescent="0.2">
      <c r="A3" t="s">
        <v>1013</v>
      </c>
      <c r="B3" s="138" t="str">
        <f>COVER!A15</f>
        <v>CHAMPAIGN</v>
      </c>
    </row>
    <row r="4" spans="1:2" x14ac:dyDescent="0.2">
      <c r="A4" t="s">
        <v>1064</v>
      </c>
      <c r="B4" s="138" t="str">
        <f>COVER!A17</f>
        <v>RANTOUL CITY SCHOOLS</v>
      </c>
    </row>
    <row r="5" spans="1:2" x14ac:dyDescent="0.2">
      <c r="A5" t="s">
        <v>728</v>
      </c>
      <c r="B5" s="138" t="str">
        <f>COVER!A38</f>
        <v>Michelle Ramage</v>
      </c>
    </row>
    <row r="6" spans="1:2" x14ac:dyDescent="0.2">
      <c r="A6" t="s">
        <v>733</v>
      </c>
      <c r="B6" s="138">
        <f>COVER!P35</f>
        <v>0</v>
      </c>
    </row>
    <row r="7" spans="1:2" x14ac:dyDescent="0.2">
      <c r="A7" t="s">
        <v>729</v>
      </c>
      <c r="B7" s="138">
        <f>COVER!I38</f>
        <v>0</v>
      </c>
    </row>
    <row r="8" spans="1:2" x14ac:dyDescent="0.2">
      <c r="A8" t="s">
        <v>730</v>
      </c>
      <c r="B8" s="138">
        <f>COVER!T38</f>
        <v>0</v>
      </c>
    </row>
    <row r="9" spans="1:2" x14ac:dyDescent="0.2">
      <c r="A9" s="3" t="s">
        <v>1014</v>
      </c>
      <c r="B9" s="158" t="str">
        <f>AUDITCHECK!D23</f>
        <v>CASH</v>
      </c>
    </row>
    <row r="10" spans="1:2" x14ac:dyDescent="0.2">
      <c r="A10" t="s">
        <v>1033</v>
      </c>
      <c r="B10" s="138" t="str">
        <f>COVER!B5</f>
        <v>X</v>
      </c>
    </row>
    <row r="11" spans="1:2" x14ac:dyDescent="0.2">
      <c r="A11" t="s">
        <v>1034</v>
      </c>
      <c r="B11" s="138">
        <f>COVER!B6</f>
        <v>0</v>
      </c>
    </row>
    <row r="12" spans="1:2" x14ac:dyDescent="0.2">
      <c r="A12" s="1" t="s">
        <v>1624</v>
      </c>
      <c r="B12" s="138" t="str">
        <f>IF(COVER!J29="x","Yes",IF(COVER!L29="X","No",0))</f>
        <v>Yes</v>
      </c>
    </row>
    <row r="13" spans="1:2" x14ac:dyDescent="0.2">
      <c r="A13" s="1" t="s">
        <v>1625</v>
      </c>
      <c r="B13" s="138" t="str">
        <f>IF(COVER!J30="x","Yes",IF(COVER!L30="x","No",0))</f>
        <v>Yes</v>
      </c>
    </row>
    <row r="14" spans="1:2" x14ac:dyDescent="0.2">
      <c r="A14" t="s">
        <v>497</v>
      </c>
      <c r="B14" s="138" t="str">
        <f>IF(COVER!J31="x","Yes",IF(COVER!L31="x","No",0))</f>
        <v>No</v>
      </c>
    </row>
    <row r="15" spans="1:2" x14ac:dyDescent="0.2">
      <c r="A15" t="s">
        <v>598</v>
      </c>
      <c r="B15" s="138" t="str">
        <f>COVER!T23</f>
        <v>065-018319</v>
      </c>
    </row>
    <row r="16" spans="1:2" x14ac:dyDescent="0.2">
      <c r="A16" t="s">
        <v>442</v>
      </c>
      <c r="B16" s="138" t="str">
        <f>COVER!T13</f>
        <v>RUSSELL LEIGH &amp; ASSOCIATES</v>
      </c>
    </row>
    <row r="17" spans="1:2" x14ac:dyDescent="0.2">
      <c r="A17" t="s">
        <v>939</v>
      </c>
      <c r="B17" s="138" t="str">
        <f>COVER!T15</f>
        <v>RUSS LEIGH</v>
      </c>
    </row>
    <row r="18" spans="1:2" x14ac:dyDescent="0.2">
      <c r="A18" t="s">
        <v>1212</v>
      </c>
      <c r="B18" s="138" t="str">
        <f>COVER!T17</f>
        <v>228 E MAIN ST</v>
      </c>
    </row>
    <row r="19" spans="1:2" x14ac:dyDescent="0.2">
      <c r="A19" t="s">
        <v>941</v>
      </c>
      <c r="B19" s="138" t="str">
        <f>COVER!T25</f>
        <v>admin@russleigh.com</v>
      </c>
    </row>
    <row r="20" spans="1:2" x14ac:dyDescent="0.2">
      <c r="A20" t="s">
        <v>942</v>
      </c>
      <c r="B20" s="138" t="str">
        <f>COVER!T19</f>
        <v>HOOPESTON</v>
      </c>
    </row>
    <row r="21" spans="1:2" x14ac:dyDescent="0.2">
      <c r="A21" t="s">
        <v>500</v>
      </c>
      <c r="B21" s="138" t="str">
        <f>COVER!X19</f>
        <v>IL</v>
      </c>
    </row>
    <row r="22" spans="1:2" x14ac:dyDescent="0.2">
      <c r="A22" t="s">
        <v>943</v>
      </c>
      <c r="B22" s="138">
        <f>COVER!Z19</f>
        <v>60942</v>
      </c>
    </row>
    <row r="23" spans="1:2" x14ac:dyDescent="0.2">
      <c r="A23" t="s">
        <v>1214</v>
      </c>
      <c r="B23" s="138" t="str">
        <f>COVER!T21</f>
        <v>217-283-9336</v>
      </c>
    </row>
    <row r="24" spans="1:2" x14ac:dyDescent="0.2">
      <c r="A24" t="s">
        <v>1213</v>
      </c>
      <c r="B24" s="138">
        <f>COVER!Y21</f>
        <v>0</v>
      </c>
    </row>
    <row r="25" spans="1:2" x14ac:dyDescent="0.2">
      <c r="A25" t="s">
        <v>785</v>
      </c>
      <c r="B25" s="138" t="str">
        <f>COVER!B34</f>
        <v>X</v>
      </c>
    </row>
    <row r="26" spans="1:2" x14ac:dyDescent="0.2">
      <c r="A26" t="s">
        <v>1215</v>
      </c>
      <c r="B26" s="138">
        <f>COVER!L34</f>
        <v>0</v>
      </c>
    </row>
    <row r="27" spans="1:2" x14ac:dyDescent="0.2">
      <c r="A27" t="s">
        <v>286</v>
      </c>
      <c r="B27" s="138">
        <f>COVER!U34</f>
        <v>0</v>
      </c>
    </row>
    <row r="28" spans="1:2" x14ac:dyDescent="0.2">
      <c r="A28" t="s">
        <v>334</v>
      </c>
      <c r="B28" s="138" t="str">
        <f>IF('Aud Quest 2'!B9="x","Yes",IF('Aud Quest 2'!B9&lt;&gt;"x","0"))</f>
        <v>Yes</v>
      </c>
    </row>
    <row r="29" spans="1:2" x14ac:dyDescent="0.2">
      <c r="A29" t="s">
        <v>335</v>
      </c>
      <c r="B29" s="138" t="str">
        <f>IF('Aud Quest 2'!B11="x","Yes",IF('Aud Quest 2'!B11&lt;&gt;"x","0"))</f>
        <v>0</v>
      </c>
    </row>
    <row r="30" spans="1:2" x14ac:dyDescent="0.2">
      <c r="A30" t="s">
        <v>336</v>
      </c>
      <c r="B30" s="138" t="str">
        <f>IF('Aud Quest 2'!B13="x","Yes",IF('Aud Quest 2'!B13&lt;&gt;"x","0"))</f>
        <v>0</v>
      </c>
    </row>
    <row r="31" spans="1:2" x14ac:dyDescent="0.2">
      <c r="A31" t="s">
        <v>680</v>
      </c>
      <c r="B31" s="138" t="str">
        <f>IF('Aud Quest 2'!B14="x","Yes",IF('Aud Quest 2'!B14&lt;&gt;"x","0"))</f>
        <v>0</v>
      </c>
    </row>
    <row r="32" spans="1:2" x14ac:dyDescent="0.2">
      <c r="A32" t="s">
        <v>679</v>
      </c>
      <c r="B32" s="138" t="str">
        <f>IF('Aud Quest 2'!B15="x","Yes",IF('Aud Quest 2'!B15&lt;&gt;"x","0"))</f>
        <v>0</v>
      </c>
    </row>
    <row r="33" spans="1:2" x14ac:dyDescent="0.2">
      <c r="A33" t="s">
        <v>681</v>
      </c>
      <c r="B33" s="138" t="str">
        <f>IF('Aud Quest 2'!B16="x","Yes",IF('Aud Quest 2'!B16&lt;&gt;"x","0"))</f>
        <v>0</v>
      </c>
    </row>
    <row r="34" spans="1:2" x14ac:dyDescent="0.2">
      <c r="A34" t="s">
        <v>682</v>
      </c>
      <c r="B34" s="138" t="str">
        <f>IF('Aud Quest 2'!B18="x","Yes",IF('Aud Quest 2'!B18&lt;&gt;"x","0"))</f>
        <v>0</v>
      </c>
    </row>
    <row r="35" spans="1:2" x14ac:dyDescent="0.2">
      <c r="A35" t="s">
        <v>683</v>
      </c>
      <c r="B35" s="138" t="str">
        <f>IF('Aud Quest 2'!B20="x","Yes",IF('Aud Quest 2'!B20&lt;&gt;"x","0"))</f>
        <v>0</v>
      </c>
    </row>
    <row r="36" spans="1:2" x14ac:dyDescent="0.2">
      <c r="A36" t="s">
        <v>677</v>
      </c>
      <c r="B36" s="138" t="str">
        <f>IF('Aud Quest 2'!B22="x","Yes",IF('Aud Quest 2'!B22&lt;&gt;"x","0"))</f>
        <v>0</v>
      </c>
    </row>
    <row r="37" spans="1:2" x14ac:dyDescent="0.2">
      <c r="A37" t="s">
        <v>784</v>
      </c>
      <c r="B37" s="138" t="str">
        <f>IF('Aud Quest 2'!B24="x","Yes",IF('Aud Quest 2'!B24&lt;&gt;"x","0"))</f>
        <v>0</v>
      </c>
    </row>
    <row r="38" spans="1:2" x14ac:dyDescent="0.2">
      <c r="A38" t="s">
        <v>345</v>
      </c>
      <c r="B38" s="138" t="str">
        <f>IF('Aud Quest 2'!B25="x","Yes",IF('Aud Quest 2'!B25&lt;&gt;"x","0"))</f>
        <v>0</v>
      </c>
    </row>
    <row r="39" spans="1:2" x14ac:dyDescent="0.2">
      <c r="A39" t="s">
        <v>346</v>
      </c>
      <c r="B39" s="138" t="str">
        <f>IF('Aud Quest 2'!B27="x","Yes",IF('Aud Quest 2'!B27&lt;&gt;"x","0"))</f>
        <v>0</v>
      </c>
    </row>
    <row r="40" spans="1:2" x14ac:dyDescent="0.2">
      <c r="A40" t="s">
        <v>337</v>
      </c>
      <c r="B40" s="138" t="str">
        <f>IF('Aud Quest 2'!B29="x","Yes",IF('Aud Quest 2'!B29&lt;&gt;"x","0"))</f>
        <v>0</v>
      </c>
    </row>
    <row r="41" spans="1:2" x14ac:dyDescent="0.2">
      <c r="A41" t="s">
        <v>338</v>
      </c>
      <c r="B41" s="138" t="str">
        <f>IF('Aud Quest 2'!B31="x","Yes",IF('Aud Quest 2'!B31&lt;&gt;"x","0"))</f>
        <v>0</v>
      </c>
    </row>
    <row r="42" spans="1:2" x14ac:dyDescent="0.2">
      <c r="A42" t="s">
        <v>339</v>
      </c>
      <c r="B42" s="138" t="str">
        <f>IF('Aud Quest 2'!B37="x","Yes",IF('Aud Quest 2'!B37&lt;&gt;"x","0"))</f>
        <v>0</v>
      </c>
    </row>
    <row r="43" spans="1:2" x14ac:dyDescent="0.2">
      <c r="A43" t="s">
        <v>340</v>
      </c>
      <c r="B43" s="138" t="str">
        <f>IF('Aud Quest 2'!B40="x","Yes",IF('Aud Quest 2'!B40&lt;&gt;"x","0"))</f>
        <v>0</v>
      </c>
    </row>
    <row r="44" spans="1:2" x14ac:dyDescent="0.2">
      <c r="A44" s="1" t="s">
        <v>341</v>
      </c>
      <c r="B44" s="138" t="str">
        <f>IF('Aud Quest 2'!B42="x","Yes",IF('Aud Quest 2'!B42&lt;&gt;"x","0"))</f>
        <v>0</v>
      </c>
    </row>
    <row r="45" spans="1:2" x14ac:dyDescent="0.2">
      <c r="A45" t="s">
        <v>342</v>
      </c>
      <c r="B45" s="138" t="str">
        <f>IF('Aud Quest 2'!B44="x","Yes",IF('Aud Quest 2'!B44&lt;&gt;"x","0"))</f>
        <v>0</v>
      </c>
    </row>
    <row r="46" spans="1:2" x14ac:dyDescent="0.2">
      <c r="A46" t="s">
        <v>343</v>
      </c>
      <c r="B46" s="138" t="str">
        <f>IF('Aud Quest 2'!B49="x","Yes",IF('Aud Quest 2'!B49&lt;&gt;"x","0"))</f>
        <v>0</v>
      </c>
    </row>
    <row r="47" spans="1:2" x14ac:dyDescent="0.2">
      <c r="A47" t="s">
        <v>344</v>
      </c>
      <c r="B47" s="138" t="str">
        <f>IF('Aud Quest 2'!B50="x","Yes",IF('Aud Quest 2'!B50&lt;&gt;"x","0"))</f>
        <v>Yes</v>
      </c>
    </row>
    <row r="48" spans="1:2" x14ac:dyDescent="0.2">
      <c r="A48" t="s">
        <v>504</v>
      </c>
      <c r="B48" s="138" t="str">
        <f>IF('Aud Quest 2'!B51="x","Yes",IF('Aud Quest 2'!B51&lt;&gt;"x","0"))</f>
        <v>0</v>
      </c>
    </row>
    <row r="49" spans="1:4" x14ac:dyDescent="0.2">
      <c r="A49" s="1" t="s">
        <v>1560</v>
      </c>
      <c r="B49" s="138" t="str">
        <f>IF('Aud Quest 2'!B53="x","Yes",IF('Aud Quest 2'!B53&lt;&gt;"x","0"))</f>
        <v>0</v>
      </c>
    </row>
    <row r="50" spans="1:4" x14ac:dyDescent="0.2">
      <c r="A50" s="1" t="s">
        <v>1559</v>
      </c>
      <c r="B50" s="150">
        <f>'Aud Quest 2'!H53</f>
        <v>0</v>
      </c>
    </row>
    <row r="51" spans="1:4" x14ac:dyDescent="0.2">
      <c r="A51" s="1" t="s">
        <v>1561</v>
      </c>
      <c r="B51" s="138" t="str">
        <f>IF('Aud Quest 2'!B54="x","Yes",IF('Aud Quest 2'!B54&lt;&gt;"x","0"))</f>
        <v>0</v>
      </c>
    </row>
    <row r="52" spans="1:4" x14ac:dyDescent="0.2">
      <c r="A52" t="s">
        <v>347</v>
      </c>
      <c r="B52" s="138">
        <f>('Aud Quest 2'!D56)</f>
        <v>0</v>
      </c>
    </row>
    <row r="53" spans="1:4" x14ac:dyDescent="0.2">
      <c r="A53" s="1" t="s">
        <v>348</v>
      </c>
      <c r="B53" s="138">
        <f>IF('FP Info 3'!B44="X","Yes",0)</f>
        <v>0</v>
      </c>
    </row>
    <row r="54" spans="1:4" x14ac:dyDescent="0.2">
      <c r="A54" t="s">
        <v>349</v>
      </c>
      <c r="B54" s="138">
        <f>IF('FP Info 3'!B45="X","Yes",0)</f>
        <v>0</v>
      </c>
    </row>
    <row r="55" spans="1:4" x14ac:dyDescent="0.2">
      <c r="A55" t="s">
        <v>350</v>
      </c>
      <c r="B55" s="138">
        <f>IF('FP Info 3'!B46="X","Yes",0)</f>
        <v>0</v>
      </c>
    </row>
    <row r="56" spans="1:4" x14ac:dyDescent="0.2">
      <c r="A56" t="s">
        <v>351</v>
      </c>
      <c r="B56" s="138">
        <f>IF('FP Info 3'!B47="X","Yes",0)</f>
        <v>0</v>
      </c>
    </row>
    <row r="57" spans="1:4" x14ac:dyDescent="0.2">
      <c r="A57" t="s">
        <v>352</v>
      </c>
      <c r="B57" s="138">
        <f>IF('FP Info 3'!B48="X","Yes",0)</f>
        <v>0</v>
      </c>
    </row>
    <row r="58" spans="1:4" x14ac:dyDescent="0.2">
      <c r="A58" t="s">
        <v>353</v>
      </c>
      <c r="B58" s="138">
        <f>IF('FP Info 3'!B49="X","Yes",0)</f>
        <v>0</v>
      </c>
    </row>
    <row r="59" spans="1:4" x14ac:dyDescent="0.2">
      <c r="A59" t="s">
        <v>354</v>
      </c>
      <c r="B59" s="138">
        <f>IF('FP Info 3'!B50="X","Yes",0)</f>
        <v>0</v>
      </c>
    </row>
    <row r="60" spans="1:4" x14ac:dyDescent="0.2">
      <c r="A60" t="s">
        <v>355</v>
      </c>
      <c r="B60" s="138">
        <f>IF('FP Info 3'!B51="X","Yes",0)</f>
        <v>0</v>
      </c>
    </row>
    <row r="61" spans="1:4" x14ac:dyDescent="0.2">
      <c r="A61" t="s">
        <v>356</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0</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0</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0</v>
      </c>
      <c r="D76" s="2" t="str">
        <f t="shared" si="0"/>
        <v>Error?</v>
      </c>
    </row>
    <row r="77" spans="1:4" x14ac:dyDescent="0.2">
      <c r="A77" s="5">
        <v>16</v>
      </c>
      <c r="B77" s="138">
        <f>'Assets-Liab 5-6'!C13</f>
        <v>9146119</v>
      </c>
      <c r="C77" s="2" t="s">
        <v>594</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20513</v>
      </c>
      <c r="D86" s="2" t="str">
        <f t="shared" si="0"/>
        <v>Error?</v>
      </c>
    </row>
    <row r="87" spans="1:4" x14ac:dyDescent="0.2">
      <c r="A87" s="10">
        <v>26</v>
      </c>
      <c r="D87" s="2" t="str">
        <f t="shared" si="0"/>
        <v>OK</v>
      </c>
    </row>
    <row r="88" spans="1:4" x14ac:dyDescent="0.2">
      <c r="A88" s="5">
        <v>27</v>
      </c>
      <c r="B88" s="138">
        <f>'Assets-Liab 5-6'!C32</f>
        <v>0</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20513</v>
      </c>
      <c r="C91" s="2" t="s">
        <v>594</v>
      </c>
      <c r="D91" s="2" t="str">
        <f t="shared" si="0"/>
        <v>Error?</v>
      </c>
    </row>
    <row r="92" spans="1:4" x14ac:dyDescent="0.2">
      <c r="A92" s="5">
        <v>31</v>
      </c>
      <c r="B92" s="138">
        <f>'Assets-Liab 5-6'!C39</f>
        <v>9125606</v>
      </c>
      <c r="D92" s="2" t="str">
        <f t="shared" si="0"/>
        <v>Error?</v>
      </c>
    </row>
    <row r="93" spans="1:4" x14ac:dyDescent="0.2">
      <c r="A93" s="5">
        <v>32</v>
      </c>
      <c r="B93" s="138">
        <f>'Assets-Liab 5-6'!C41</f>
        <v>9146119</v>
      </c>
      <c r="C93" s="2" t="s">
        <v>594</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0</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684293</v>
      </c>
      <c r="C109" s="2" t="s">
        <v>594</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0</v>
      </c>
      <c r="D117" s="2" t="str">
        <f t="shared" si="0"/>
        <v>Error?</v>
      </c>
    </row>
    <row r="118" spans="1:4" x14ac:dyDescent="0.2">
      <c r="A118" s="10">
        <v>57</v>
      </c>
      <c r="D118" s="2" t="str">
        <f t="shared" si="0"/>
        <v>OK</v>
      </c>
    </row>
    <row r="119" spans="1:4" x14ac:dyDescent="0.2">
      <c r="A119" s="5">
        <v>58</v>
      </c>
      <c r="B119" s="138">
        <f>'Assets-Liab 5-6'!D32</f>
        <v>0</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0</v>
      </c>
      <c r="C122" s="2" t="s">
        <v>594</v>
      </c>
      <c r="D122" s="2" t="str">
        <f t="shared" si="0"/>
        <v>Error?</v>
      </c>
    </row>
    <row r="123" spans="1:4" x14ac:dyDescent="0.2">
      <c r="A123" s="5">
        <v>62</v>
      </c>
      <c r="B123" s="138">
        <f>'Assets-Liab 5-6'!D39</f>
        <v>684293</v>
      </c>
      <c r="D123" s="2" t="str">
        <f t="shared" si="0"/>
        <v>Error?</v>
      </c>
    </row>
    <row r="124" spans="1:4" x14ac:dyDescent="0.2">
      <c r="A124" s="5">
        <v>63</v>
      </c>
      <c r="B124" s="138">
        <f>'Assets-Liab 5-6'!D41</f>
        <v>684293</v>
      </c>
      <c r="C124" s="2" t="s">
        <v>594</v>
      </c>
      <c r="D124" s="2" t="str">
        <f t="shared" si="0"/>
        <v>Error?</v>
      </c>
    </row>
    <row r="125" spans="1:4" x14ac:dyDescent="0.2">
      <c r="A125" s="10">
        <v>64</v>
      </c>
      <c r="D125" s="2" t="str">
        <f t="shared" si="0"/>
        <v>OK</v>
      </c>
    </row>
    <row r="126" spans="1:4" x14ac:dyDescent="0.2">
      <c r="A126" s="5">
        <v>65</v>
      </c>
      <c r="B126" s="138">
        <f>'Assets-Liab 5-6'!E6</f>
        <v>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0</v>
      </c>
      <c r="D129" s="2" t="str">
        <f t="shared" si="1"/>
        <v>Error?</v>
      </c>
    </row>
    <row r="130" spans="1:4" x14ac:dyDescent="0.2">
      <c r="A130" s="5">
        <v>69</v>
      </c>
      <c r="B130" s="138">
        <f>'Assets-Liab 5-6'!E12</f>
        <v>0</v>
      </c>
      <c r="D130" s="2" t="str">
        <f t="shared" si="1"/>
        <v>Error?</v>
      </c>
    </row>
    <row r="131" spans="1:4" x14ac:dyDescent="0.2">
      <c r="A131" s="5">
        <v>70</v>
      </c>
      <c r="B131" s="138">
        <f>'Assets-Liab 5-6'!E13</f>
        <v>345428</v>
      </c>
      <c r="C131" s="2" t="s">
        <v>594</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0</v>
      </c>
      <c r="C139" s="2" t="s">
        <v>594</v>
      </c>
      <c r="D139" s="2" t="str">
        <f t="shared" si="1"/>
        <v>Error?</v>
      </c>
    </row>
    <row r="140" spans="1:4" x14ac:dyDescent="0.2">
      <c r="A140" s="5">
        <v>79</v>
      </c>
      <c r="B140" s="138">
        <f>'Assets-Liab 5-6'!E39</f>
        <v>345428</v>
      </c>
      <c r="D140" s="2" t="str">
        <f t="shared" si="1"/>
        <v>Error?</v>
      </c>
    </row>
    <row r="141" spans="1:4" x14ac:dyDescent="0.2">
      <c r="A141" s="5">
        <v>80</v>
      </c>
      <c r="B141" s="138">
        <f>'Assets-Liab 5-6'!E41</f>
        <v>345428</v>
      </c>
      <c r="C141" s="2" t="s">
        <v>594</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0</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0</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392225</v>
      </c>
      <c r="C157" s="2" t="s">
        <v>594</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0</v>
      </c>
      <c r="D164" s="2" t="str">
        <f t="shared" si="1"/>
        <v>Error?</v>
      </c>
    </row>
    <row r="165" spans="1:4" x14ac:dyDescent="0.2">
      <c r="A165" s="10">
        <v>104</v>
      </c>
      <c r="D165" s="2" t="str">
        <f t="shared" si="1"/>
        <v>OK</v>
      </c>
    </row>
    <row r="166" spans="1:4" x14ac:dyDescent="0.2">
      <c r="A166" s="5">
        <v>105</v>
      </c>
      <c r="B166" s="138">
        <f>'Assets-Liab 5-6'!F32</f>
        <v>0</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0</v>
      </c>
      <c r="C169" s="2" t="s">
        <v>594</v>
      </c>
      <c r="D169" s="2" t="str">
        <f t="shared" si="1"/>
        <v>Error?</v>
      </c>
    </row>
    <row r="170" spans="1:4" x14ac:dyDescent="0.2">
      <c r="A170" s="5">
        <v>109</v>
      </c>
      <c r="B170" s="138">
        <f>'Assets-Liab 5-6'!F39</f>
        <v>392225</v>
      </c>
      <c r="D170" s="2" t="str">
        <f t="shared" si="1"/>
        <v>Error?</v>
      </c>
    </row>
    <row r="171" spans="1:4" x14ac:dyDescent="0.2">
      <c r="A171" s="5">
        <v>110</v>
      </c>
      <c r="B171" s="138">
        <f>'Assets-Liab 5-6'!F41</f>
        <v>392225</v>
      </c>
      <c r="C171" s="2" t="s">
        <v>594</v>
      </c>
      <c r="D171" s="2" t="str">
        <f t="shared" si="1"/>
        <v>Error?</v>
      </c>
    </row>
    <row r="172" spans="1:4" x14ac:dyDescent="0.2">
      <c r="A172" s="10">
        <v>111</v>
      </c>
      <c r="D172" s="2" t="str">
        <f t="shared" si="1"/>
        <v>OK</v>
      </c>
    </row>
    <row r="173" spans="1:4" x14ac:dyDescent="0.2">
      <c r="A173" s="5">
        <v>112</v>
      </c>
      <c r="B173" s="138">
        <f>'Assets-Liab 5-6'!G6</f>
        <v>0</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0</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285801</v>
      </c>
      <c r="C180" s="2" t="s">
        <v>594</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0</v>
      </c>
      <c r="D184" s="2" t="str">
        <f t="shared" si="1"/>
        <v>Error?</v>
      </c>
    </row>
    <row r="185" spans="1:4" x14ac:dyDescent="0.2">
      <c r="A185" s="5">
        <v>124</v>
      </c>
      <c r="B185" s="138">
        <f>'Assets-Liab 5-6'!G32</f>
        <v>0</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0</v>
      </c>
      <c r="C188" s="2" t="s">
        <v>594</v>
      </c>
      <c r="D188" s="2" t="str">
        <f t="shared" si="1"/>
        <v>Error?</v>
      </c>
    </row>
    <row r="189" spans="1:4" x14ac:dyDescent="0.2">
      <c r="A189" s="5">
        <v>128</v>
      </c>
      <c r="B189" s="138">
        <f>'Assets-Liab 5-6'!G39</f>
        <v>0</v>
      </c>
      <c r="D189" s="2" t="str">
        <f t="shared" si="1"/>
        <v>Error?</v>
      </c>
    </row>
    <row r="190" spans="1:4" x14ac:dyDescent="0.2">
      <c r="A190" s="5">
        <v>129</v>
      </c>
      <c r="B190" s="138">
        <f>'Assets-Liab 5-6'!G41</f>
        <v>285801</v>
      </c>
      <c r="C190" s="2" t="s">
        <v>594</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1920677</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2980371</v>
      </c>
      <c r="C203" s="2" t="s">
        <v>594</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0</v>
      </c>
      <c r="C211" s="2" t="s">
        <v>594</v>
      </c>
      <c r="D211" s="2" t="str">
        <f t="shared" si="2"/>
        <v>Error?</v>
      </c>
    </row>
    <row r="212" spans="1:4" x14ac:dyDescent="0.2">
      <c r="A212" s="5">
        <v>151</v>
      </c>
      <c r="B212" s="138">
        <f>'Assets-Liab 5-6'!H39</f>
        <v>2980371</v>
      </c>
      <c r="D212" s="2" t="str">
        <f t="shared" si="2"/>
        <v>Error?</v>
      </c>
    </row>
    <row r="213" spans="1:4" x14ac:dyDescent="0.2">
      <c r="A213" s="12">
        <v>152</v>
      </c>
      <c r="B213" s="138">
        <f>'Assets-Liab 5-6'!H41</f>
        <v>2980371</v>
      </c>
      <c r="C213" s="2" t="s">
        <v>594</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594</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594</v>
      </c>
      <c r="D247" s="2" t="str">
        <f t="shared" si="2"/>
        <v>OK</v>
      </c>
    </row>
    <row r="248" spans="1:4" x14ac:dyDescent="0.2">
      <c r="A248" s="10">
        <v>187</v>
      </c>
      <c r="D248" s="2" t="str">
        <f t="shared" si="2"/>
        <v>OK</v>
      </c>
    </row>
    <row r="249" spans="1:4" x14ac:dyDescent="0.2">
      <c r="A249" s="10">
        <v>188</v>
      </c>
      <c r="C249" s="2" t="s">
        <v>594</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100231</v>
      </c>
      <c r="D273" s="2" t="str">
        <f t="shared" si="3"/>
        <v>Error?</v>
      </c>
    </row>
    <row r="274" spans="1:4" x14ac:dyDescent="0.2">
      <c r="A274" s="5">
        <v>213</v>
      </c>
      <c r="B274" s="138">
        <f>'Assets-Liab 5-6'!M17</f>
        <v>32274982</v>
      </c>
      <c r="D274" s="2" t="str">
        <f t="shared" si="3"/>
        <v>Error?</v>
      </c>
    </row>
    <row r="275" spans="1:4" x14ac:dyDescent="0.2">
      <c r="A275" s="5">
        <v>214</v>
      </c>
      <c r="B275" s="138">
        <f>'Assets-Liab 5-6'!M18</f>
        <v>720198</v>
      </c>
      <c r="D275" s="2" t="str">
        <f t="shared" si="3"/>
        <v>Error?</v>
      </c>
    </row>
    <row r="276" spans="1:4" x14ac:dyDescent="0.2">
      <c r="A276" s="5">
        <v>215</v>
      </c>
      <c r="B276" s="138">
        <f>'Assets-Liab 5-6'!M19</f>
        <v>4134486</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37229897</v>
      </c>
      <c r="C279" s="2" t="s">
        <v>594</v>
      </c>
      <c r="D279" s="2" t="str">
        <f t="shared" si="3"/>
        <v>Error?</v>
      </c>
    </row>
    <row r="280" spans="1:4" x14ac:dyDescent="0.2">
      <c r="A280" s="5">
        <v>219</v>
      </c>
      <c r="B280" s="138">
        <f>'Assets-Liab 5-6'!M40</f>
        <v>37229897</v>
      </c>
      <c r="D280" s="2" t="str">
        <f t="shared" si="3"/>
        <v>Error?</v>
      </c>
    </row>
    <row r="281" spans="1:4" x14ac:dyDescent="0.2">
      <c r="A281" s="5">
        <v>220</v>
      </c>
      <c r="B281" s="138">
        <f>'Assets-Liab 5-6'!M41</f>
        <v>37229897</v>
      </c>
      <c r="C281" s="2" t="s">
        <v>594</v>
      </c>
      <c r="D281" s="2" t="str">
        <f t="shared" si="3"/>
        <v>Error?</v>
      </c>
    </row>
    <row r="282" spans="1:4" x14ac:dyDescent="0.2">
      <c r="A282" s="5">
        <v>221</v>
      </c>
      <c r="B282" s="138">
        <f>'Assets-Liab 5-6'!N21</f>
        <v>345428</v>
      </c>
      <c r="D282" s="2" t="str">
        <f t="shared" si="3"/>
        <v>Error?</v>
      </c>
    </row>
    <row r="283" spans="1:4" x14ac:dyDescent="0.2">
      <c r="A283" s="5">
        <v>222</v>
      </c>
      <c r="B283" s="138">
        <f>'Assets-Liab 5-6'!N22</f>
        <v>19975481</v>
      </c>
      <c r="D283" s="2" t="str">
        <f t="shared" si="3"/>
        <v>Error?</v>
      </c>
    </row>
    <row r="284" spans="1:4" x14ac:dyDescent="0.2">
      <c r="A284" s="5">
        <v>223</v>
      </c>
      <c r="B284" s="138">
        <f>'Assets-Liab 5-6'!N23</f>
        <v>20320909</v>
      </c>
      <c r="C284" s="2" t="s">
        <v>594</v>
      </c>
      <c r="D284" s="2" t="str">
        <f t="shared" si="3"/>
        <v>Error?</v>
      </c>
    </row>
    <row r="285" spans="1:4" x14ac:dyDescent="0.2">
      <c r="A285" s="5">
        <v>224</v>
      </c>
      <c r="B285" s="138">
        <f>'Assets-Liab 5-6'!N36</f>
        <v>20320909</v>
      </c>
      <c r="D285" s="2" t="str">
        <f t="shared" si="3"/>
        <v>Error?</v>
      </c>
    </row>
    <row r="286" spans="1:4" x14ac:dyDescent="0.2">
      <c r="A286" s="10">
        <v>225</v>
      </c>
      <c r="D286" s="2" t="str">
        <f t="shared" si="3"/>
        <v>OK</v>
      </c>
    </row>
    <row r="287" spans="1:4" x14ac:dyDescent="0.2">
      <c r="A287" s="5">
        <v>226</v>
      </c>
      <c r="B287" s="138">
        <f>'Assets-Liab 5-6'!N37</f>
        <v>20320909</v>
      </c>
      <c r="C287" s="2" t="s">
        <v>594</v>
      </c>
      <c r="D287" s="2" t="str">
        <f t="shared" si="3"/>
        <v>Error?</v>
      </c>
    </row>
    <row r="288" spans="1:4" x14ac:dyDescent="0.2">
      <c r="A288" s="5">
        <v>227</v>
      </c>
      <c r="B288" s="138">
        <f>'Assets-Liab 5-6'!N41</f>
        <v>20320909</v>
      </c>
      <c r="C288" s="2" t="s">
        <v>594</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5451657</v>
      </c>
      <c r="D705" s="2" t="str">
        <f t="shared" si="10"/>
        <v>Error?</v>
      </c>
    </row>
    <row r="706" spans="1:4" x14ac:dyDescent="0.2">
      <c r="A706" s="5">
        <v>645</v>
      </c>
      <c r="B706" s="138">
        <f>'Expenditures 15-22'!C16</f>
        <v>0</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452391</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0</v>
      </c>
      <c r="D717" s="2" t="str">
        <f t="shared" si="10"/>
        <v>Error?</v>
      </c>
    </row>
    <row r="718" spans="1:4" x14ac:dyDescent="0.2">
      <c r="A718" s="5">
        <v>657</v>
      </c>
      <c r="B718" s="138">
        <f>'Expenditures 15-22'!C14</f>
        <v>0</v>
      </c>
      <c r="D718" s="2" t="str">
        <f t="shared" si="10"/>
        <v>Error?</v>
      </c>
    </row>
    <row r="719" spans="1:4" x14ac:dyDescent="0.2">
      <c r="A719" s="5">
        <v>658</v>
      </c>
      <c r="B719" s="138">
        <f>'Expenditures 15-22'!C15</f>
        <v>4180</v>
      </c>
      <c r="D719" s="2" t="str">
        <f t="shared" si="10"/>
        <v>Error?</v>
      </c>
    </row>
    <row r="720" spans="1:4" x14ac:dyDescent="0.2">
      <c r="A720" s="5">
        <v>659</v>
      </c>
      <c r="B720" s="138">
        <f>'Expenditures 15-22'!C33</f>
        <v>8453054</v>
      </c>
      <c r="C720" s="2" t="s">
        <v>594</v>
      </c>
      <c r="D720" s="2" t="str">
        <f t="shared" si="10"/>
        <v>Error?</v>
      </c>
    </row>
    <row r="721" spans="1:4" x14ac:dyDescent="0.2">
      <c r="A721" s="5">
        <v>660</v>
      </c>
      <c r="B721" s="138">
        <f>'Expenditures 15-22'!C36</f>
        <v>331711</v>
      </c>
      <c r="D721" s="2" t="str">
        <f t="shared" si="10"/>
        <v>Error?</v>
      </c>
    </row>
    <row r="722" spans="1:4" x14ac:dyDescent="0.2">
      <c r="A722" s="5">
        <v>661</v>
      </c>
      <c r="B722" s="138">
        <f>'Expenditures 15-22'!C37</f>
        <v>0</v>
      </c>
      <c r="D722" s="2" t="str">
        <f t="shared" si="10"/>
        <v>Error?</v>
      </c>
    </row>
    <row r="723" spans="1:4" x14ac:dyDescent="0.2">
      <c r="A723" s="5">
        <v>662</v>
      </c>
      <c r="B723" s="138">
        <f>'Expenditures 15-22'!C38</f>
        <v>258260</v>
      </c>
      <c r="D723" s="2" t="str">
        <f t="shared" si="10"/>
        <v>Error?</v>
      </c>
    </row>
    <row r="724" spans="1:4" x14ac:dyDescent="0.2">
      <c r="A724" s="5">
        <v>663</v>
      </c>
      <c r="B724" s="138">
        <f>'Expenditures 15-22'!C39</f>
        <v>202884</v>
      </c>
      <c r="D724" s="2" t="str">
        <f t="shared" si="10"/>
        <v>Error?</v>
      </c>
    </row>
    <row r="725" spans="1:4" x14ac:dyDescent="0.2">
      <c r="A725" s="5">
        <v>664</v>
      </c>
      <c r="B725" s="138">
        <f>'Expenditures 15-22'!C40</f>
        <v>192157</v>
      </c>
      <c r="D725" s="2" t="str">
        <f t="shared" si="10"/>
        <v>Error?</v>
      </c>
    </row>
    <row r="726" spans="1:4" x14ac:dyDescent="0.2">
      <c r="A726" s="5">
        <v>665</v>
      </c>
      <c r="B726" s="138">
        <f>'Expenditures 15-22'!C41</f>
        <v>0</v>
      </c>
      <c r="D726" s="2" t="str">
        <f t="shared" si="10"/>
        <v>Error?</v>
      </c>
    </row>
    <row r="727" spans="1:4" x14ac:dyDescent="0.2">
      <c r="A727" s="5">
        <v>666</v>
      </c>
      <c r="B727" s="138">
        <f>'Expenditures 15-22'!C42</f>
        <v>985012</v>
      </c>
      <c r="C727" s="2" t="s">
        <v>594</v>
      </c>
      <c r="D727" s="2" t="str">
        <f t="shared" si="10"/>
        <v>Error?</v>
      </c>
    </row>
    <row r="728" spans="1:4" x14ac:dyDescent="0.2">
      <c r="A728" s="5">
        <v>667</v>
      </c>
      <c r="B728" s="138">
        <f>'Expenditures 15-22'!C44</f>
        <v>149254</v>
      </c>
      <c r="D728" s="2" t="str">
        <f t="shared" si="10"/>
        <v>Error?</v>
      </c>
    </row>
    <row r="729" spans="1:4" x14ac:dyDescent="0.2">
      <c r="A729" s="5">
        <v>668</v>
      </c>
      <c r="B729" s="138">
        <f>'Expenditures 15-22'!C45</f>
        <v>60812</v>
      </c>
      <c r="D729" s="2" t="str">
        <f t="shared" si="10"/>
        <v>Error?</v>
      </c>
    </row>
    <row r="730" spans="1:4" x14ac:dyDescent="0.2">
      <c r="A730" s="5">
        <v>669</v>
      </c>
      <c r="B730" s="138">
        <f>'Expenditures 15-22'!C46</f>
        <v>0</v>
      </c>
      <c r="D730" s="2" t="str">
        <f t="shared" si="10"/>
        <v>Error?</v>
      </c>
    </row>
    <row r="731" spans="1:4" x14ac:dyDescent="0.2">
      <c r="A731" s="5">
        <v>670</v>
      </c>
      <c r="B731" s="138">
        <f>'Expenditures 15-22'!C47</f>
        <v>210066</v>
      </c>
      <c r="C731" s="2" t="s">
        <v>594</v>
      </c>
      <c r="D731" s="2" t="str">
        <f t="shared" si="10"/>
        <v>Error?</v>
      </c>
    </row>
    <row r="732" spans="1:4" x14ac:dyDescent="0.2">
      <c r="A732" s="5">
        <v>671</v>
      </c>
      <c r="B732" s="138">
        <f>'Expenditures 15-22'!C49</f>
        <v>0</v>
      </c>
      <c r="D732" s="2" t="str">
        <f t="shared" si="10"/>
        <v>Error?</v>
      </c>
    </row>
    <row r="733" spans="1:4" x14ac:dyDescent="0.2">
      <c r="A733" s="5">
        <v>672</v>
      </c>
      <c r="B733" s="138">
        <f>'Expenditures 15-22'!C50</f>
        <v>401554</v>
      </c>
      <c r="D733" s="2" t="str">
        <f t="shared" si="10"/>
        <v>Error?</v>
      </c>
    </row>
    <row r="734" spans="1:4" x14ac:dyDescent="0.2">
      <c r="A734" s="5">
        <v>673</v>
      </c>
      <c r="B734" s="138">
        <f>'Expenditures 15-22'!C53</f>
        <v>401554</v>
      </c>
      <c r="C734" s="2" t="s">
        <v>594</v>
      </c>
      <c r="D734" s="2" t="str">
        <f t="shared" si="10"/>
        <v>Error?</v>
      </c>
    </row>
    <row r="735" spans="1:4" x14ac:dyDescent="0.2">
      <c r="A735" s="5">
        <v>674</v>
      </c>
      <c r="B735" s="138">
        <f>'Expenditures 15-22'!C55</f>
        <v>1041664</v>
      </c>
      <c r="D735" s="2" t="str">
        <f t="shared" si="10"/>
        <v>Error?</v>
      </c>
    </row>
    <row r="736" spans="1:4" x14ac:dyDescent="0.2">
      <c r="A736" s="5">
        <v>675</v>
      </c>
      <c r="B736" s="138">
        <f>'Expenditures 15-22'!C56</f>
        <v>0</v>
      </c>
      <c r="D736" s="2" t="str">
        <f t="shared" si="10"/>
        <v>Error?</v>
      </c>
    </row>
    <row r="737" spans="1:4" x14ac:dyDescent="0.2">
      <c r="A737" s="5">
        <v>676</v>
      </c>
      <c r="B737" s="138">
        <f>'Expenditures 15-22'!C57</f>
        <v>1041664</v>
      </c>
      <c r="C737" s="2" t="s">
        <v>594</v>
      </c>
      <c r="D737" s="2" t="str">
        <f t="shared" si="10"/>
        <v>Error?</v>
      </c>
    </row>
    <row r="738" spans="1:4" x14ac:dyDescent="0.2">
      <c r="A738" s="5">
        <v>677</v>
      </c>
      <c r="B738" s="138">
        <f>'Expenditures 15-22'!C59</f>
        <v>0</v>
      </c>
      <c r="D738" s="2" t="str">
        <f t="shared" si="10"/>
        <v>Error?</v>
      </c>
    </row>
    <row r="739" spans="1:4" x14ac:dyDescent="0.2">
      <c r="A739" s="5">
        <v>678</v>
      </c>
      <c r="B739" s="138">
        <f>'Expenditures 15-22'!C60</f>
        <v>87923</v>
      </c>
      <c r="D739" s="2" t="str">
        <f t="shared" si="10"/>
        <v>Error?</v>
      </c>
    </row>
    <row r="740" spans="1:4" x14ac:dyDescent="0.2">
      <c r="A740" s="5">
        <v>679</v>
      </c>
      <c r="B740" s="138">
        <f>'Expenditures 15-22'!C61</f>
        <v>0</v>
      </c>
      <c r="D740" s="2" t="str">
        <f t="shared" si="10"/>
        <v>Error?</v>
      </c>
    </row>
    <row r="741" spans="1:4" x14ac:dyDescent="0.2">
      <c r="A741" s="5">
        <v>680</v>
      </c>
      <c r="B741" s="138">
        <f>'Expenditures 15-22'!C62</f>
        <v>0</v>
      </c>
      <c r="D741" s="2" t="str">
        <f t="shared" si="10"/>
        <v>Error?</v>
      </c>
    </row>
    <row r="742" spans="1:4" x14ac:dyDescent="0.2">
      <c r="A742" s="5">
        <v>681</v>
      </c>
      <c r="B742" s="138">
        <f>'Expenditures 15-22'!C63</f>
        <v>277257</v>
      </c>
      <c r="D742" s="2" t="str">
        <f t="shared" si="10"/>
        <v>Error?</v>
      </c>
    </row>
    <row r="743" spans="1:4" x14ac:dyDescent="0.2">
      <c r="A743" s="5">
        <v>682</v>
      </c>
      <c r="B743" s="138">
        <f>'Expenditures 15-22'!C64</f>
        <v>34091</v>
      </c>
      <c r="D743" s="2" t="str">
        <f t="shared" si="10"/>
        <v>Error?</v>
      </c>
    </row>
    <row r="744" spans="1:4" x14ac:dyDescent="0.2">
      <c r="A744" s="10">
        <v>683</v>
      </c>
      <c r="D744" s="2" t="str">
        <f t="shared" si="10"/>
        <v>OK</v>
      </c>
    </row>
    <row r="745" spans="1:4" x14ac:dyDescent="0.2">
      <c r="A745" s="5">
        <v>684</v>
      </c>
      <c r="B745" s="138">
        <f>'Expenditures 15-22'!C65</f>
        <v>399271</v>
      </c>
      <c r="C745" s="2" t="s">
        <v>594</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0</v>
      </c>
      <c r="D748" s="2" t="str">
        <f t="shared" si="10"/>
        <v>Error?</v>
      </c>
    </row>
    <row r="749" spans="1:4" x14ac:dyDescent="0.2">
      <c r="A749" s="5">
        <v>688</v>
      </c>
      <c r="B749" s="138">
        <f>'Expenditures 15-22'!C70</f>
        <v>0</v>
      </c>
      <c r="D749" s="2" t="str">
        <f t="shared" si="10"/>
        <v>Error?</v>
      </c>
    </row>
    <row r="750" spans="1:4" x14ac:dyDescent="0.2">
      <c r="A750" s="10">
        <v>689</v>
      </c>
      <c r="D750" s="2" t="str">
        <f t="shared" si="10"/>
        <v>OK</v>
      </c>
    </row>
    <row r="751" spans="1:4" x14ac:dyDescent="0.2">
      <c r="A751" s="5">
        <v>690</v>
      </c>
      <c r="B751" s="138">
        <f>'Expenditures 15-22'!C71</f>
        <v>0</v>
      </c>
      <c r="D751" s="2" t="str">
        <f t="shared" si="10"/>
        <v>Error?</v>
      </c>
    </row>
    <row r="752" spans="1:4" x14ac:dyDescent="0.2">
      <c r="A752" s="10">
        <v>691</v>
      </c>
      <c r="D752" s="2" t="str">
        <f t="shared" si="10"/>
        <v>OK</v>
      </c>
    </row>
    <row r="753" spans="1:4" x14ac:dyDescent="0.2">
      <c r="A753" s="5">
        <v>692</v>
      </c>
      <c r="B753" s="138">
        <f>'Expenditures 15-22'!C72</f>
        <v>0</v>
      </c>
      <c r="C753" s="2" t="s">
        <v>594</v>
      </c>
      <c r="D753" s="2" t="str">
        <f t="shared" si="10"/>
        <v>Error?</v>
      </c>
    </row>
    <row r="754" spans="1:4" x14ac:dyDescent="0.2">
      <c r="A754" s="5">
        <v>693</v>
      </c>
      <c r="B754" s="138">
        <f>'Expenditures 15-22'!C73</f>
        <v>0</v>
      </c>
      <c r="D754" s="2" t="str">
        <f t="shared" si="10"/>
        <v>Error?</v>
      </c>
    </row>
    <row r="755" spans="1:4" x14ac:dyDescent="0.2">
      <c r="A755" s="5">
        <v>694</v>
      </c>
      <c r="B755" s="138">
        <f>'Expenditures 15-22'!C74</f>
        <v>3037567</v>
      </c>
      <c r="C755" s="2" t="s">
        <v>594</v>
      </c>
      <c r="D755" s="2" t="str">
        <f t="shared" si="10"/>
        <v>Error?</v>
      </c>
    </row>
    <row r="756" spans="1:4" x14ac:dyDescent="0.2">
      <c r="A756" s="5">
        <v>695</v>
      </c>
      <c r="B756" s="138">
        <f>'Expenditures 15-22'!C75</f>
        <v>0</v>
      </c>
      <c r="D756" s="2" t="str">
        <f t="shared" si="10"/>
        <v>Error?</v>
      </c>
    </row>
    <row r="757" spans="1:4" x14ac:dyDescent="0.2">
      <c r="A757" s="5">
        <v>696</v>
      </c>
      <c r="B757" s="138">
        <f>'Expenditures 15-22'!C114</f>
        <v>11490621</v>
      </c>
      <c r="C757" s="2" t="s">
        <v>594</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848724</v>
      </c>
      <c r="D763" s="2" t="str">
        <f t="shared" si="10"/>
        <v>Error?</v>
      </c>
    </row>
    <row r="764" spans="1:4" x14ac:dyDescent="0.2">
      <c r="A764" s="5">
        <v>703</v>
      </c>
      <c r="B764" s="138">
        <f>'Expenditures 15-22'!D16</f>
        <v>0</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61196</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0</v>
      </c>
      <c r="D775" s="2" t="str">
        <f t="shared" si="11"/>
        <v>Error?</v>
      </c>
    </row>
    <row r="776" spans="1:4" x14ac:dyDescent="0.2">
      <c r="A776" s="5">
        <v>715</v>
      </c>
      <c r="B776" s="138">
        <f>'Expenditures 15-22'!D14</f>
        <v>0</v>
      </c>
      <c r="D776" s="2" t="str">
        <f t="shared" si="11"/>
        <v>Error?</v>
      </c>
    </row>
    <row r="777" spans="1:4" x14ac:dyDescent="0.2">
      <c r="A777" s="5">
        <v>716</v>
      </c>
      <c r="B777" s="138">
        <f>'Expenditures 15-22'!D15</f>
        <v>100</v>
      </c>
      <c r="D777" s="2" t="str">
        <f t="shared" si="11"/>
        <v>Error?</v>
      </c>
    </row>
    <row r="778" spans="1:4" x14ac:dyDescent="0.2">
      <c r="A778" s="5">
        <v>717</v>
      </c>
      <c r="B778" s="138">
        <f>'Expenditures 15-22'!D33</f>
        <v>1395040</v>
      </c>
      <c r="C778" s="2" t="s">
        <v>594</v>
      </c>
      <c r="D778" s="2" t="str">
        <f t="shared" si="11"/>
        <v>Error?</v>
      </c>
    </row>
    <row r="779" spans="1:4" x14ac:dyDescent="0.2">
      <c r="A779" s="5">
        <v>718</v>
      </c>
      <c r="B779" s="138">
        <f>'Expenditures 15-22'!D36</f>
        <v>45648</v>
      </c>
      <c r="D779" s="2" t="str">
        <f t="shared" si="11"/>
        <v>Error?</v>
      </c>
    </row>
    <row r="780" spans="1:4" x14ac:dyDescent="0.2">
      <c r="A780" s="5">
        <v>719</v>
      </c>
      <c r="B780" s="138">
        <f>'Expenditures 15-22'!D37</f>
        <v>0</v>
      </c>
      <c r="D780" s="2" t="str">
        <f t="shared" si="11"/>
        <v>Error?</v>
      </c>
    </row>
    <row r="781" spans="1:4" x14ac:dyDescent="0.2">
      <c r="A781" s="5">
        <v>720</v>
      </c>
      <c r="B781" s="138">
        <f>'Expenditures 15-22'!D38</f>
        <v>48923</v>
      </c>
      <c r="D781" s="2" t="str">
        <f t="shared" si="11"/>
        <v>Error?</v>
      </c>
    </row>
    <row r="782" spans="1:4" x14ac:dyDescent="0.2">
      <c r="A782" s="5">
        <v>721</v>
      </c>
      <c r="B782" s="138">
        <f>'Expenditures 15-22'!D39</f>
        <v>20841</v>
      </c>
      <c r="D782" s="2" t="str">
        <f t="shared" si="11"/>
        <v>Error?</v>
      </c>
    </row>
    <row r="783" spans="1:4" x14ac:dyDescent="0.2">
      <c r="A783" s="5">
        <v>722</v>
      </c>
      <c r="B783" s="138">
        <f>'Expenditures 15-22'!D40</f>
        <v>36343</v>
      </c>
      <c r="D783" s="2" t="str">
        <f t="shared" si="11"/>
        <v>Error?</v>
      </c>
    </row>
    <row r="784" spans="1:4" x14ac:dyDescent="0.2">
      <c r="A784" s="5">
        <v>723</v>
      </c>
      <c r="B784" s="138">
        <f>'Expenditures 15-22'!D41</f>
        <v>0</v>
      </c>
      <c r="D784" s="2" t="str">
        <f t="shared" si="11"/>
        <v>Error?</v>
      </c>
    </row>
    <row r="785" spans="1:4" x14ac:dyDescent="0.2">
      <c r="A785" s="5">
        <v>724</v>
      </c>
      <c r="B785" s="138">
        <f>'Expenditures 15-22'!D42</f>
        <v>151755</v>
      </c>
      <c r="C785" s="2" t="s">
        <v>594</v>
      </c>
      <c r="D785" s="2" t="str">
        <f t="shared" si="11"/>
        <v>Error?</v>
      </c>
    </row>
    <row r="786" spans="1:4" x14ac:dyDescent="0.2">
      <c r="A786" s="5">
        <v>725</v>
      </c>
      <c r="B786" s="138">
        <f>'Expenditures 15-22'!D44</f>
        <v>30572</v>
      </c>
      <c r="D786" s="2" t="str">
        <f t="shared" si="11"/>
        <v>Error?</v>
      </c>
    </row>
    <row r="787" spans="1:4" x14ac:dyDescent="0.2">
      <c r="A787" s="5">
        <v>726</v>
      </c>
      <c r="B787" s="138">
        <f>'Expenditures 15-22'!D45</f>
        <v>4789</v>
      </c>
      <c r="D787" s="2" t="str">
        <f t="shared" si="11"/>
        <v>Error?</v>
      </c>
    </row>
    <row r="788" spans="1:4" x14ac:dyDescent="0.2">
      <c r="A788" s="5">
        <v>727</v>
      </c>
      <c r="B788" s="138">
        <f>'Expenditures 15-22'!D46</f>
        <v>0</v>
      </c>
      <c r="D788" s="2" t="str">
        <f t="shared" si="11"/>
        <v>Error?</v>
      </c>
    </row>
    <row r="789" spans="1:4" x14ac:dyDescent="0.2">
      <c r="A789" s="5">
        <v>728</v>
      </c>
      <c r="B789" s="138">
        <f>'Expenditures 15-22'!D47</f>
        <v>35361</v>
      </c>
      <c r="C789" s="2" t="s">
        <v>594</v>
      </c>
      <c r="D789" s="2" t="str">
        <f t="shared" si="11"/>
        <v>Error?</v>
      </c>
    </row>
    <row r="790" spans="1:4" x14ac:dyDescent="0.2">
      <c r="A790" s="5">
        <v>729</v>
      </c>
      <c r="B790" s="138">
        <f>'Expenditures 15-22'!D49</f>
        <v>39834</v>
      </c>
      <c r="D790" s="2" t="str">
        <f t="shared" si="11"/>
        <v>Error?</v>
      </c>
    </row>
    <row r="791" spans="1:4" x14ac:dyDescent="0.2">
      <c r="A791" s="5">
        <v>730</v>
      </c>
      <c r="B791" s="138">
        <f>'Expenditures 15-22'!D50</f>
        <v>55856</v>
      </c>
      <c r="D791" s="2" t="str">
        <f t="shared" si="11"/>
        <v>Error?</v>
      </c>
    </row>
    <row r="792" spans="1:4" x14ac:dyDescent="0.2">
      <c r="A792" s="5">
        <v>731</v>
      </c>
      <c r="B792" s="138">
        <f>'Expenditures 15-22'!D53</f>
        <v>95690</v>
      </c>
      <c r="C792" s="2" t="s">
        <v>594</v>
      </c>
      <c r="D792" s="2" t="str">
        <f t="shared" si="11"/>
        <v>Error?</v>
      </c>
    </row>
    <row r="793" spans="1:4" x14ac:dyDescent="0.2">
      <c r="A793" s="5">
        <v>732</v>
      </c>
      <c r="B793" s="138">
        <f>'Expenditures 15-22'!D55</f>
        <v>237898</v>
      </c>
      <c r="D793" s="2" t="str">
        <f t="shared" si="11"/>
        <v>Error?</v>
      </c>
    </row>
    <row r="794" spans="1:4" x14ac:dyDescent="0.2">
      <c r="A794" s="5">
        <v>733</v>
      </c>
      <c r="B794" s="138">
        <f>'Expenditures 15-22'!D56</f>
        <v>0</v>
      </c>
      <c r="D794" s="2" t="str">
        <f t="shared" si="11"/>
        <v>Error?</v>
      </c>
    </row>
    <row r="795" spans="1:4" x14ac:dyDescent="0.2">
      <c r="A795" s="5">
        <v>734</v>
      </c>
      <c r="B795" s="138">
        <f>'Expenditures 15-22'!D57</f>
        <v>237898</v>
      </c>
      <c r="C795" s="2" t="s">
        <v>594</v>
      </c>
      <c r="D795" s="2" t="str">
        <f t="shared" si="11"/>
        <v>Error?</v>
      </c>
    </row>
    <row r="796" spans="1:4" x14ac:dyDescent="0.2">
      <c r="A796" s="5">
        <v>735</v>
      </c>
      <c r="B796" s="138">
        <f>'Expenditures 15-22'!D59</f>
        <v>0</v>
      </c>
      <c r="D796" s="2" t="str">
        <f t="shared" si="11"/>
        <v>Error?</v>
      </c>
    </row>
    <row r="797" spans="1:4" x14ac:dyDescent="0.2">
      <c r="A797" s="5">
        <v>736</v>
      </c>
      <c r="B797" s="138">
        <f>'Expenditures 15-22'!D60</f>
        <v>9930</v>
      </c>
      <c r="D797" s="2" t="str">
        <f t="shared" si="11"/>
        <v>Error?</v>
      </c>
    </row>
    <row r="798" spans="1:4" x14ac:dyDescent="0.2">
      <c r="A798" s="5">
        <v>737</v>
      </c>
      <c r="B798" s="138">
        <f>'Expenditures 15-22'!D61</f>
        <v>0</v>
      </c>
      <c r="D798" s="2" t="str">
        <f t="shared" si="11"/>
        <v>Error?</v>
      </c>
    </row>
    <row r="799" spans="1:4" x14ac:dyDescent="0.2">
      <c r="A799" s="5">
        <v>738</v>
      </c>
      <c r="B799" s="138">
        <f>'Expenditures 15-22'!D62</f>
        <v>0</v>
      </c>
      <c r="D799" s="2" t="str">
        <f t="shared" si="11"/>
        <v>Error?</v>
      </c>
    </row>
    <row r="800" spans="1:4" x14ac:dyDescent="0.2">
      <c r="A800" s="5">
        <v>739</v>
      </c>
      <c r="B800" s="138">
        <f>'Expenditures 15-22'!D63</f>
        <v>79684</v>
      </c>
      <c r="D800" s="2" t="str">
        <f t="shared" si="11"/>
        <v>Error?</v>
      </c>
    </row>
    <row r="801" spans="1:4" x14ac:dyDescent="0.2">
      <c r="A801" s="5">
        <v>740</v>
      </c>
      <c r="B801" s="138">
        <f>'Expenditures 15-22'!D64</f>
        <v>348</v>
      </c>
      <c r="D801" s="2" t="str">
        <f t="shared" si="11"/>
        <v>Error?</v>
      </c>
    </row>
    <row r="802" spans="1:4" x14ac:dyDescent="0.2">
      <c r="A802" s="10">
        <v>741</v>
      </c>
      <c r="D802" s="2" t="str">
        <f t="shared" si="11"/>
        <v>OK</v>
      </c>
    </row>
    <row r="803" spans="1:4" x14ac:dyDescent="0.2">
      <c r="A803" s="5">
        <v>742</v>
      </c>
      <c r="B803" s="138">
        <f>'Expenditures 15-22'!D65</f>
        <v>89962</v>
      </c>
      <c r="C803" s="2" t="s">
        <v>594</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0</v>
      </c>
      <c r="D806" s="2" t="str">
        <f t="shared" si="11"/>
        <v>Error?</v>
      </c>
    </row>
    <row r="807" spans="1:4" x14ac:dyDescent="0.2">
      <c r="A807" s="5">
        <v>746</v>
      </c>
      <c r="B807" s="138">
        <f>'Expenditures 15-22'!D70</f>
        <v>0</v>
      </c>
      <c r="D807" s="2" t="str">
        <f t="shared" si="11"/>
        <v>Error?</v>
      </c>
    </row>
    <row r="808" spans="1:4" x14ac:dyDescent="0.2">
      <c r="A808" s="10">
        <v>747</v>
      </c>
      <c r="D808" s="2" t="str">
        <f t="shared" si="11"/>
        <v>OK</v>
      </c>
    </row>
    <row r="809" spans="1:4" x14ac:dyDescent="0.2">
      <c r="A809" s="5">
        <v>748</v>
      </c>
      <c r="B809" s="138">
        <f>'Expenditures 15-22'!D71</f>
        <v>0</v>
      </c>
      <c r="D809" s="2" t="str">
        <f t="shared" si="11"/>
        <v>Error?</v>
      </c>
    </row>
    <row r="810" spans="1:4" x14ac:dyDescent="0.2">
      <c r="A810" s="10">
        <v>749</v>
      </c>
      <c r="D810" s="2" t="str">
        <f t="shared" si="11"/>
        <v>OK</v>
      </c>
    </row>
    <row r="811" spans="1:4" x14ac:dyDescent="0.2">
      <c r="A811" s="5">
        <v>750</v>
      </c>
      <c r="B811" s="138">
        <f>'Expenditures 15-22'!D72</f>
        <v>0</v>
      </c>
      <c r="C811" s="2" t="s">
        <v>594</v>
      </c>
      <c r="D811" s="2" t="str">
        <f t="shared" si="11"/>
        <v>Error?</v>
      </c>
    </row>
    <row r="812" spans="1:4" x14ac:dyDescent="0.2">
      <c r="A812" s="5">
        <v>751</v>
      </c>
      <c r="B812" s="138">
        <f>'Expenditures 15-22'!D73</f>
        <v>0</v>
      </c>
      <c r="D812" s="2" t="str">
        <f t="shared" si="11"/>
        <v>Error?</v>
      </c>
    </row>
    <row r="813" spans="1:4" x14ac:dyDescent="0.2">
      <c r="A813" s="5">
        <v>752</v>
      </c>
      <c r="B813" s="138">
        <f>'Expenditures 15-22'!D74</f>
        <v>610666</v>
      </c>
      <c r="C813" s="2" t="s">
        <v>594</v>
      </c>
      <c r="D813" s="2" t="str">
        <f t="shared" si="11"/>
        <v>Error?</v>
      </c>
    </row>
    <row r="814" spans="1:4" x14ac:dyDescent="0.2">
      <c r="A814" s="5">
        <v>753</v>
      </c>
      <c r="B814" s="138">
        <f>'Expenditures 15-22'!D75</f>
        <v>0</v>
      </c>
      <c r="D814" s="2" t="str">
        <f t="shared" si="11"/>
        <v>Error?</v>
      </c>
    </row>
    <row r="815" spans="1:4" x14ac:dyDescent="0.2">
      <c r="A815" s="5">
        <v>754</v>
      </c>
      <c r="B815" s="138">
        <f>'Expenditures 15-22'!D114</f>
        <v>2005706</v>
      </c>
      <c r="C815" s="2" t="s">
        <v>594</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17135</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891</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0</v>
      </c>
      <c r="D833" s="2" t="str">
        <f t="shared" si="12"/>
        <v>Error?</v>
      </c>
    </row>
    <row r="834" spans="1:4" x14ac:dyDescent="0.2">
      <c r="A834" s="5">
        <v>773</v>
      </c>
      <c r="B834" s="138">
        <f>'Expenditures 15-22'!E14</f>
        <v>11452</v>
      </c>
      <c r="D834" s="2" t="str">
        <f t="shared" si="12"/>
        <v>Error?</v>
      </c>
    </row>
    <row r="835" spans="1:4" x14ac:dyDescent="0.2">
      <c r="A835" s="5">
        <v>774</v>
      </c>
      <c r="B835" s="138">
        <f>'Expenditures 15-22'!E15</f>
        <v>0</v>
      </c>
      <c r="D835" s="2" t="str">
        <f t="shared" si="12"/>
        <v>Error?</v>
      </c>
    </row>
    <row r="836" spans="1:4" x14ac:dyDescent="0.2">
      <c r="A836" s="5">
        <v>775</v>
      </c>
      <c r="B836" s="138">
        <f>'Expenditures 15-22'!E33</f>
        <v>438329</v>
      </c>
      <c r="C836" s="2" t="s">
        <v>594</v>
      </c>
      <c r="D836" s="2" t="str">
        <f t="shared" si="12"/>
        <v>Error?</v>
      </c>
    </row>
    <row r="837" spans="1:4" x14ac:dyDescent="0.2">
      <c r="A837" s="5">
        <v>776</v>
      </c>
      <c r="B837" s="138">
        <f>'Expenditures 15-22'!E36</f>
        <v>0</v>
      </c>
      <c r="D837" s="2" t="str">
        <f t="shared" si="12"/>
        <v>Error?</v>
      </c>
    </row>
    <row r="838" spans="1:4" x14ac:dyDescent="0.2">
      <c r="A838" s="5">
        <v>777</v>
      </c>
      <c r="B838" s="138">
        <f>'Expenditures 15-22'!E37</f>
        <v>0</v>
      </c>
      <c r="D838" s="2" t="str">
        <f t="shared" si="12"/>
        <v>Error?</v>
      </c>
    </row>
    <row r="839" spans="1:4" x14ac:dyDescent="0.2">
      <c r="A839" s="5">
        <v>778</v>
      </c>
      <c r="B839" s="138">
        <f>'Expenditures 15-22'!E38</f>
        <v>2146</v>
      </c>
      <c r="D839" s="2" t="str">
        <f t="shared" si="12"/>
        <v>Error?</v>
      </c>
    </row>
    <row r="840" spans="1:4" x14ac:dyDescent="0.2">
      <c r="A840" s="5">
        <v>779</v>
      </c>
      <c r="B840" s="138">
        <f>'Expenditures 15-22'!E39</f>
        <v>120</v>
      </c>
      <c r="D840" s="2" t="str">
        <f t="shared" si="12"/>
        <v>Error?</v>
      </c>
    </row>
    <row r="841" spans="1:4" x14ac:dyDescent="0.2">
      <c r="A841" s="5">
        <v>780</v>
      </c>
      <c r="B841" s="138">
        <f>'Expenditures 15-22'!E40</f>
        <v>111849</v>
      </c>
      <c r="D841" s="2" t="str">
        <f t="shared" si="12"/>
        <v>Error?</v>
      </c>
    </row>
    <row r="842" spans="1:4" x14ac:dyDescent="0.2">
      <c r="A842" s="5">
        <v>781</v>
      </c>
      <c r="B842" s="138">
        <f>'Expenditures 15-22'!E41</f>
        <v>0</v>
      </c>
      <c r="D842" s="2" t="str">
        <f t="shared" si="12"/>
        <v>Error?</v>
      </c>
    </row>
    <row r="843" spans="1:4" x14ac:dyDescent="0.2">
      <c r="A843" s="5">
        <v>782</v>
      </c>
      <c r="B843" s="138">
        <f>'Expenditures 15-22'!E42</f>
        <v>114115</v>
      </c>
      <c r="C843" s="2" t="s">
        <v>594</v>
      </c>
      <c r="D843" s="2" t="str">
        <f t="shared" si="12"/>
        <v>Error?</v>
      </c>
    </row>
    <row r="844" spans="1:4" x14ac:dyDescent="0.2">
      <c r="A844" s="5">
        <v>783</v>
      </c>
      <c r="B844" s="138">
        <f>'Expenditures 15-22'!E44</f>
        <v>6067</v>
      </c>
      <c r="D844" s="2" t="str">
        <f t="shared" si="12"/>
        <v>Error?</v>
      </c>
    </row>
    <row r="845" spans="1:4" x14ac:dyDescent="0.2">
      <c r="A845" s="5">
        <v>784</v>
      </c>
      <c r="B845" s="138">
        <f>'Expenditures 15-22'!E45</f>
        <v>85427</v>
      </c>
      <c r="D845" s="2" t="str">
        <f t="shared" si="12"/>
        <v>Error?</v>
      </c>
    </row>
    <row r="846" spans="1:4" x14ac:dyDescent="0.2">
      <c r="A846" s="5">
        <v>785</v>
      </c>
      <c r="B846" s="138">
        <f>'Expenditures 15-22'!E46</f>
        <v>0</v>
      </c>
      <c r="D846" s="2" t="str">
        <f t="shared" si="12"/>
        <v>Error?</v>
      </c>
    </row>
    <row r="847" spans="1:4" x14ac:dyDescent="0.2">
      <c r="A847" s="5">
        <v>786</v>
      </c>
      <c r="B847" s="138">
        <f>'Expenditures 15-22'!E47</f>
        <v>91494</v>
      </c>
      <c r="C847" s="2" t="s">
        <v>594</v>
      </c>
      <c r="D847" s="2" t="str">
        <f t="shared" si="12"/>
        <v>Error?</v>
      </c>
    </row>
    <row r="848" spans="1:4" x14ac:dyDescent="0.2">
      <c r="A848" s="5">
        <v>787</v>
      </c>
      <c r="B848" s="138">
        <f>'Expenditures 15-22'!E49</f>
        <v>90697</v>
      </c>
      <c r="D848" s="2" t="str">
        <f t="shared" si="12"/>
        <v>Error?</v>
      </c>
    </row>
    <row r="849" spans="1:4" x14ac:dyDescent="0.2">
      <c r="A849" s="5">
        <v>788</v>
      </c>
      <c r="B849" s="138">
        <f>'Expenditures 15-22'!E50</f>
        <v>57218</v>
      </c>
      <c r="D849" s="2" t="str">
        <f t="shared" si="12"/>
        <v>Error?</v>
      </c>
    </row>
    <row r="850" spans="1:4" x14ac:dyDescent="0.2">
      <c r="A850" s="5">
        <v>789</v>
      </c>
      <c r="B850" s="138">
        <f>'Expenditures 15-22'!E53</f>
        <v>147915</v>
      </c>
      <c r="C850" s="2" t="s">
        <v>594</v>
      </c>
      <c r="D850" s="2" t="str">
        <f t="shared" si="12"/>
        <v>Error?</v>
      </c>
    </row>
    <row r="851" spans="1:4" x14ac:dyDescent="0.2">
      <c r="A851" s="5">
        <v>790</v>
      </c>
      <c r="B851" s="138">
        <f>'Expenditures 15-22'!E55</f>
        <v>73957</v>
      </c>
      <c r="D851" s="2" t="str">
        <f t="shared" si="12"/>
        <v>Error?</v>
      </c>
    </row>
    <row r="852" spans="1:4" x14ac:dyDescent="0.2">
      <c r="A852" s="5">
        <v>791</v>
      </c>
      <c r="B852" s="138">
        <f>'Expenditures 15-22'!E56</f>
        <v>0</v>
      </c>
      <c r="D852" s="2" t="str">
        <f t="shared" si="12"/>
        <v>Error?</v>
      </c>
    </row>
    <row r="853" spans="1:4" x14ac:dyDescent="0.2">
      <c r="A853" s="5">
        <v>792</v>
      </c>
      <c r="B853" s="138">
        <f>'Expenditures 15-22'!E57</f>
        <v>73957</v>
      </c>
      <c r="C853" s="2" t="s">
        <v>594</v>
      </c>
      <c r="D853" s="2" t="str">
        <f t="shared" si="12"/>
        <v>Error?</v>
      </c>
    </row>
    <row r="854" spans="1:4" x14ac:dyDescent="0.2">
      <c r="A854" s="5">
        <v>793</v>
      </c>
      <c r="B854" s="138">
        <f>'Expenditures 15-22'!E59</f>
        <v>0</v>
      </c>
      <c r="D854" s="2" t="str">
        <f t="shared" si="12"/>
        <v>Error?</v>
      </c>
    </row>
    <row r="855" spans="1:4" x14ac:dyDescent="0.2">
      <c r="A855" s="5">
        <v>794</v>
      </c>
      <c r="B855" s="138">
        <f>'Expenditures 15-22'!E60</f>
        <v>0</v>
      </c>
      <c r="D855" s="2" t="str">
        <f t="shared" si="12"/>
        <v>Error?</v>
      </c>
    </row>
    <row r="856" spans="1:4" x14ac:dyDescent="0.2">
      <c r="A856" s="5">
        <v>795</v>
      </c>
      <c r="B856" s="138">
        <f>'Expenditures 15-22'!E61</f>
        <v>0</v>
      </c>
      <c r="D856" s="2" t="str">
        <f t="shared" si="12"/>
        <v>Error?</v>
      </c>
    </row>
    <row r="857" spans="1:4" x14ac:dyDescent="0.2">
      <c r="A857" s="5">
        <v>796</v>
      </c>
      <c r="B857" s="138">
        <f>'Expenditures 15-22'!E62</f>
        <v>0</v>
      </c>
      <c r="D857" s="2" t="str">
        <f t="shared" si="12"/>
        <v>Error?</v>
      </c>
    </row>
    <row r="858" spans="1:4" x14ac:dyDescent="0.2">
      <c r="A858" s="5">
        <v>797</v>
      </c>
      <c r="B858" s="138">
        <f>'Expenditures 15-22'!E63</f>
        <v>16970</v>
      </c>
      <c r="D858" s="2" t="str">
        <f t="shared" si="12"/>
        <v>Error?</v>
      </c>
    </row>
    <row r="859" spans="1:4" x14ac:dyDescent="0.2">
      <c r="A859" s="5">
        <v>798</v>
      </c>
      <c r="B859" s="138">
        <f>'Expenditures 15-22'!E64</f>
        <v>299</v>
      </c>
      <c r="D859" s="2" t="str">
        <f t="shared" si="12"/>
        <v>Error?</v>
      </c>
    </row>
    <row r="860" spans="1:4" x14ac:dyDescent="0.2">
      <c r="A860" s="10">
        <v>799</v>
      </c>
      <c r="D860" s="2" t="str">
        <f t="shared" si="12"/>
        <v>OK</v>
      </c>
    </row>
    <row r="861" spans="1:4" x14ac:dyDescent="0.2">
      <c r="A861" s="5">
        <v>800</v>
      </c>
      <c r="B861" s="138">
        <f>'Expenditures 15-22'!E65</f>
        <v>17269</v>
      </c>
      <c r="C861" s="2" t="s">
        <v>594</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0</v>
      </c>
      <c r="D864" s="2" t="str">
        <f t="shared" si="12"/>
        <v>Error?</v>
      </c>
    </row>
    <row r="865" spans="1:4" x14ac:dyDescent="0.2">
      <c r="A865" s="5">
        <v>804</v>
      </c>
      <c r="B865" s="138">
        <f>'Expenditures 15-22'!E70</f>
        <v>0</v>
      </c>
      <c r="D865" s="2" t="str">
        <f t="shared" si="12"/>
        <v>Error?</v>
      </c>
    </row>
    <row r="866" spans="1:4" x14ac:dyDescent="0.2">
      <c r="A866" s="10">
        <v>805</v>
      </c>
      <c r="D866" s="2" t="str">
        <f t="shared" si="12"/>
        <v>OK</v>
      </c>
    </row>
    <row r="867" spans="1:4" x14ac:dyDescent="0.2">
      <c r="A867" s="5">
        <v>806</v>
      </c>
      <c r="B867" s="138">
        <f>'Expenditures 15-22'!E71</f>
        <v>73073</v>
      </c>
      <c r="D867" s="2" t="str">
        <f t="shared" si="12"/>
        <v>Error?</v>
      </c>
    </row>
    <row r="868" spans="1:4" x14ac:dyDescent="0.2">
      <c r="A868" s="10">
        <v>807</v>
      </c>
      <c r="D868" s="2" t="str">
        <f t="shared" si="12"/>
        <v>OK</v>
      </c>
    </row>
    <row r="869" spans="1:4" x14ac:dyDescent="0.2">
      <c r="A869" s="5">
        <v>808</v>
      </c>
      <c r="B869" s="138">
        <f>'Expenditures 15-22'!E72</f>
        <v>73073</v>
      </c>
      <c r="C869" s="2" t="s">
        <v>594</v>
      </c>
      <c r="D869" s="2" t="str">
        <f t="shared" si="12"/>
        <v>Error?</v>
      </c>
    </row>
    <row r="870" spans="1:4" x14ac:dyDescent="0.2">
      <c r="A870" s="5">
        <v>809</v>
      </c>
      <c r="B870" s="138">
        <f>'Expenditures 15-22'!E73</f>
        <v>0</v>
      </c>
      <c r="D870" s="2" t="str">
        <f t="shared" si="12"/>
        <v>Error?</v>
      </c>
    </row>
    <row r="871" spans="1:4" x14ac:dyDescent="0.2">
      <c r="A871" s="5">
        <v>810</v>
      </c>
      <c r="B871" s="138">
        <f>'Expenditures 15-22'!E74</f>
        <v>517823</v>
      </c>
      <c r="C871" s="2" t="s">
        <v>594</v>
      </c>
      <c r="D871" s="2" t="str">
        <f t="shared" si="12"/>
        <v>Error?</v>
      </c>
    </row>
    <row r="872" spans="1:4" x14ac:dyDescent="0.2">
      <c r="A872" s="5">
        <v>811</v>
      </c>
      <c r="B872" s="138">
        <f>'Expenditures 15-22'!E75</f>
        <v>39186</v>
      </c>
      <c r="D872" s="2" t="str">
        <f t="shared" si="12"/>
        <v>Error?</v>
      </c>
    </row>
    <row r="873" spans="1:4" x14ac:dyDescent="0.2">
      <c r="A873" s="5">
        <v>812</v>
      </c>
      <c r="B873" s="138">
        <f>'Expenditures 15-22'!E114</f>
        <v>995338</v>
      </c>
      <c r="C873" s="2" t="s">
        <v>594</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357174</v>
      </c>
      <c r="D879" s="2" t="str">
        <f t="shared" si="12"/>
        <v>Error?</v>
      </c>
    </row>
    <row r="880" spans="1:4" x14ac:dyDescent="0.2">
      <c r="A880" s="5">
        <v>819</v>
      </c>
      <c r="B880" s="138">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11234</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0</v>
      </c>
      <c r="D891" s="2" t="str">
        <f t="shared" si="12"/>
        <v>Error?</v>
      </c>
    </row>
    <row r="892" spans="1:4" x14ac:dyDescent="0.2">
      <c r="A892" s="5">
        <v>831</v>
      </c>
      <c r="B892" s="138">
        <f>'Expenditures 15-22'!F14</f>
        <v>6273</v>
      </c>
      <c r="D892" s="2" t="str">
        <f t="shared" si="12"/>
        <v>Error?</v>
      </c>
    </row>
    <row r="893" spans="1:4" x14ac:dyDescent="0.2">
      <c r="A893" s="5">
        <v>832</v>
      </c>
      <c r="B893" s="138">
        <f>'Expenditures 15-22'!F15</f>
        <v>0</v>
      </c>
      <c r="D893" s="2" t="str">
        <f t="shared" si="12"/>
        <v>Error?</v>
      </c>
    </row>
    <row r="894" spans="1:4" x14ac:dyDescent="0.2">
      <c r="A894" s="5">
        <v>833</v>
      </c>
      <c r="B894" s="138">
        <f>'Expenditures 15-22'!F33</f>
        <v>673947</v>
      </c>
      <c r="C894" s="2" t="s">
        <v>594</v>
      </c>
      <c r="D894" s="2" t="str">
        <f t="shared" si="12"/>
        <v>Error?</v>
      </c>
    </row>
    <row r="895" spans="1:4" x14ac:dyDescent="0.2">
      <c r="A895" s="5">
        <v>834</v>
      </c>
      <c r="B895" s="138">
        <f>'Expenditures 15-22'!F36</f>
        <v>0</v>
      </c>
      <c r="D895" s="2" t="str">
        <f t="shared" ref="D895:D958" si="13">IF(ISBLANK(B895),"OK",IF(A895-B895=0,"OK","Error?"))</f>
        <v>Error?</v>
      </c>
    </row>
    <row r="896" spans="1:4" x14ac:dyDescent="0.2">
      <c r="A896" s="5">
        <v>835</v>
      </c>
      <c r="B896" s="138">
        <f>'Expenditures 15-22'!F37</f>
        <v>0</v>
      </c>
      <c r="D896" s="2" t="str">
        <f t="shared" si="13"/>
        <v>Error?</v>
      </c>
    </row>
    <row r="897" spans="1:4" x14ac:dyDescent="0.2">
      <c r="A897" s="5">
        <v>836</v>
      </c>
      <c r="B897" s="138">
        <f>'Expenditures 15-22'!F38</f>
        <v>3944</v>
      </c>
      <c r="D897" s="2" t="str">
        <f t="shared" si="13"/>
        <v>Error?</v>
      </c>
    </row>
    <row r="898" spans="1:4" x14ac:dyDescent="0.2">
      <c r="A898" s="5">
        <v>837</v>
      </c>
      <c r="B898" s="138">
        <f>'Expenditures 15-22'!F39</f>
        <v>5323</v>
      </c>
      <c r="D898" s="2" t="str">
        <f t="shared" si="13"/>
        <v>Error?</v>
      </c>
    </row>
    <row r="899" spans="1:4" x14ac:dyDescent="0.2">
      <c r="A899" s="5">
        <v>838</v>
      </c>
      <c r="B899" s="138">
        <f>'Expenditures 15-22'!F40</f>
        <v>5695</v>
      </c>
      <c r="D899" s="2" t="str">
        <f t="shared" si="13"/>
        <v>Error?</v>
      </c>
    </row>
    <row r="900" spans="1:4" x14ac:dyDescent="0.2">
      <c r="A900" s="5">
        <v>839</v>
      </c>
      <c r="B900" s="138">
        <f>'Expenditures 15-22'!F41</f>
        <v>0</v>
      </c>
      <c r="D900" s="2" t="str">
        <f t="shared" si="13"/>
        <v>Error?</v>
      </c>
    </row>
    <row r="901" spans="1:4" x14ac:dyDescent="0.2">
      <c r="A901" s="5">
        <v>840</v>
      </c>
      <c r="B901" s="138">
        <f>'Expenditures 15-22'!F42</f>
        <v>14962</v>
      </c>
      <c r="C901" s="2" t="s">
        <v>594</v>
      </c>
      <c r="D901" s="2" t="str">
        <f t="shared" si="13"/>
        <v>Error?</v>
      </c>
    </row>
    <row r="902" spans="1:4" x14ac:dyDescent="0.2">
      <c r="A902" s="5">
        <v>841</v>
      </c>
      <c r="B902" s="138">
        <f>'Expenditures 15-22'!F44</f>
        <v>372306</v>
      </c>
      <c r="D902" s="2" t="str">
        <f t="shared" si="13"/>
        <v>Error?</v>
      </c>
    </row>
    <row r="903" spans="1:4" x14ac:dyDescent="0.2">
      <c r="A903" s="5">
        <v>842</v>
      </c>
      <c r="B903" s="138">
        <f>'Expenditures 15-22'!F45</f>
        <v>80999</v>
      </c>
      <c r="D903" s="2" t="str">
        <f t="shared" si="13"/>
        <v>Error?</v>
      </c>
    </row>
    <row r="904" spans="1:4" x14ac:dyDescent="0.2">
      <c r="A904" s="5">
        <v>843</v>
      </c>
      <c r="B904" s="138">
        <f>'Expenditures 15-22'!F46</f>
        <v>0</v>
      </c>
      <c r="D904" s="2" t="str">
        <f t="shared" si="13"/>
        <v>Error?</v>
      </c>
    </row>
    <row r="905" spans="1:4" x14ac:dyDescent="0.2">
      <c r="A905" s="5">
        <v>844</v>
      </c>
      <c r="B905" s="138">
        <f>'Expenditures 15-22'!F47</f>
        <v>453305</v>
      </c>
      <c r="C905" s="2" t="s">
        <v>594</v>
      </c>
      <c r="D905" s="2" t="str">
        <f t="shared" si="13"/>
        <v>Error?</v>
      </c>
    </row>
    <row r="906" spans="1:4" x14ac:dyDescent="0.2">
      <c r="A906" s="5">
        <v>845</v>
      </c>
      <c r="B906" s="138">
        <f>'Expenditures 15-22'!F49</f>
        <v>2372</v>
      </c>
      <c r="D906" s="2" t="str">
        <f t="shared" si="13"/>
        <v>Error?</v>
      </c>
    </row>
    <row r="907" spans="1:4" x14ac:dyDescent="0.2">
      <c r="A907" s="5">
        <v>846</v>
      </c>
      <c r="B907" s="138">
        <f>'Expenditures 15-22'!F50</f>
        <v>9132</v>
      </c>
      <c r="D907" s="2" t="str">
        <f t="shared" si="13"/>
        <v>Error?</v>
      </c>
    </row>
    <row r="908" spans="1:4" x14ac:dyDescent="0.2">
      <c r="A908" s="5">
        <v>847</v>
      </c>
      <c r="B908" s="138">
        <f>'Expenditures 15-22'!F53</f>
        <v>11504</v>
      </c>
      <c r="C908" s="2" t="s">
        <v>594</v>
      </c>
      <c r="D908" s="2" t="str">
        <f t="shared" si="13"/>
        <v>Error?</v>
      </c>
    </row>
    <row r="909" spans="1:4" x14ac:dyDescent="0.2">
      <c r="A909" s="5">
        <v>848</v>
      </c>
      <c r="B909" s="138">
        <f>'Expenditures 15-22'!F55</f>
        <v>8681</v>
      </c>
      <c r="D909" s="2" t="str">
        <f t="shared" si="13"/>
        <v>Error?</v>
      </c>
    </row>
    <row r="910" spans="1:4" x14ac:dyDescent="0.2">
      <c r="A910" s="5">
        <v>849</v>
      </c>
      <c r="B910" s="138">
        <f>'Expenditures 15-22'!F56</f>
        <v>0</v>
      </c>
      <c r="D910" s="2" t="str">
        <f t="shared" si="13"/>
        <v>Error?</v>
      </c>
    </row>
    <row r="911" spans="1:4" x14ac:dyDescent="0.2">
      <c r="A911" s="5">
        <v>850</v>
      </c>
      <c r="B911" s="138">
        <f>'Expenditures 15-22'!F57</f>
        <v>8681</v>
      </c>
      <c r="C911" s="2" t="s">
        <v>594</v>
      </c>
      <c r="D911" s="2" t="str">
        <f t="shared" si="13"/>
        <v>Error?</v>
      </c>
    </row>
    <row r="912" spans="1:4" x14ac:dyDescent="0.2">
      <c r="A912" s="5">
        <v>851</v>
      </c>
      <c r="B912" s="138">
        <f>'Expenditures 15-22'!F59</f>
        <v>0</v>
      </c>
      <c r="D912" s="2" t="str">
        <f t="shared" si="13"/>
        <v>Error?</v>
      </c>
    </row>
    <row r="913" spans="1:4" x14ac:dyDescent="0.2">
      <c r="A913" s="5">
        <v>852</v>
      </c>
      <c r="B913" s="138">
        <f>'Expenditures 15-22'!F60</f>
        <v>0</v>
      </c>
      <c r="D913" s="2" t="str">
        <f t="shared" si="13"/>
        <v>Error?</v>
      </c>
    </row>
    <row r="914" spans="1:4" x14ac:dyDescent="0.2">
      <c r="A914" s="5">
        <v>853</v>
      </c>
      <c r="B914" s="138">
        <f>'Expenditures 15-22'!F61</f>
        <v>0</v>
      </c>
      <c r="D914" s="2" t="str">
        <f t="shared" si="13"/>
        <v>Error?</v>
      </c>
    </row>
    <row r="915" spans="1:4" x14ac:dyDescent="0.2">
      <c r="A915" s="5">
        <v>854</v>
      </c>
      <c r="B915" s="138">
        <f>'Expenditures 15-22'!F62</f>
        <v>0</v>
      </c>
      <c r="D915" s="2" t="str">
        <f t="shared" si="13"/>
        <v>Error?</v>
      </c>
    </row>
    <row r="916" spans="1:4" x14ac:dyDescent="0.2">
      <c r="A916" s="5">
        <v>855</v>
      </c>
      <c r="B916" s="138">
        <f>'Expenditures 15-22'!F63</f>
        <v>391214</v>
      </c>
      <c r="D916" s="2" t="str">
        <f t="shared" si="13"/>
        <v>Error?</v>
      </c>
    </row>
    <row r="917" spans="1:4" x14ac:dyDescent="0.2">
      <c r="A917" s="5">
        <v>856</v>
      </c>
      <c r="B917" s="138">
        <f>'Expenditures 15-22'!F64</f>
        <v>9710</v>
      </c>
      <c r="D917" s="2" t="str">
        <f t="shared" si="13"/>
        <v>Error?</v>
      </c>
    </row>
    <row r="918" spans="1:4" x14ac:dyDescent="0.2">
      <c r="A918" s="10">
        <v>857</v>
      </c>
      <c r="D918" s="2" t="str">
        <f t="shared" si="13"/>
        <v>OK</v>
      </c>
    </row>
    <row r="919" spans="1:4" x14ac:dyDescent="0.2">
      <c r="A919" s="5">
        <v>858</v>
      </c>
      <c r="B919" s="138">
        <f>'Expenditures 15-22'!F65</f>
        <v>400924</v>
      </c>
      <c r="C919" s="2" t="s">
        <v>594</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0</v>
      </c>
      <c r="D922" s="2" t="str">
        <f t="shared" si="13"/>
        <v>Error?</v>
      </c>
    </row>
    <row r="923" spans="1:4" x14ac:dyDescent="0.2">
      <c r="A923" s="5">
        <v>862</v>
      </c>
      <c r="B923" s="138">
        <f>'Expenditures 15-22'!F70</f>
        <v>0</v>
      </c>
      <c r="D923" s="2" t="str">
        <f t="shared" si="13"/>
        <v>Error?</v>
      </c>
    </row>
    <row r="924" spans="1:4" x14ac:dyDescent="0.2">
      <c r="A924" s="10">
        <v>863</v>
      </c>
      <c r="D924" s="2" t="str">
        <f t="shared" si="13"/>
        <v>OK</v>
      </c>
    </row>
    <row r="925" spans="1:4" x14ac:dyDescent="0.2">
      <c r="A925" s="5">
        <v>864</v>
      </c>
      <c r="B925" s="138">
        <f>'Expenditures 15-22'!F71</f>
        <v>0</v>
      </c>
      <c r="D925" s="2" t="str">
        <f t="shared" si="13"/>
        <v>Error?</v>
      </c>
    </row>
    <row r="926" spans="1:4" x14ac:dyDescent="0.2">
      <c r="A926" s="10">
        <v>865</v>
      </c>
      <c r="D926" s="2" t="str">
        <f t="shared" si="13"/>
        <v>OK</v>
      </c>
    </row>
    <row r="927" spans="1:4" x14ac:dyDescent="0.2">
      <c r="A927" s="5">
        <v>866</v>
      </c>
      <c r="B927" s="138">
        <f>'Expenditures 15-22'!F72</f>
        <v>0</v>
      </c>
      <c r="C927" s="2" t="s">
        <v>594</v>
      </c>
      <c r="D927" s="2" t="str">
        <f t="shared" si="13"/>
        <v>Error?</v>
      </c>
    </row>
    <row r="928" spans="1:4" x14ac:dyDescent="0.2">
      <c r="A928" s="5">
        <v>867</v>
      </c>
      <c r="B928" s="138">
        <f>'Expenditures 15-22'!F73</f>
        <v>0</v>
      </c>
      <c r="D928" s="2" t="str">
        <f t="shared" si="13"/>
        <v>Error?</v>
      </c>
    </row>
    <row r="929" spans="1:4" x14ac:dyDescent="0.2">
      <c r="A929" s="5">
        <v>868</v>
      </c>
      <c r="B929" s="138">
        <f>'Expenditures 15-22'!F74</f>
        <v>889376</v>
      </c>
      <c r="C929" s="2" t="s">
        <v>594</v>
      </c>
      <c r="D929" s="2" t="str">
        <f t="shared" si="13"/>
        <v>Error?</v>
      </c>
    </row>
    <row r="930" spans="1:4" x14ac:dyDescent="0.2">
      <c r="A930" s="5">
        <v>869</v>
      </c>
      <c r="B930" s="138">
        <f>'Expenditures 15-22'!F75</f>
        <v>0</v>
      </c>
      <c r="D930" s="2" t="str">
        <f t="shared" si="13"/>
        <v>Error?</v>
      </c>
    </row>
    <row r="931" spans="1:4" x14ac:dyDescent="0.2">
      <c r="A931" s="5">
        <v>870</v>
      </c>
      <c r="B931" s="138">
        <f>'Expenditures 15-22'!F114</f>
        <v>1563323</v>
      </c>
      <c r="C931" s="2" t="s">
        <v>594</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5920</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0</v>
      </c>
      <c r="D949" s="2" t="str">
        <f t="shared" si="13"/>
        <v>Error?</v>
      </c>
    </row>
    <row r="950" spans="1:4" x14ac:dyDescent="0.2">
      <c r="A950" s="5">
        <v>889</v>
      </c>
      <c r="B950" s="138">
        <f>'Expenditures 15-22'!G14</f>
        <v>0</v>
      </c>
      <c r="D950" s="2" t="str">
        <f t="shared" si="13"/>
        <v>Error?</v>
      </c>
    </row>
    <row r="951" spans="1:4" x14ac:dyDescent="0.2">
      <c r="A951" s="5">
        <v>890</v>
      </c>
      <c r="B951" s="138">
        <f>'Expenditures 15-22'!G15</f>
        <v>0</v>
      </c>
      <c r="D951" s="2" t="str">
        <f t="shared" si="13"/>
        <v>Error?</v>
      </c>
    </row>
    <row r="952" spans="1:4" x14ac:dyDescent="0.2">
      <c r="A952" s="5">
        <v>891</v>
      </c>
      <c r="B952" s="138">
        <f>'Expenditures 15-22'!G33</f>
        <v>91792</v>
      </c>
      <c r="C952" s="2" t="s">
        <v>594</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1980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1980</v>
      </c>
      <c r="C959" s="2" t="s">
        <v>594</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47419</v>
      </c>
      <c r="D961" s="2" t="str">
        <f t="shared" si="14"/>
        <v>Error?</v>
      </c>
    </row>
    <row r="962" spans="1:4" x14ac:dyDescent="0.2">
      <c r="A962" s="5">
        <v>901</v>
      </c>
      <c r="B962" s="138">
        <f>'Expenditures 15-22'!G46</f>
        <v>0</v>
      </c>
      <c r="D962" s="2" t="str">
        <f t="shared" si="14"/>
        <v>Error?</v>
      </c>
    </row>
    <row r="963" spans="1:4" x14ac:dyDescent="0.2">
      <c r="A963" s="5">
        <v>902</v>
      </c>
      <c r="B963" s="138">
        <f>'Expenditures 15-22'!G47</f>
        <v>47419</v>
      </c>
      <c r="C963" s="2" t="s">
        <v>594</v>
      </c>
      <c r="D963" s="2" t="str">
        <f t="shared" si="14"/>
        <v>Error?</v>
      </c>
    </row>
    <row r="964" spans="1:4" x14ac:dyDescent="0.2">
      <c r="A964" s="5">
        <v>903</v>
      </c>
      <c r="B964" s="138">
        <f>'Expenditures 15-22'!G49</f>
        <v>0</v>
      </c>
      <c r="D964" s="2" t="str">
        <f t="shared" si="14"/>
        <v>Error?</v>
      </c>
    </row>
    <row r="965" spans="1:4" x14ac:dyDescent="0.2">
      <c r="A965" s="5">
        <v>904</v>
      </c>
      <c r="B965" s="138">
        <f>'Expenditures 15-22'!G50</f>
        <v>0</v>
      </c>
      <c r="D965" s="2" t="str">
        <f t="shared" si="14"/>
        <v>Error?</v>
      </c>
    </row>
    <row r="966" spans="1:4" x14ac:dyDescent="0.2">
      <c r="A966" s="5">
        <v>905</v>
      </c>
      <c r="B966" s="138">
        <f>'Expenditures 15-22'!G53</f>
        <v>0</v>
      </c>
      <c r="C966" s="2" t="s">
        <v>594</v>
      </c>
      <c r="D966" s="2" t="str">
        <f t="shared" si="14"/>
        <v>Error?</v>
      </c>
    </row>
    <row r="967" spans="1:4" x14ac:dyDescent="0.2">
      <c r="A967" s="5">
        <v>906</v>
      </c>
      <c r="B967" s="138">
        <f>'Expenditures 15-22'!G55</f>
        <v>0</v>
      </c>
      <c r="D967" s="2" t="str">
        <f t="shared" si="14"/>
        <v>Error?</v>
      </c>
    </row>
    <row r="968" spans="1:4" x14ac:dyDescent="0.2">
      <c r="A968" s="5">
        <v>907</v>
      </c>
      <c r="B968" s="138">
        <f>'Expenditures 15-22'!G56</f>
        <v>0</v>
      </c>
      <c r="D968" s="2" t="str">
        <f t="shared" si="14"/>
        <v>Error?</v>
      </c>
    </row>
    <row r="969" spans="1:4" x14ac:dyDescent="0.2">
      <c r="A969" s="5">
        <v>908</v>
      </c>
      <c r="B969" s="138">
        <f>'Expenditures 15-22'!G57</f>
        <v>0</v>
      </c>
      <c r="C969" s="2" t="s">
        <v>594</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13350</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13350</v>
      </c>
      <c r="C977" s="2" t="s">
        <v>594</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0</v>
      </c>
      <c r="D983" s="2" t="str">
        <f t="shared" si="14"/>
        <v>Error?</v>
      </c>
    </row>
    <row r="984" spans="1:4" x14ac:dyDescent="0.2">
      <c r="A984" s="10">
        <v>923</v>
      </c>
      <c r="D984" s="2" t="str">
        <f t="shared" si="14"/>
        <v>OK</v>
      </c>
    </row>
    <row r="985" spans="1:4" x14ac:dyDescent="0.2">
      <c r="A985" s="5">
        <v>924</v>
      </c>
      <c r="B985" s="138">
        <f>'Expenditures 15-22'!G72</f>
        <v>0</v>
      </c>
      <c r="C985" s="2" t="s">
        <v>594</v>
      </c>
      <c r="D985" s="2" t="str">
        <f t="shared" si="14"/>
        <v>Error?</v>
      </c>
    </row>
    <row r="986" spans="1:4" x14ac:dyDescent="0.2">
      <c r="A986" s="5">
        <v>925</v>
      </c>
      <c r="B986" s="138">
        <f>'Expenditures 15-22'!G73</f>
        <v>0</v>
      </c>
      <c r="D986" s="2" t="str">
        <f t="shared" si="14"/>
        <v>Error?</v>
      </c>
    </row>
    <row r="987" spans="1:4" x14ac:dyDescent="0.2">
      <c r="A987" s="5">
        <v>926</v>
      </c>
      <c r="B987" s="138">
        <f>'Expenditures 15-22'!G74</f>
        <v>62749</v>
      </c>
      <c r="C987" s="2" t="s">
        <v>594</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154541</v>
      </c>
      <c r="C989" s="2" t="s">
        <v>594</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1026</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2856</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5629</v>
      </c>
      <c r="C1010" s="2" t="s">
        <v>594</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0</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0</v>
      </c>
      <c r="C1017" s="2" t="s">
        <v>594</v>
      </c>
      <c r="D1017" s="2" t="str">
        <f t="shared" si="14"/>
        <v>Error?</v>
      </c>
    </row>
    <row r="1018" spans="1:4" x14ac:dyDescent="0.2">
      <c r="A1018" s="5">
        <v>957</v>
      </c>
      <c r="B1018" s="138">
        <f>'Expenditures 15-22'!H44</f>
        <v>385</v>
      </c>
      <c r="D1018" s="2" t="str">
        <f t="shared" si="14"/>
        <v>Error?</v>
      </c>
    </row>
    <row r="1019" spans="1:4" x14ac:dyDescent="0.2">
      <c r="A1019" s="5">
        <v>958</v>
      </c>
      <c r="B1019" s="138">
        <f>'Expenditures 15-22'!H45</f>
        <v>0</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385</v>
      </c>
      <c r="C1021" s="2" t="s">
        <v>594</v>
      </c>
      <c r="D1021" s="2" t="str">
        <f t="shared" si="14"/>
        <v>Error?</v>
      </c>
    </row>
    <row r="1022" spans="1:4" x14ac:dyDescent="0.2">
      <c r="A1022" s="5">
        <v>961</v>
      </c>
      <c r="B1022" s="138">
        <f>'Expenditures 15-22'!H49</f>
        <v>22431</v>
      </c>
      <c r="D1022" s="2" t="str">
        <f t="shared" si="14"/>
        <v>Error?</v>
      </c>
    </row>
    <row r="1023" spans="1:4" x14ac:dyDescent="0.2">
      <c r="A1023" s="5">
        <v>962</v>
      </c>
      <c r="B1023" s="138">
        <f>'Expenditures 15-22'!H50</f>
        <v>2582</v>
      </c>
      <c r="D1023" s="2" t="str">
        <f t="shared" ref="D1023:D1086" si="15">IF(ISBLANK(B1023),"OK",IF(A1023-B1023=0,"OK","Error?"))</f>
        <v>Error?</v>
      </c>
    </row>
    <row r="1024" spans="1:4" x14ac:dyDescent="0.2">
      <c r="A1024" s="5">
        <v>963</v>
      </c>
      <c r="B1024" s="138">
        <f>'Expenditures 15-22'!H53</f>
        <v>25013</v>
      </c>
      <c r="C1024" s="2" t="s">
        <v>594</v>
      </c>
      <c r="D1024" s="2" t="str">
        <f t="shared" si="15"/>
        <v>Error?</v>
      </c>
    </row>
    <row r="1025" spans="1:4" x14ac:dyDescent="0.2">
      <c r="A1025" s="5">
        <v>964</v>
      </c>
      <c r="B1025" s="138">
        <f>'Expenditures 15-22'!H55</f>
        <v>7656</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7656</v>
      </c>
      <c r="C1027" s="2" t="s">
        <v>594</v>
      </c>
      <c r="D1027" s="2" t="str">
        <f t="shared" si="15"/>
        <v>Error?</v>
      </c>
    </row>
    <row r="1028" spans="1:4" x14ac:dyDescent="0.2">
      <c r="A1028" s="5">
        <v>967</v>
      </c>
      <c r="B1028" s="138">
        <f>'Expenditures 15-22'!H59</f>
        <v>0</v>
      </c>
      <c r="D1028" s="2" t="str">
        <f t="shared" si="15"/>
        <v>Error?</v>
      </c>
    </row>
    <row r="1029" spans="1:4" x14ac:dyDescent="0.2">
      <c r="A1029" s="5">
        <v>968</v>
      </c>
      <c r="B1029" s="138">
        <f>'Expenditures 15-22'!H60</f>
        <v>855</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1140</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1995</v>
      </c>
      <c r="C1035" s="2" t="s">
        <v>594</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0</v>
      </c>
      <c r="C1043" s="2" t="s">
        <v>594</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35049</v>
      </c>
      <c r="C1045" s="2" t="s">
        <v>594</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507297</v>
      </c>
      <c r="C1047" s="2" t="s">
        <v>594</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594</v>
      </c>
      <c r="D1053" s="2" t="str">
        <f t="shared" si="15"/>
        <v>Error?</v>
      </c>
    </row>
    <row r="1054" spans="1:4" x14ac:dyDescent="0.2">
      <c r="A1054" s="5">
        <v>993</v>
      </c>
      <c r="B1054" s="138">
        <f>'Expenditures 15-22'!H114</f>
        <v>547975</v>
      </c>
      <c r="C1054" s="2" t="s">
        <v>594</v>
      </c>
      <c r="D1054" s="2" t="str">
        <f t="shared" si="15"/>
        <v>Error?</v>
      </c>
    </row>
    <row r="1055" spans="1:4" x14ac:dyDescent="0.2">
      <c r="A1055" s="10">
        <v>994</v>
      </c>
      <c r="D1055" s="2" t="str">
        <f t="shared" si="15"/>
        <v>OK</v>
      </c>
    </row>
    <row r="1056" spans="1:4" x14ac:dyDescent="0.2">
      <c r="A1056" s="10">
        <v>995</v>
      </c>
      <c r="C1056" s="2" t="s">
        <v>594</v>
      </c>
      <c r="D1056" s="2" t="s">
        <v>196</v>
      </c>
    </row>
    <row r="1057" spans="1:4" x14ac:dyDescent="0.2">
      <c r="A1057" s="10">
        <v>996</v>
      </c>
      <c r="C1057" s="2" t="s">
        <v>594</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594</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594</v>
      </c>
      <c r="D1086" s="2" t="str">
        <f t="shared" si="15"/>
        <v>OK</v>
      </c>
    </row>
    <row r="1087" spans="1:4" x14ac:dyDescent="0.2">
      <c r="A1087" s="10">
        <v>1026</v>
      </c>
      <c r="C1087" s="2" t="s">
        <v>594</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6681636</v>
      </c>
      <c r="C1093" s="2" t="s">
        <v>594</v>
      </c>
      <c r="D1093" s="2" t="str">
        <f t="shared" si="16"/>
        <v>Error?</v>
      </c>
    </row>
    <row r="1094" spans="1:4" x14ac:dyDescent="0.2">
      <c r="A1094" s="5">
        <v>1033</v>
      </c>
      <c r="B1094" s="138">
        <f>'Expenditures 15-22'!K16</f>
        <v>0</v>
      </c>
      <c r="C1094" s="2" t="s">
        <v>594</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525712</v>
      </c>
      <c r="C1100" s="2" t="s">
        <v>594</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594</v>
      </c>
      <c r="D1104" s="2" t="str">
        <f t="shared" si="16"/>
        <v>Error?</v>
      </c>
    </row>
    <row r="1105" spans="1:4" x14ac:dyDescent="0.2">
      <c r="A1105" s="5">
        <v>1044</v>
      </c>
      <c r="B1105" s="138">
        <f>'Expenditures 15-22'!K13</f>
        <v>0</v>
      </c>
      <c r="C1105" s="2" t="s">
        <v>594</v>
      </c>
      <c r="D1105" s="2" t="str">
        <f t="shared" si="16"/>
        <v>Error?</v>
      </c>
    </row>
    <row r="1106" spans="1:4" x14ac:dyDescent="0.2">
      <c r="A1106" s="5">
        <v>1045</v>
      </c>
      <c r="B1106" s="138">
        <f>'Expenditures 15-22'!K14</f>
        <v>20581</v>
      </c>
      <c r="C1106" s="2" t="s">
        <v>594</v>
      </c>
      <c r="D1106" s="2" t="str">
        <f t="shared" si="16"/>
        <v>Error?</v>
      </c>
    </row>
    <row r="1107" spans="1:4" x14ac:dyDescent="0.2">
      <c r="A1107" s="5">
        <v>1046</v>
      </c>
      <c r="B1107" s="138">
        <f>'Expenditures 15-22'!K15</f>
        <v>4280</v>
      </c>
      <c r="C1107" s="2" t="s">
        <v>594</v>
      </c>
      <c r="D1107" s="2" t="str">
        <f t="shared" si="16"/>
        <v>Error?</v>
      </c>
    </row>
    <row r="1108" spans="1:4" x14ac:dyDescent="0.2">
      <c r="A1108" s="5">
        <v>1047</v>
      </c>
      <c r="B1108" s="138">
        <f>'Expenditures 15-22'!K33</f>
        <v>11057791</v>
      </c>
      <c r="C1108" s="2" t="s">
        <v>594</v>
      </c>
      <c r="D1108" s="2" t="str">
        <f t="shared" si="16"/>
        <v>Error?</v>
      </c>
    </row>
    <row r="1109" spans="1:4" x14ac:dyDescent="0.2">
      <c r="A1109" s="5">
        <v>1048</v>
      </c>
      <c r="B1109" s="138">
        <f>'Expenditures 15-22'!K36</f>
        <v>377359</v>
      </c>
      <c r="C1109" s="2" t="s">
        <v>594</v>
      </c>
      <c r="D1109" s="2" t="str">
        <f t="shared" si="16"/>
        <v>Error?</v>
      </c>
    </row>
    <row r="1110" spans="1:4" x14ac:dyDescent="0.2">
      <c r="A1110" s="5">
        <v>1049</v>
      </c>
      <c r="B1110" s="138">
        <f>'Expenditures 15-22'!K37</f>
        <v>0</v>
      </c>
      <c r="C1110" s="2" t="s">
        <v>594</v>
      </c>
      <c r="D1110" s="2" t="str">
        <f t="shared" si="16"/>
        <v>Error?</v>
      </c>
    </row>
    <row r="1111" spans="1:4" x14ac:dyDescent="0.2">
      <c r="A1111" s="5">
        <v>1050</v>
      </c>
      <c r="B1111" s="138">
        <f>'Expenditures 15-22'!K38</f>
        <v>315253</v>
      </c>
      <c r="C1111" s="2" t="s">
        <v>594</v>
      </c>
      <c r="D1111" s="2" t="str">
        <f t="shared" si="16"/>
        <v>Error?</v>
      </c>
    </row>
    <row r="1112" spans="1:4" x14ac:dyDescent="0.2">
      <c r="A1112" s="5">
        <v>1051</v>
      </c>
      <c r="B1112" s="138">
        <f>'Expenditures 15-22'!K39</f>
        <v>229168</v>
      </c>
      <c r="C1112" s="2" t="s">
        <v>594</v>
      </c>
      <c r="D1112" s="2" t="str">
        <f t="shared" si="16"/>
        <v>Error?</v>
      </c>
    </row>
    <row r="1113" spans="1:4" x14ac:dyDescent="0.2">
      <c r="A1113" s="5">
        <v>1052</v>
      </c>
      <c r="B1113" s="138">
        <f>'Expenditures 15-22'!K40</f>
        <v>346044</v>
      </c>
      <c r="C1113" s="2" t="s">
        <v>594</v>
      </c>
      <c r="D1113" s="2" t="str">
        <f t="shared" si="16"/>
        <v>Error?</v>
      </c>
    </row>
    <row r="1114" spans="1:4" x14ac:dyDescent="0.2">
      <c r="A1114" s="5">
        <v>1053</v>
      </c>
      <c r="B1114" s="138">
        <f>'Expenditures 15-22'!K41</f>
        <v>0</v>
      </c>
      <c r="C1114" s="2" t="s">
        <v>594</v>
      </c>
      <c r="D1114" s="2" t="str">
        <f t="shared" si="16"/>
        <v>Error?</v>
      </c>
    </row>
    <row r="1115" spans="1:4" x14ac:dyDescent="0.2">
      <c r="A1115" s="5">
        <v>1054</v>
      </c>
      <c r="B1115" s="138">
        <f>'Expenditures 15-22'!K42</f>
        <v>1267824</v>
      </c>
      <c r="C1115" s="2" t="s">
        <v>594</v>
      </c>
      <c r="D1115" s="2" t="str">
        <f t="shared" si="16"/>
        <v>Error?</v>
      </c>
    </row>
    <row r="1116" spans="1:4" x14ac:dyDescent="0.2">
      <c r="A1116" s="5">
        <v>1055</v>
      </c>
      <c r="B1116" s="138">
        <f>'Expenditures 15-22'!K44</f>
        <v>558584</v>
      </c>
      <c r="C1116" s="2" t="s">
        <v>594</v>
      </c>
      <c r="D1116" s="2" t="str">
        <f t="shared" si="16"/>
        <v>Error?</v>
      </c>
    </row>
    <row r="1117" spans="1:4" x14ac:dyDescent="0.2">
      <c r="A1117" s="5">
        <v>1056</v>
      </c>
      <c r="B1117" s="138">
        <f>'Expenditures 15-22'!K45</f>
        <v>279446</v>
      </c>
      <c r="C1117" s="2" t="s">
        <v>594</v>
      </c>
      <c r="D1117" s="2" t="str">
        <f t="shared" si="16"/>
        <v>Error?</v>
      </c>
    </row>
    <row r="1118" spans="1:4" x14ac:dyDescent="0.2">
      <c r="A1118" s="5">
        <v>1057</v>
      </c>
      <c r="B1118" s="138">
        <f>'Expenditures 15-22'!K46</f>
        <v>0</v>
      </c>
      <c r="C1118" s="2" t="s">
        <v>594</v>
      </c>
      <c r="D1118" s="2" t="str">
        <f t="shared" si="16"/>
        <v>Error?</v>
      </c>
    </row>
    <row r="1119" spans="1:4" x14ac:dyDescent="0.2">
      <c r="A1119" s="5">
        <v>1058</v>
      </c>
      <c r="B1119" s="138">
        <f>'Expenditures 15-22'!K47</f>
        <v>838030</v>
      </c>
      <c r="C1119" s="2" t="s">
        <v>594</v>
      </c>
      <c r="D1119" s="2" t="str">
        <f t="shared" si="16"/>
        <v>Error?</v>
      </c>
    </row>
    <row r="1120" spans="1:4" x14ac:dyDescent="0.2">
      <c r="A1120" s="5">
        <v>1059</v>
      </c>
      <c r="B1120" s="138">
        <f>'Expenditures 15-22'!K49</f>
        <v>155334</v>
      </c>
      <c r="C1120" s="2" t="s">
        <v>594</v>
      </c>
      <c r="D1120" s="2" t="str">
        <f t="shared" si="16"/>
        <v>Error?</v>
      </c>
    </row>
    <row r="1121" spans="1:4" x14ac:dyDescent="0.2">
      <c r="A1121" s="5">
        <v>1060</v>
      </c>
      <c r="B1121" s="138">
        <f>'Expenditures 15-22'!K50</f>
        <v>526342</v>
      </c>
      <c r="C1121" s="2" t="s">
        <v>594</v>
      </c>
      <c r="D1121" s="2" t="str">
        <f t="shared" si="16"/>
        <v>Error?</v>
      </c>
    </row>
    <row r="1122" spans="1:4" x14ac:dyDescent="0.2">
      <c r="A1122" s="5">
        <v>1061</v>
      </c>
      <c r="B1122" s="138">
        <f>'Expenditures 15-22'!K53</f>
        <v>681676</v>
      </c>
      <c r="C1122" s="2" t="s">
        <v>594</v>
      </c>
      <c r="D1122" s="2" t="str">
        <f t="shared" si="16"/>
        <v>Error?</v>
      </c>
    </row>
    <row r="1123" spans="1:4" x14ac:dyDescent="0.2">
      <c r="A1123" s="5">
        <v>1062</v>
      </c>
      <c r="B1123" s="138">
        <f>'Expenditures 15-22'!K55</f>
        <v>1369856</v>
      </c>
      <c r="C1123" s="2" t="s">
        <v>594</v>
      </c>
      <c r="D1123" s="2" t="str">
        <f t="shared" si="16"/>
        <v>Error?</v>
      </c>
    </row>
    <row r="1124" spans="1:4" x14ac:dyDescent="0.2">
      <c r="A1124" s="5">
        <v>1063</v>
      </c>
      <c r="B1124" s="138">
        <f>'Expenditures 15-22'!K56</f>
        <v>0</v>
      </c>
      <c r="C1124" s="2" t="s">
        <v>594</v>
      </c>
      <c r="D1124" s="2" t="str">
        <f t="shared" si="16"/>
        <v>Error?</v>
      </c>
    </row>
    <row r="1125" spans="1:4" x14ac:dyDescent="0.2">
      <c r="A1125" s="5">
        <v>1064</v>
      </c>
      <c r="B1125" s="138">
        <f>'Expenditures 15-22'!K57</f>
        <v>1369856</v>
      </c>
      <c r="C1125" s="2" t="s">
        <v>594</v>
      </c>
      <c r="D1125" s="2" t="str">
        <f t="shared" si="16"/>
        <v>Error?</v>
      </c>
    </row>
    <row r="1126" spans="1:4" x14ac:dyDescent="0.2">
      <c r="A1126" s="5">
        <v>1065</v>
      </c>
      <c r="B1126" s="138">
        <f>'Expenditures 15-22'!K59</f>
        <v>0</v>
      </c>
      <c r="C1126" s="2" t="s">
        <v>594</v>
      </c>
      <c r="D1126" s="2" t="str">
        <f t="shared" si="16"/>
        <v>Error?</v>
      </c>
    </row>
    <row r="1127" spans="1:4" x14ac:dyDescent="0.2">
      <c r="A1127" s="5">
        <v>1066</v>
      </c>
      <c r="B1127" s="138">
        <f>'Expenditures 15-22'!K60</f>
        <v>98708</v>
      </c>
      <c r="C1127" s="2" t="s">
        <v>594</v>
      </c>
      <c r="D1127" s="2" t="str">
        <f t="shared" si="16"/>
        <v>Error?</v>
      </c>
    </row>
    <row r="1128" spans="1:4" x14ac:dyDescent="0.2">
      <c r="A1128" s="5">
        <v>1067</v>
      </c>
      <c r="B1128" s="138">
        <f>'Expenditures 15-22'!K61</f>
        <v>0</v>
      </c>
      <c r="C1128" s="2" t="s">
        <v>594</v>
      </c>
      <c r="D1128" s="2" t="str">
        <f t="shared" si="16"/>
        <v>Error?</v>
      </c>
    </row>
    <row r="1129" spans="1:4" x14ac:dyDescent="0.2">
      <c r="A1129" s="5">
        <v>1068</v>
      </c>
      <c r="B1129" s="138">
        <f>'Expenditures 15-22'!K62</f>
        <v>0</v>
      </c>
      <c r="C1129" s="2" t="s">
        <v>594</v>
      </c>
      <c r="D1129" s="2" t="str">
        <f t="shared" si="16"/>
        <v>Error?</v>
      </c>
    </row>
    <row r="1130" spans="1:4" x14ac:dyDescent="0.2">
      <c r="A1130" s="5">
        <v>1069</v>
      </c>
      <c r="B1130" s="138">
        <f>'Expenditures 15-22'!K63</f>
        <v>779615</v>
      </c>
      <c r="C1130" s="2" t="s">
        <v>594</v>
      </c>
      <c r="D1130" s="2" t="str">
        <f t="shared" si="16"/>
        <v>Error?</v>
      </c>
    </row>
    <row r="1131" spans="1:4" x14ac:dyDescent="0.2">
      <c r="A1131" s="5">
        <v>1070</v>
      </c>
      <c r="B1131" s="138">
        <f>'Expenditures 15-22'!K64</f>
        <v>44448</v>
      </c>
      <c r="C1131" s="2" t="s">
        <v>594</v>
      </c>
      <c r="D1131" s="2" t="str">
        <f t="shared" si="16"/>
        <v>Error?</v>
      </c>
    </row>
    <row r="1132" spans="1:4" x14ac:dyDescent="0.2">
      <c r="A1132" s="10">
        <v>1071</v>
      </c>
      <c r="D1132" s="2" t="str">
        <f t="shared" si="16"/>
        <v>OK</v>
      </c>
    </row>
    <row r="1133" spans="1:4" x14ac:dyDescent="0.2">
      <c r="A1133" s="5">
        <v>1072</v>
      </c>
      <c r="B1133" s="138">
        <f>'Expenditures 15-22'!K65</f>
        <v>922771</v>
      </c>
      <c r="C1133" s="2" t="s">
        <v>594</v>
      </c>
      <c r="D1133" s="2" t="str">
        <f t="shared" si="16"/>
        <v>Error?</v>
      </c>
    </row>
    <row r="1134" spans="1:4" x14ac:dyDescent="0.2">
      <c r="A1134" s="5">
        <v>1073</v>
      </c>
      <c r="B1134" s="138">
        <f>'Expenditures 15-22'!K67</f>
        <v>0</v>
      </c>
      <c r="C1134" s="2" t="s">
        <v>594</v>
      </c>
      <c r="D1134" s="2" t="str">
        <f t="shared" si="16"/>
        <v>Error?</v>
      </c>
    </row>
    <row r="1135" spans="1:4" x14ac:dyDescent="0.2">
      <c r="A1135" s="5">
        <v>1074</v>
      </c>
      <c r="B1135" s="138">
        <f>'Expenditures 15-22'!K68</f>
        <v>0</v>
      </c>
      <c r="C1135" s="2" t="s">
        <v>594</v>
      </c>
      <c r="D1135" s="2" t="str">
        <f t="shared" si="16"/>
        <v>Error?</v>
      </c>
    </row>
    <row r="1136" spans="1:4" x14ac:dyDescent="0.2">
      <c r="A1136" s="5">
        <v>1075</v>
      </c>
      <c r="B1136" s="138">
        <f>'Expenditures 15-22'!K69</f>
        <v>0</v>
      </c>
      <c r="C1136" s="2" t="s">
        <v>594</v>
      </c>
      <c r="D1136" s="2" t="str">
        <f t="shared" si="16"/>
        <v>Error?</v>
      </c>
    </row>
    <row r="1137" spans="1:4" x14ac:dyDescent="0.2">
      <c r="A1137" s="5">
        <v>1076</v>
      </c>
      <c r="B1137" s="138">
        <f>'Expenditures 15-22'!K70</f>
        <v>0</v>
      </c>
      <c r="C1137" s="2" t="s">
        <v>594</v>
      </c>
      <c r="D1137" s="2" t="str">
        <f t="shared" si="16"/>
        <v>Error?</v>
      </c>
    </row>
    <row r="1138" spans="1:4" x14ac:dyDescent="0.2">
      <c r="A1138" s="10">
        <v>1077</v>
      </c>
      <c r="D1138" s="2" t="str">
        <f t="shared" si="16"/>
        <v>OK</v>
      </c>
    </row>
    <row r="1139" spans="1:4" x14ac:dyDescent="0.2">
      <c r="A1139" s="5">
        <v>1078</v>
      </c>
      <c r="B1139" s="138">
        <f>'Expenditures 15-22'!K71</f>
        <v>73073</v>
      </c>
      <c r="C1139" s="2" t="s">
        <v>594</v>
      </c>
      <c r="D1139" s="2" t="str">
        <f t="shared" si="16"/>
        <v>Error?</v>
      </c>
    </row>
    <row r="1140" spans="1:4" x14ac:dyDescent="0.2">
      <c r="A1140" s="10">
        <v>1079</v>
      </c>
      <c r="D1140" s="2" t="str">
        <f t="shared" si="16"/>
        <v>OK</v>
      </c>
    </row>
    <row r="1141" spans="1:4" x14ac:dyDescent="0.2">
      <c r="A1141" s="5">
        <v>1080</v>
      </c>
      <c r="B1141" s="138">
        <f>'Expenditures 15-22'!K72</f>
        <v>73073</v>
      </c>
      <c r="C1141" s="2" t="s">
        <v>594</v>
      </c>
      <c r="D1141" s="2" t="str">
        <f t="shared" si="16"/>
        <v>Error?</v>
      </c>
    </row>
    <row r="1142" spans="1:4" x14ac:dyDescent="0.2">
      <c r="A1142" s="5">
        <v>1081</v>
      </c>
      <c r="B1142" s="138">
        <f>'Expenditures 15-22'!K73</f>
        <v>0</v>
      </c>
      <c r="C1142" s="2" t="s">
        <v>594</v>
      </c>
      <c r="D1142" s="2" t="str">
        <f t="shared" si="16"/>
        <v>Error?</v>
      </c>
    </row>
    <row r="1143" spans="1:4" x14ac:dyDescent="0.2">
      <c r="A1143" s="5">
        <v>1082</v>
      </c>
      <c r="B1143" s="138">
        <f>'Expenditures 15-22'!K74</f>
        <v>5153230</v>
      </c>
      <c r="C1143" s="2" t="s">
        <v>594</v>
      </c>
      <c r="D1143" s="2" t="str">
        <f t="shared" si="16"/>
        <v>Error?</v>
      </c>
    </row>
    <row r="1144" spans="1:4" x14ac:dyDescent="0.2">
      <c r="A1144" s="5">
        <v>1083</v>
      </c>
      <c r="B1144" s="138">
        <f>'Expenditures 15-22'!K75</f>
        <v>39186</v>
      </c>
      <c r="C1144" s="2" t="s">
        <v>594</v>
      </c>
      <c r="D1144" s="2" t="str">
        <f t="shared" si="16"/>
        <v>Error?</v>
      </c>
    </row>
    <row r="1145" spans="1:4" x14ac:dyDescent="0.2">
      <c r="A1145" s="5">
        <v>1084</v>
      </c>
      <c r="B1145" s="138">
        <f>'Expenditures 15-22'!K102</f>
        <v>507297</v>
      </c>
      <c r="C1145" s="2" t="s">
        <v>594</v>
      </c>
      <c r="D1145" s="2" t="str">
        <f t="shared" si="16"/>
        <v>Error?</v>
      </c>
    </row>
    <row r="1146" spans="1:4" x14ac:dyDescent="0.2">
      <c r="A1146" s="5">
        <v>1085</v>
      </c>
      <c r="B1146" s="138">
        <f>'Expenditures 15-22'!K105</f>
        <v>0</v>
      </c>
      <c r="C1146" s="2" t="s">
        <v>594</v>
      </c>
      <c r="D1146" s="2" t="str">
        <f t="shared" si="16"/>
        <v>Error?</v>
      </c>
    </row>
    <row r="1147" spans="1:4" x14ac:dyDescent="0.2">
      <c r="A1147" s="5">
        <v>1086</v>
      </c>
      <c r="B1147" s="138">
        <f>'Expenditures 15-22'!K106</f>
        <v>0</v>
      </c>
      <c r="C1147" s="2" t="s">
        <v>594</v>
      </c>
      <c r="D1147" s="2" t="str">
        <f t="shared" si="16"/>
        <v>Error?</v>
      </c>
    </row>
    <row r="1148" spans="1:4" x14ac:dyDescent="0.2">
      <c r="A1148" s="10">
        <v>1087</v>
      </c>
      <c r="C1148" s="2" t="s">
        <v>594</v>
      </c>
      <c r="D1148" s="2" t="str">
        <f t="shared" si="16"/>
        <v>OK</v>
      </c>
    </row>
    <row r="1149" spans="1:4" x14ac:dyDescent="0.2">
      <c r="A1149" s="5">
        <v>1088</v>
      </c>
      <c r="B1149" s="138">
        <f>'Expenditures 15-22'!K109</f>
        <v>0</v>
      </c>
      <c r="C1149" s="2" t="s">
        <v>594</v>
      </c>
      <c r="D1149" s="2" t="str">
        <f t="shared" si="16"/>
        <v>Error?</v>
      </c>
    </row>
    <row r="1150" spans="1:4" x14ac:dyDescent="0.2">
      <c r="A1150" s="10">
        <v>1089</v>
      </c>
      <c r="D1150" s="2" t="str">
        <f t="shared" si="16"/>
        <v>OK</v>
      </c>
    </row>
    <row r="1151" spans="1:4" x14ac:dyDescent="0.2">
      <c r="A1151" s="5">
        <v>1090</v>
      </c>
      <c r="B1151" s="138">
        <f>'Expenditures 15-22'!K110</f>
        <v>0</v>
      </c>
      <c r="C1151" s="2" t="s">
        <v>594</v>
      </c>
      <c r="D1151" s="2" t="str">
        <f t="shared" ref="D1151:D1214" si="17">IF(ISBLANK(B1151),"OK",IF(A1151-B1151=0,"OK","Error?"))</f>
        <v>Error?</v>
      </c>
    </row>
    <row r="1152" spans="1:4" x14ac:dyDescent="0.2">
      <c r="A1152" s="5">
        <v>1091</v>
      </c>
      <c r="B1152" s="138">
        <f>'Expenditures 15-22'!K114</f>
        <v>16757504</v>
      </c>
      <c r="C1152" s="2" t="s">
        <v>594</v>
      </c>
      <c r="D1152" s="2" t="str">
        <f t="shared" si="17"/>
        <v>Error?</v>
      </c>
    </row>
    <row r="1153" spans="1:4" x14ac:dyDescent="0.2">
      <c r="A1153" s="5">
        <v>1092</v>
      </c>
      <c r="B1153" s="138">
        <f>'Expenditures 15-22'!K115</f>
        <v>745108</v>
      </c>
      <c r="C1153" s="2" t="s">
        <v>594</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412906</v>
      </c>
      <c r="D1221" s="2" t="str">
        <f t="shared" si="18"/>
        <v>Error?</v>
      </c>
    </row>
    <row r="1222" spans="1:4" x14ac:dyDescent="0.2">
      <c r="A1222" s="10">
        <v>1161</v>
      </c>
      <c r="D1222" s="2" t="str">
        <f t="shared" si="18"/>
        <v>OK</v>
      </c>
    </row>
    <row r="1223" spans="1:4" x14ac:dyDescent="0.2">
      <c r="A1223" s="5">
        <v>1162</v>
      </c>
      <c r="B1223" s="138">
        <f>'Expenditures 15-22'!C127</f>
        <v>412906</v>
      </c>
      <c r="C1223" s="2" t="s">
        <v>594</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412906</v>
      </c>
      <c r="C1225" s="2" t="s">
        <v>594</v>
      </c>
      <c r="D1225" s="2" t="str">
        <f t="shared" si="18"/>
        <v>Error?</v>
      </c>
    </row>
    <row r="1226" spans="1:4" x14ac:dyDescent="0.2">
      <c r="A1226" s="5">
        <v>1165</v>
      </c>
      <c r="B1226" s="138">
        <f>'Expenditures 15-22'!C151</f>
        <v>412906</v>
      </c>
      <c r="C1226" s="2" t="s">
        <v>594</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79374</v>
      </c>
      <c r="D1229" s="2" t="str">
        <f t="shared" si="18"/>
        <v>Error?</v>
      </c>
    </row>
    <row r="1230" spans="1:4" x14ac:dyDescent="0.2">
      <c r="A1230" s="10">
        <v>1169</v>
      </c>
      <c r="D1230" s="2" t="str">
        <f t="shared" si="18"/>
        <v>OK</v>
      </c>
    </row>
    <row r="1231" spans="1:4" x14ac:dyDescent="0.2">
      <c r="A1231" s="5">
        <v>1170</v>
      </c>
      <c r="B1231" s="138">
        <f>'Expenditures 15-22'!D127</f>
        <v>79374</v>
      </c>
      <c r="C1231" s="2" t="s">
        <v>594</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79374</v>
      </c>
      <c r="C1233" s="2" t="s">
        <v>594</v>
      </c>
      <c r="D1233" s="2" t="str">
        <f t="shared" si="18"/>
        <v>Error?</v>
      </c>
    </row>
    <row r="1234" spans="1:4" x14ac:dyDescent="0.2">
      <c r="A1234" s="5">
        <v>1173</v>
      </c>
      <c r="B1234" s="138">
        <f>'Expenditures 15-22'!D151</f>
        <v>79374</v>
      </c>
      <c r="C1234" s="2" t="s">
        <v>594</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0</v>
      </c>
      <c r="D1236" s="2" t="str">
        <f t="shared" si="18"/>
        <v>Error?</v>
      </c>
    </row>
    <row r="1237" spans="1:4" x14ac:dyDescent="0.2">
      <c r="A1237" s="5">
        <v>1176</v>
      </c>
      <c r="B1237" s="138">
        <f>'Expenditures 15-22'!E124</f>
        <v>255763</v>
      </c>
      <c r="D1237" s="2" t="str">
        <f t="shared" si="18"/>
        <v>Error?</v>
      </c>
    </row>
    <row r="1238" spans="1:4" x14ac:dyDescent="0.2">
      <c r="A1238" s="10">
        <v>1177</v>
      </c>
      <c r="D1238" s="2" t="str">
        <f t="shared" si="18"/>
        <v>OK</v>
      </c>
    </row>
    <row r="1239" spans="1:4" x14ac:dyDescent="0.2">
      <c r="A1239" s="5">
        <v>1178</v>
      </c>
      <c r="B1239" s="138">
        <f>'Expenditures 15-22'!E127</f>
        <v>255763</v>
      </c>
      <c r="C1239" s="2" t="s">
        <v>594</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255763</v>
      </c>
      <c r="C1241" s="2" t="s">
        <v>594</v>
      </c>
      <c r="D1241" s="2" t="str">
        <f t="shared" si="18"/>
        <v>Error?</v>
      </c>
    </row>
    <row r="1242" spans="1:4" x14ac:dyDescent="0.2">
      <c r="A1242" s="5">
        <v>1181</v>
      </c>
      <c r="B1242" s="138">
        <f>'Expenditures 15-22'!E151</f>
        <v>255763</v>
      </c>
      <c r="C1242" s="2" t="s">
        <v>594</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404935</v>
      </c>
      <c r="D1245" s="2" t="str">
        <f t="shared" si="18"/>
        <v>Error?</v>
      </c>
    </row>
    <row r="1246" spans="1:4" x14ac:dyDescent="0.2">
      <c r="A1246" s="10">
        <v>1185</v>
      </c>
      <c r="D1246" s="2" t="str">
        <f t="shared" si="18"/>
        <v>OK</v>
      </c>
    </row>
    <row r="1247" spans="1:4" x14ac:dyDescent="0.2">
      <c r="A1247" s="5">
        <v>1186</v>
      </c>
      <c r="B1247" s="138">
        <f>'Expenditures 15-22'!F127</f>
        <v>404935</v>
      </c>
      <c r="C1247" s="2" t="s">
        <v>594</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404935</v>
      </c>
      <c r="C1249" s="2" t="s">
        <v>594</v>
      </c>
      <c r="D1249" s="2" t="str">
        <f t="shared" si="18"/>
        <v>Error?</v>
      </c>
    </row>
    <row r="1250" spans="1:4" x14ac:dyDescent="0.2">
      <c r="A1250" s="5">
        <v>1189</v>
      </c>
      <c r="B1250" s="138">
        <f>'Expenditures 15-22'!F151</f>
        <v>404935</v>
      </c>
      <c r="C1250" s="2" t="s">
        <v>594</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0</v>
      </c>
      <c r="D1252" s="2" t="str">
        <f t="shared" si="18"/>
        <v>Error?</v>
      </c>
    </row>
    <row r="1253" spans="1:4" x14ac:dyDescent="0.2">
      <c r="A1253" s="5">
        <v>1192</v>
      </c>
      <c r="B1253" s="138">
        <f>'Expenditures 15-22'!G124</f>
        <v>95275</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95275</v>
      </c>
      <c r="C1256" s="2" t="s">
        <v>594</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95275</v>
      </c>
      <c r="C1258" s="2" t="s">
        <v>594</v>
      </c>
      <c r="D1258" s="2" t="str">
        <f t="shared" si="18"/>
        <v>Error?</v>
      </c>
    </row>
    <row r="1259" spans="1:4" x14ac:dyDescent="0.2">
      <c r="A1259" s="5">
        <v>1198</v>
      </c>
      <c r="B1259" s="138">
        <f>'Expenditures 15-22'!G151</f>
        <v>95275</v>
      </c>
      <c r="C1259" s="2" t="s">
        <v>594</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0</v>
      </c>
      <c r="D1262" s="2" t="str">
        <f t="shared" si="18"/>
        <v>Error?</v>
      </c>
    </row>
    <row r="1263" spans="1:4" x14ac:dyDescent="0.2">
      <c r="A1263" s="10">
        <v>1202</v>
      </c>
      <c r="D1263" s="2" t="str">
        <f t="shared" si="18"/>
        <v>OK</v>
      </c>
    </row>
    <row r="1264" spans="1:4" x14ac:dyDescent="0.2">
      <c r="A1264" s="5">
        <v>1203</v>
      </c>
      <c r="B1264" s="138">
        <f>'Expenditures 15-22'!H127</f>
        <v>0</v>
      </c>
      <c r="C1264" s="2" t="s">
        <v>594</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0</v>
      </c>
      <c r="C1266" s="2" t="s">
        <v>594</v>
      </c>
      <c r="D1266" s="2" t="str">
        <f t="shared" si="18"/>
        <v>Error?</v>
      </c>
    </row>
    <row r="1267" spans="1:4" x14ac:dyDescent="0.2">
      <c r="A1267" s="5">
        <v>1206</v>
      </c>
      <c r="B1267" s="138">
        <f>'Expenditures 15-22'!H139</f>
        <v>0</v>
      </c>
      <c r="C1267" s="2" t="s">
        <v>594</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594</v>
      </c>
      <c r="D1272" s="2" t="str">
        <f t="shared" si="18"/>
        <v>Error?</v>
      </c>
    </row>
    <row r="1273" spans="1:4" x14ac:dyDescent="0.2">
      <c r="A1273" s="5">
        <v>1212</v>
      </c>
      <c r="B1273" s="138">
        <f>'Expenditures 15-22'!H151</f>
        <v>0</v>
      </c>
      <c r="C1273" s="2" t="s">
        <v>594</v>
      </c>
      <c r="D1273" s="2" t="str">
        <f t="shared" si="18"/>
        <v>Error?</v>
      </c>
    </row>
    <row r="1274" spans="1:4" x14ac:dyDescent="0.2">
      <c r="A1274" s="5">
        <v>1213</v>
      </c>
      <c r="B1274" s="138">
        <f>'Expenditures 15-22'!K122</f>
        <v>0</v>
      </c>
      <c r="C1274" s="2" t="s">
        <v>594</v>
      </c>
      <c r="D1274" s="2" t="str">
        <f t="shared" si="18"/>
        <v>Error?</v>
      </c>
    </row>
    <row r="1275" spans="1:4" x14ac:dyDescent="0.2">
      <c r="A1275" s="5">
        <v>1214</v>
      </c>
      <c r="B1275" s="138">
        <f>'Expenditures 15-22'!K123</f>
        <v>0</v>
      </c>
      <c r="C1275" s="2" t="s">
        <v>594</v>
      </c>
      <c r="D1275" s="2" t="str">
        <f t="shared" si="18"/>
        <v>Error?</v>
      </c>
    </row>
    <row r="1276" spans="1:4" x14ac:dyDescent="0.2">
      <c r="A1276" s="5">
        <v>1215</v>
      </c>
      <c r="B1276" s="138">
        <f>'Expenditures 15-22'!K124</f>
        <v>1248253</v>
      </c>
      <c r="C1276" s="2" t="s">
        <v>594</v>
      </c>
      <c r="D1276" s="2" t="str">
        <f t="shared" si="18"/>
        <v>Error?</v>
      </c>
    </row>
    <row r="1277" spans="1:4" x14ac:dyDescent="0.2">
      <c r="A1277" s="5">
        <v>1216</v>
      </c>
      <c r="B1277" s="138">
        <f>'Expenditures 15-22'!K126</f>
        <v>0</v>
      </c>
      <c r="C1277" s="2" t="s">
        <v>594</v>
      </c>
      <c r="D1277" s="2" t="str">
        <f t="shared" si="18"/>
        <v>Error?</v>
      </c>
    </row>
    <row r="1278" spans="1:4" x14ac:dyDescent="0.2">
      <c r="A1278" s="10">
        <v>1217</v>
      </c>
      <c r="D1278" s="2" t="str">
        <f t="shared" si="18"/>
        <v>OK</v>
      </c>
    </row>
    <row r="1279" spans="1:4" x14ac:dyDescent="0.2">
      <c r="A1279" s="5">
        <v>1218</v>
      </c>
      <c r="B1279" s="138">
        <f>'Expenditures 15-22'!K127</f>
        <v>1248253</v>
      </c>
      <c r="C1279" s="2" t="s">
        <v>594</v>
      </c>
      <c r="D1279" s="2" t="str">
        <f t="shared" ref="D1279:D1342" si="19">IF(ISBLANK(B1279),"OK",IF(A1279-B1279=0,"OK","Error?"))</f>
        <v>Error?</v>
      </c>
    </row>
    <row r="1280" spans="1:4" x14ac:dyDescent="0.2">
      <c r="A1280" s="5">
        <v>1219</v>
      </c>
      <c r="B1280" s="138">
        <f>'Expenditures 15-22'!K128</f>
        <v>0</v>
      </c>
      <c r="C1280" s="2" t="s">
        <v>594</v>
      </c>
      <c r="D1280" s="2" t="str">
        <f t="shared" si="19"/>
        <v>Error?</v>
      </c>
    </row>
    <row r="1281" spans="1:4" x14ac:dyDescent="0.2">
      <c r="A1281" s="5">
        <v>1220</v>
      </c>
      <c r="B1281" s="138">
        <f>'Expenditures 15-22'!K129</f>
        <v>1248253</v>
      </c>
      <c r="C1281" s="2" t="s">
        <v>594</v>
      </c>
      <c r="D1281" s="2" t="str">
        <f t="shared" si="19"/>
        <v>Error?</v>
      </c>
    </row>
    <row r="1282" spans="1:4" x14ac:dyDescent="0.2">
      <c r="A1282" s="5">
        <v>1221</v>
      </c>
      <c r="B1282" s="138">
        <f>'Expenditures 15-22'!K139</f>
        <v>0</v>
      </c>
      <c r="C1282" s="2" t="s">
        <v>594</v>
      </c>
      <c r="D1282" s="2" t="str">
        <f t="shared" si="19"/>
        <v>Error?</v>
      </c>
    </row>
    <row r="1283" spans="1:4" x14ac:dyDescent="0.2">
      <c r="A1283" s="5">
        <v>1222</v>
      </c>
      <c r="B1283" s="138">
        <f>'Expenditures 15-22'!K142</f>
        <v>0</v>
      </c>
      <c r="C1283" s="2" t="s">
        <v>594</v>
      </c>
      <c r="D1283" s="2" t="str">
        <f t="shared" si="19"/>
        <v>Error?</v>
      </c>
    </row>
    <row r="1284" spans="1:4" x14ac:dyDescent="0.2">
      <c r="A1284" s="5">
        <v>1223</v>
      </c>
      <c r="B1284" s="138">
        <f>'Expenditures 15-22'!K143</f>
        <v>0</v>
      </c>
      <c r="C1284" s="2" t="s">
        <v>594</v>
      </c>
      <c r="D1284" s="2" t="str">
        <f t="shared" si="19"/>
        <v>Error?</v>
      </c>
    </row>
    <row r="1285" spans="1:4" x14ac:dyDescent="0.2">
      <c r="A1285" s="5">
        <v>1224</v>
      </c>
      <c r="B1285" s="138">
        <f>'Expenditures 15-22'!K146</f>
        <v>0</v>
      </c>
      <c r="C1285" s="2" t="s">
        <v>594</v>
      </c>
      <c r="D1285" s="2" t="str">
        <f t="shared" si="19"/>
        <v>Error?</v>
      </c>
    </row>
    <row r="1286" spans="1:4" x14ac:dyDescent="0.2">
      <c r="A1286" s="10">
        <v>1225</v>
      </c>
      <c r="D1286" s="2" t="str">
        <f t="shared" si="19"/>
        <v>OK</v>
      </c>
    </row>
    <row r="1287" spans="1:4" x14ac:dyDescent="0.2">
      <c r="A1287" s="12">
        <v>1226</v>
      </c>
      <c r="B1287" s="138">
        <f>'Expenditures 15-22'!K149</f>
        <v>0</v>
      </c>
      <c r="C1287" s="2" t="s">
        <v>594</v>
      </c>
      <c r="D1287" s="2" t="str">
        <f t="shared" si="19"/>
        <v>Error?</v>
      </c>
    </row>
    <row r="1288" spans="1:4" x14ac:dyDescent="0.2">
      <c r="A1288" s="5">
        <v>1227</v>
      </c>
      <c r="B1288" s="138">
        <f>'Expenditures 15-22'!K151</f>
        <v>1248253</v>
      </c>
      <c r="C1288" s="2" t="s">
        <v>594</v>
      </c>
      <c r="D1288" s="2" t="str">
        <f t="shared" si="19"/>
        <v>Error?</v>
      </c>
    </row>
    <row r="1289" spans="1:4" x14ac:dyDescent="0.2">
      <c r="A1289" s="5">
        <v>1228</v>
      </c>
      <c r="B1289" s="138">
        <f>'Expenditures 15-22'!K152</f>
        <v>424821</v>
      </c>
      <c r="C1289" s="2" t="s">
        <v>594</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0</v>
      </c>
      <c r="D1307" s="2" t="str">
        <f t="shared" si="19"/>
        <v>Error?</v>
      </c>
    </row>
    <row r="1308" spans="1:4" x14ac:dyDescent="0.2">
      <c r="A1308" s="5">
        <v>1247</v>
      </c>
      <c r="B1308" s="138">
        <f>'Expenditures 15-22'!E172</f>
        <v>0</v>
      </c>
      <c r="C1308" s="2" t="s">
        <v>594</v>
      </c>
      <c r="D1308" s="2" t="str">
        <f t="shared" si="19"/>
        <v>Error?</v>
      </c>
    </row>
    <row r="1309" spans="1:4" x14ac:dyDescent="0.2">
      <c r="A1309" s="5">
        <v>1248</v>
      </c>
      <c r="B1309" s="138">
        <f>'Expenditures 15-22'!E174</f>
        <v>0</v>
      </c>
      <c r="C1309" s="2" t="s">
        <v>594</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1058533</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594</v>
      </c>
      <c r="D1314" s="2" t="str">
        <f t="shared" si="19"/>
        <v>Error?</v>
      </c>
    </row>
    <row r="1315" spans="1:4" x14ac:dyDescent="0.2">
      <c r="A1315" s="5">
        <v>1254</v>
      </c>
      <c r="B1315" s="138">
        <f>'Expenditures 15-22'!H170</f>
        <v>845000</v>
      </c>
      <c r="D1315" s="2" t="str">
        <f t="shared" si="19"/>
        <v>Error?</v>
      </c>
    </row>
    <row r="1316" spans="1:4" x14ac:dyDescent="0.2">
      <c r="A1316" s="5">
        <v>1255</v>
      </c>
      <c r="B1316" s="138">
        <f>'Expenditures 15-22'!H171</f>
        <v>1133</v>
      </c>
      <c r="D1316" s="2" t="str">
        <f t="shared" si="19"/>
        <v>Error?</v>
      </c>
    </row>
    <row r="1317" spans="1:4" x14ac:dyDescent="0.2">
      <c r="A1317" s="5">
        <v>1256</v>
      </c>
      <c r="B1317" s="138">
        <f>'Expenditures 15-22'!H172</f>
        <v>1904666</v>
      </c>
      <c r="C1317" s="2" t="s">
        <v>594</v>
      </c>
      <c r="D1317" s="2" t="str">
        <f t="shared" si="19"/>
        <v>Error?</v>
      </c>
    </row>
    <row r="1318" spans="1:4" x14ac:dyDescent="0.2">
      <c r="A1318" s="5">
        <v>1257</v>
      </c>
      <c r="B1318" s="138">
        <f>'Expenditures 15-22'!H174</f>
        <v>1904666</v>
      </c>
      <c r="C1318" s="2" t="s">
        <v>594</v>
      </c>
      <c r="D1318" s="2" t="str">
        <f t="shared" si="19"/>
        <v>Error?</v>
      </c>
    </row>
    <row r="1319" spans="1:4" x14ac:dyDescent="0.2">
      <c r="A1319" s="10">
        <v>1258</v>
      </c>
      <c r="C1319" s="2" t="s">
        <v>594</v>
      </c>
      <c r="D1319" s="2" t="str">
        <f t="shared" si="19"/>
        <v>OK</v>
      </c>
    </row>
    <row r="1320" spans="1:4" x14ac:dyDescent="0.2">
      <c r="A1320" s="10">
        <v>1259</v>
      </c>
      <c r="D1320" s="2" t="str">
        <f t="shared" si="19"/>
        <v>OK</v>
      </c>
    </row>
    <row r="1321" spans="1:4" x14ac:dyDescent="0.2">
      <c r="A1321" s="10">
        <v>1260</v>
      </c>
      <c r="C1321" s="2" t="s">
        <v>594</v>
      </c>
      <c r="D1321" s="2" t="str">
        <f t="shared" si="19"/>
        <v>OK</v>
      </c>
    </row>
    <row r="1322" spans="1:4" x14ac:dyDescent="0.2">
      <c r="A1322" s="10">
        <v>1261</v>
      </c>
      <c r="C1322" s="2" t="s">
        <v>594</v>
      </c>
      <c r="D1322" s="2" t="str">
        <f t="shared" si="19"/>
        <v>OK</v>
      </c>
    </row>
    <row r="1323" spans="1:4" x14ac:dyDescent="0.2">
      <c r="A1323" s="5">
        <v>1262</v>
      </c>
      <c r="B1323" s="138">
        <f>'Expenditures 15-22'!K155</f>
        <v>0</v>
      </c>
      <c r="C1323" s="2" t="s">
        <v>594</v>
      </c>
      <c r="D1323" s="2" t="str">
        <f t="shared" si="19"/>
        <v>Error?</v>
      </c>
    </row>
    <row r="1324" spans="1:4" x14ac:dyDescent="0.2">
      <c r="A1324" s="5">
        <v>1263</v>
      </c>
      <c r="B1324" s="138">
        <f>'Expenditures 15-22'!K163</f>
        <v>0</v>
      </c>
      <c r="C1324" s="2" t="s">
        <v>594</v>
      </c>
      <c r="D1324" s="2" t="str">
        <f t="shared" si="19"/>
        <v>Error?</v>
      </c>
    </row>
    <row r="1325" spans="1:4" x14ac:dyDescent="0.2">
      <c r="A1325" s="5">
        <v>1264</v>
      </c>
      <c r="B1325" s="138">
        <f>'Expenditures 15-22'!K164</f>
        <v>0</v>
      </c>
      <c r="C1325" s="2" t="s">
        <v>594</v>
      </c>
      <c r="D1325" s="2" t="str">
        <f t="shared" si="19"/>
        <v>Error?</v>
      </c>
    </row>
    <row r="1326" spans="1:4" x14ac:dyDescent="0.2">
      <c r="A1326" s="5">
        <v>1265</v>
      </c>
      <c r="B1326" s="138">
        <f>'Expenditures 15-22'!K169</f>
        <v>1058533</v>
      </c>
      <c r="C1326" s="2" t="s">
        <v>594</v>
      </c>
      <c r="D1326" s="2" t="str">
        <f t="shared" si="19"/>
        <v>Error?</v>
      </c>
    </row>
    <row r="1327" spans="1:4" x14ac:dyDescent="0.2">
      <c r="A1327" s="5">
        <v>1266</v>
      </c>
      <c r="B1327" s="138">
        <f>'Expenditures 15-22'!K167</f>
        <v>0</v>
      </c>
      <c r="C1327" s="2" t="s">
        <v>594</v>
      </c>
      <c r="D1327" s="2" t="str">
        <f t="shared" si="19"/>
        <v>Error?</v>
      </c>
    </row>
    <row r="1328" spans="1:4" x14ac:dyDescent="0.2">
      <c r="A1328" s="5">
        <v>1267</v>
      </c>
      <c r="B1328" s="138">
        <f>'Expenditures 15-22'!K168</f>
        <v>0</v>
      </c>
      <c r="C1328" s="2" t="s">
        <v>594</v>
      </c>
      <c r="D1328" s="2" t="str">
        <f t="shared" si="19"/>
        <v>Error?</v>
      </c>
    </row>
    <row r="1329" spans="1:4" x14ac:dyDescent="0.2">
      <c r="A1329" s="5">
        <v>1268</v>
      </c>
      <c r="B1329" s="138">
        <f>'Expenditures 15-22'!K170</f>
        <v>845000</v>
      </c>
      <c r="C1329" s="2" t="s">
        <v>594</v>
      </c>
      <c r="D1329" s="2" t="str">
        <f t="shared" si="19"/>
        <v>Error?</v>
      </c>
    </row>
    <row r="1330" spans="1:4" x14ac:dyDescent="0.2">
      <c r="A1330" s="5">
        <v>1269</v>
      </c>
      <c r="B1330" s="138">
        <f>'Expenditures 15-22'!K171</f>
        <v>1133</v>
      </c>
      <c r="C1330" s="2" t="s">
        <v>594</v>
      </c>
      <c r="D1330" s="2" t="str">
        <f t="shared" si="19"/>
        <v>Error?</v>
      </c>
    </row>
    <row r="1331" spans="1:4" x14ac:dyDescent="0.2">
      <c r="A1331" s="5">
        <v>1270</v>
      </c>
      <c r="B1331" s="138">
        <f>'Expenditures 15-22'!K172</f>
        <v>1904666</v>
      </c>
      <c r="C1331" s="2" t="s">
        <v>594</v>
      </c>
      <c r="D1331" s="2" t="str">
        <f t="shared" si="19"/>
        <v>Error?</v>
      </c>
    </row>
    <row r="1332" spans="1:4" x14ac:dyDescent="0.2">
      <c r="A1332" s="5">
        <v>1271</v>
      </c>
      <c r="B1332" s="138">
        <f>'Expenditures 15-22'!K174</f>
        <v>1904666</v>
      </c>
      <c r="C1332" s="2" t="s">
        <v>594</v>
      </c>
      <c r="D1332" s="2" t="str">
        <f t="shared" si="19"/>
        <v>Error?</v>
      </c>
    </row>
    <row r="1333" spans="1:4" x14ac:dyDescent="0.2">
      <c r="A1333" s="5">
        <v>1272</v>
      </c>
      <c r="B1333" s="138">
        <f>'Expenditures 15-22'!K175</f>
        <v>-57369</v>
      </c>
      <c r="C1333" s="2" t="s">
        <v>594</v>
      </c>
      <c r="D1333" s="2" t="str">
        <f t="shared" si="19"/>
        <v>Error?</v>
      </c>
    </row>
    <row r="1334" spans="1:4" x14ac:dyDescent="0.2">
      <c r="A1334" s="10">
        <v>1273</v>
      </c>
      <c r="D1334" s="2" t="str">
        <f t="shared" si="19"/>
        <v>OK</v>
      </c>
    </row>
    <row r="1335" spans="1:4" x14ac:dyDescent="0.2">
      <c r="A1335" s="5">
        <v>1274</v>
      </c>
      <c r="B1335" s="138">
        <f>'Expenditures 15-22'!C182</f>
        <v>0</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0</v>
      </c>
      <c r="C1339" s="2" t="s">
        <v>594</v>
      </c>
      <c r="D1339" s="2" t="str">
        <f t="shared" si="19"/>
        <v>Error?</v>
      </c>
    </row>
    <row r="1340" spans="1:4" x14ac:dyDescent="0.2">
      <c r="A1340" s="5">
        <v>1279</v>
      </c>
      <c r="B1340" s="138">
        <f>'Expenditures 15-22'!C210</f>
        <v>0</v>
      </c>
      <c r="C1340" s="2" t="s">
        <v>594</v>
      </c>
      <c r="D1340" s="2" t="str">
        <f t="shared" si="19"/>
        <v>Error?</v>
      </c>
    </row>
    <row r="1341" spans="1:4" x14ac:dyDescent="0.2">
      <c r="A1341" s="5">
        <v>1280</v>
      </c>
      <c r="B1341" s="138">
        <f>'Expenditures 15-22'!D182</f>
        <v>0</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0</v>
      </c>
      <c r="C1345" s="2" t="s">
        <v>594</v>
      </c>
      <c r="D1345" s="2" t="str">
        <f t="shared" si="20"/>
        <v>Error?</v>
      </c>
    </row>
    <row r="1346" spans="1:4" x14ac:dyDescent="0.2">
      <c r="A1346" s="5">
        <v>1285</v>
      </c>
      <c r="B1346" s="138">
        <f>'Expenditures 15-22'!D210</f>
        <v>0</v>
      </c>
      <c r="C1346" s="2" t="s">
        <v>594</v>
      </c>
      <c r="D1346" s="2" t="str">
        <f t="shared" si="20"/>
        <v>Error?</v>
      </c>
    </row>
    <row r="1347" spans="1:4" x14ac:dyDescent="0.2">
      <c r="A1347" s="5">
        <v>1286</v>
      </c>
      <c r="B1347" s="138">
        <f>'Expenditures 15-22'!E182</f>
        <v>695300</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695300</v>
      </c>
      <c r="C1351" s="2" t="s">
        <v>594</v>
      </c>
      <c r="D1351" s="2" t="str">
        <f t="shared" si="20"/>
        <v>Error?</v>
      </c>
    </row>
    <row r="1352" spans="1:4" x14ac:dyDescent="0.2">
      <c r="A1352" s="5">
        <v>1291</v>
      </c>
      <c r="B1352" s="138">
        <f>'Expenditures 15-22'!E196</f>
        <v>0</v>
      </c>
      <c r="C1352" s="2" t="s">
        <v>594</v>
      </c>
      <c r="D1352" s="2" t="str">
        <f t="shared" si="20"/>
        <v>Error?</v>
      </c>
    </row>
    <row r="1353" spans="1:4" x14ac:dyDescent="0.2">
      <c r="A1353" s="5">
        <v>1292</v>
      </c>
      <c r="B1353" s="138">
        <f>'Expenditures 15-22'!E210</f>
        <v>695300</v>
      </c>
      <c r="C1353" s="2" t="s">
        <v>594</v>
      </c>
      <c r="D1353" s="2" t="str">
        <f t="shared" si="20"/>
        <v>Error?</v>
      </c>
    </row>
    <row r="1354" spans="1:4" x14ac:dyDescent="0.2">
      <c r="A1354" s="5">
        <v>1293</v>
      </c>
      <c r="B1354" s="138">
        <f>'Expenditures 15-22'!F182</f>
        <v>25051</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25051</v>
      </c>
      <c r="C1358" s="2" t="s">
        <v>594</v>
      </c>
      <c r="D1358" s="2" t="str">
        <f t="shared" si="20"/>
        <v>Error?</v>
      </c>
    </row>
    <row r="1359" spans="1:4" x14ac:dyDescent="0.2">
      <c r="A1359" s="5">
        <v>1298</v>
      </c>
      <c r="B1359" s="138">
        <f>'Expenditures 15-22'!F210</f>
        <v>25051</v>
      </c>
      <c r="C1359" s="2" t="s">
        <v>594</v>
      </c>
      <c r="D1359" s="2" t="str">
        <f t="shared" si="20"/>
        <v>Error?</v>
      </c>
    </row>
    <row r="1360" spans="1:4" x14ac:dyDescent="0.2">
      <c r="A1360" s="5">
        <v>1299</v>
      </c>
      <c r="B1360" s="138">
        <f>'Expenditures 15-22'!G182</f>
        <v>0</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0</v>
      </c>
      <c r="C1364" s="2" t="s">
        <v>594</v>
      </c>
      <c r="D1364" s="2" t="str">
        <f t="shared" si="20"/>
        <v>Error?</v>
      </c>
    </row>
    <row r="1365" spans="1:4" x14ac:dyDescent="0.2">
      <c r="A1365" s="5">
        <v>1304</v>
      </c>
      <c r="B1365" s="138">
        <f>'Expenditures 15-22'!G210</f>
        <v>0</v>
      </c>
      <c r="C1365" s="2" t="s">
        <v>594</v>
      </c>
      <c r="D1365" s="2" t="str">
        <f t="shared" si="20"/>
        <v>Error?</v>
      </c>
    </row>
    <row r="1366" spans="1:4" x14ac:dyDescent="0.2">
      <c r="A1366" s="5">
        <v>1305</v>
      </c>
      <c r="B1366" s="138">
        <f>'Expenditures 15-22'!H182</f>
        <v>0</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0</v>
      </c>
      <c r="C1370" s="2" t="s">
        <v>594</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0</v>
      </c>
      <c r="C1375" s="2" t="s">
        <v>594</v>
      </c>
      <c r="D1375" s="2" t="str">
        <f t="shared" si="20"/>
        <v>Error?</v>
      </c>
    </row>
    <row r="1376" spans="1:4" x14ac:dyDescent="0.2">
      <c r="A1376" s="5">
        <v>1315</v>
      </c>
      <c r="B1376" s="138">
        <f>'Expenditures 15-22'!H210</f>
        <v>0</v>
      </c>
      <c r="C1376" s="2" t="s">
        <v>594</v>
      </c>
      <c r="D1376" s="2" t="str">
        <f t="shared" si="20"/>
        <v>Error?</v>
      </c>
    </row>
    <row r="1377" spans="1:4" x14ac:dyDescent="0.2">
      <c r="A1377" s="5">
        <v>1316</v>
      </c>
      <c r="B1377" s="138">
        <f>'Expenditures 15-22'!K182</f>
        <v>720351</v>
      </c>
      <c r="C1377" s="2" t="s">
        <v>594</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594</v>
      </c>
      <c r="D1380" s="2" t="str">
        <f t="shared" si="20"/>
        <v>Error?</v>
      </c>
    </row>
    <row r="1381" spans="1:4" x14ac:dyDescent="0.2">
      <c r="A1381" s="5">
        <v>1320</v>
      </c>
      <c r="B1381" s="138">
        <f>'Expenditures 15-22'!K184</f>
        <v>720351</v>
      </c>
      <c r="C1381" s="2" t="s">
        <v>594</v>
      </c>
      <c r="D1381" s="2" t="str">
        <f t="shared" si="20"/>
        <v>Error?</v>
      </c>
    </row>
    <row r="1382" spans="1:4" x14ac:dyDescent="0.2">
      <c r="A1382" s="5">
        <v>1321</v>
      </c>
      <c r="B1382" s="138">
        <f>'Expenditures 15-22'!K196</f>
        <v>0</v>
      </c>
      <c r="C1382" s="2" t="s">
        <v>594</v>
      </c>
      <c r="D1382" s="2" t="str">
        <f t="shared" si="20"/>
        <v>Error?</v>
      </c>
    </row>
    <row r="1383" spans="1:4" x14ac:dyDescent="0.2">
      <c r="A1383" s="5">
        <v>1322</v>
      </c>
      <c r="B1383" s="138">
        <f>'Expenditures 15-22'!K199</f>
        <v>0</v>
      </c>
      <c r="C1383" s="2" t="s">
        <v>594</v>
      </c>
      <c r="D1383" s="2" t="str">
        <f t="shared" si="20"/>
        <v>Error?</v>
      </c>
    </row>
    <row r="1384" spans="1:4" x14ac:dyDescent="0.2">
      <c r="A1384" s="5">
        <v>1323</v>
      </c>
      <c r="B1384" s="138">
        <f>'Expenditures 15-22'!K200</f>
        <v>0</v>
      </c>
      <c r="C1384" s="2" t="s">
        <v>594</v>
      </c>
      <c r="D1384" s="2" t="str">
        <f t="shared" si="20"/>
        <v>Error?</v>
      </c>
    </row>
    <row r="1385" spans="1:4" x14ac:dyDescent="0.2">
      <c r="A1385" s="5">
        <v>1324</v>
      </c>
      <c r="B1385" s="138">
        <f>'Expenditures 15-22'!K203</f>
        <v>0</v>
      </c>
      <c r="C1385" s="2" t="s">
        <v>594</v>
      </c>
      <c r="D1385" s="2" t="str">
        <f t="shared" si="20"/>
        <v>Error?</v>
      </c>
    </row>
    <row r="1386" spans="1:4" x14ac:dyDescent="0.2">
      <c r="A1386" s="10">
        <v>1325</v>
      </c>
      <c r="D1386" s="2" t="str">
        <f t="shared" si="20"/>
        <v>OK</v>
      </c>
    </row>
    <row r="1387" spans="1:4" x14ac:dyDescent="0.2">
      <c r="A1387" s="5">
        <v>1326</v>
      </c>
      <c r="B1387" s="138">
        <f>'Expenditures 15-22'!K208</f>
        <v>0</v>
      </c>
      <c r="C1387" s="2" t="s">
        <v>594</v>
      </c>
      <c r="D1387" s="2" t="str">
        <f t="shared" si="20"/>
        <v>Error?</v>
      </c>
    </row>
    <row r="1388" spans="1:4" x14ac:dyDescent="0.2">
      <c r="A1388" s="5">
        <v>1327</v>
      </c>
      <c r="B1388" s="138">
        <f>'Expenditures 15-22'!K210</f>
        <v>720351</v>
      </c>
      <c r="C1388" s="2" t="s">
        <v>594</v>
      </c>
      <c r="D1388" s="2" t="str">
        <f t="shared" si="20"/>
        <v>Error?</v>
      </c>
    </row>
    <row r="1389" spans="1:4" x14ac:dyDescent="0.2">
      <c r="A1389" s="5">
        <v>1328</v>
      </c>
      <c r="B1389" s="138">
        <f>'Expenditures 15-22'!K211</f>
        <v>236316</v>
      </c>
      <c r="C1389" s="2" t="s">
        <v>594</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0</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18902</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0</v>
      </c>
      <c r="D1407" s="2" t="str">
        <f t="shared" ref="D1407:D1470" si="21">IF(ISBLANK(B1407),"OK",IF(A1407-B1407=0,"OK","Error?"))</f>
        <v>Error?</v>
      </c>
    </row>
    <row r="1408" spans="1:4" x14ac:dyDescent="0.2">
      <c r="A1408" s="5">
        <v>1347</v>
      </c>
      <c r="B1408" s="138">
        <f>'Expenditures 15-22'!D223</f>
        <v>0</v>
      </c>
      <c r="D1408" s="2" t="str">
        <f t="shared" si="21"/>
        <v>Error?</v>
      </c>
    </row>
    <row r="1409" spans="1:4" x14ac:dyDescent="0.2">
      <c r="A1409" s="5">
        <v>1348</v>
      </c>
      <c r="B1409" s="138">
        <f>'Expenditures 15-22'!D224</f>
        <v>95</v>
      </c>
      <c r="D1409" s="2" t="str">
        <f t="shared" si="21"/>
        <v>Error?</v>
      </c>
    </row>
    <row r="1410" spans="1:4" x14ac:dyDescent="0.2">
      <c r="A1410" s="5">
        <v>1349</v>
      </c>
      <c r="B1410" s="138">
        <f>'Expenditures 15-22'!D229</f>
        <v>304723</v>
      </c>
      <c r="C1410" s="2" t="s">
        <v>594</v>
      </c>
      <c r="D1410" s="2" t="str">
        <f t="shared" si="21"/>
        <v>Error?</v>
      </c>
    </row>
    <row r="1411" spans="1:4" x14ac:dyDescent="0.2">
      <c r="A1411" s="5">
        <v>1350</v>
      </c>
      <c r="B1411" s="138">
        <f>'Expenditures 15-22'!D232</f>
        <v>4571</v>
      </c>
      <c r="D1411" s="2" t="str">
        <f t="shared" si="21"/>
        <v>Error?</v>
      </c>
    </row>
    <row r="1412" spans="1:4" x14ac:dyDescent="0.2">
      <c r="A1412" s="5">
        <v>1351</v>
      </c>
      <c r="B1412" s="138">
        <f>'Expenditures 15-22'!D233</f>
        <v>0</v>
      </c>
      <c r="D1412" s="2" t="str">
        <f t="shared" si="21"/>
        <v>Error?</v>
      </c>
    </row>
    <row r="1413" spans="1:4" x14ac:dyDescent="0.2">
      <c r="A1413" s="5">
        <v>1352</v>
      </c>
      <c r="B1413" s="138">
        <f>'Expenditures 15-22'!D234</f>
        <v>35958</v>
      </c>
      <c r="D1413" s="2" t="str">
        <f t="shared" si="21"/>
        <v>Error?</v>
      </c>
    </row>
    <row r="1414" spans="1:4" x14ac:dyDescent="0.2">
      <c r="A1414" s="5">
        <v>1353</v>
      </c>
      <c r="B1414" s="138">
        <f>'Expenditures 15-22'!D235</f>
        <v>2895</v>
      </c>
      <c r="D1414" s="2" t="str">
        <f t="shared" si="21"/>
        <v>Error?</v>
      </c>
    </row>
    <row r="1415" spans="1:4" x14ac:dyDescent="0.2">
      <c r="A1415" s="5">
        <v>1354</v>
      </c>
      <c r="B1415" s="138">
        <f>'Expenditures 15-22'!D236</f>
        <v>2641</v>
      </c>
      <c r="D1415" s="2" t="str">
        <f t="shared" si="21"/>
        <v>Error?</v>
      </c>
    </row>
    <row r="1416" spans="1:4" x14ac:dyDescent="0.2">
      <c r="A1416" s="5">
        <v>1355</v>
      </c>
      <c r="B1416" s="138">
        <f>'Expenditures 15-22'!D237</f>
        <v>0</v>
      </c>
      <c r="D1416" s="2" t="str">
        <f t="shared" si="21"/>
        <v>Error?</v>
      </c>
    </row>
    <row r="1417" spans="1:4" x14ac:dyDescent="0.2">
      <c r="A1417" s="5">
        <v>1356</v>
      </c>
      <c r="B1417" s="138">
        <f>'Expenditures 15-22'!D238</f>
        <v>46065</v>
      </c>
      <c r="C1417" s="2" t="s">
        <v>594</v>
      </c>
      <c r="D1417" s="2" t="str">
        <f t="shared" si="21"/>
        <v>Error?</v>
      </c>
    </row>
    <row r="1418" spans="1:4" x14ac:dyDescent="0.2">
      <c r="A1418" s="5">
        <v>1357</v>
      </c>
      <c r="B1418" s="138">
        <f>'Expenditures 15-22'!D240</f>
        <v>3031</v>
      </c>
      <c r="D1418" s="2" t="str">
        <f t="shared" si="21"/>
        <v>Error?</v>
      </c>
    </row>
    <row r="1419" spans="1:4" x14ac:dyDescent="0.2">
      <c r="A1419" s="5">
        <v>1358</v>
      </c>
      <c r="B1419" s="138">
        <f>'Expenditures 15-22'!D241</f>
        <v>10753</v>
      </c>
      <c r="D1419" s="2" t="str">
        <f t="shared" si="21"/>
        <v>Error?</v>
      </c>
    </row>
    <row r="1420" spans="1:4" x14ac:dyDescent="0.2">
      <c r="A1420" s="5">
        <v>1359</v>
      </c>
      <c r="B1420" s="138">
        <f>'Expenditures 15-22'!D242</f>
        <v>0</v>
      </c>
      <c r="D1420" s="2" t="str">
        <f t="shared" si="21"/>
        <v>Error?</v>
      </c>
    </row>
    <row r="1421" spans="1:4" x14ac:dyDescent="0.2">
      <c r="A1421" s="5">
        <v>1360</v>
      </c>
      <c r="B1421" s="138">
        <f>'Expenditures 15-22'!D243</f>
        <v>13784</v>
      </c>
      <c r="C1421" s="2" t="s">
        <v>594</v>
      </c>
      <c r="D1421" s="2" t="str">
        <f t="shared" si="21"/>
        <v>Error?</v>
      </c>
    </row>
    <row r="1422" spans="1:4" x14ac:dyDescent="0.2">
      <c r="A1422" s="5">
        <v>1361</v>
      </c>
      <c r="B1422" s="138">
        <f>'Expenditures 15-22'!D245</f>
        <v>0</v>
      </c>
      <c r="D1422" s="2" t="str">
        <f t="shared" si="21"/>
        <v>Error?</v>
      </c>
    </row>
    <row r="1423" spans="1:4" x14ac:dyDescent="0.2">
      <c r="A1423" s="5">
        <v>1362</v>
      </c>
      <c r="B1423" s="138">
        <f>'Expenditures 15-22'!D246</f>
        <v>22085</v>
      </c>
      <c r="D1423" s="2" t="str">
        <f t="shared" si="21"/>
        <v>Error?</v>
      </c>
    </row>
    <row r="1424" spans="1:4" x14ac:dyDescent="0.2">
      <c r="A1424" s="5">
        <v>1363</v>
      </c>
      <c r="B1424" s="138">
        <f>'Expenditures 15-22'!D257</f>
        <v>22085</v>
      </c>
      <c r="C1424" s="2" t="s">
        <v>594</v>
      </c>
      <c r="D1424" s="2" t="str">
        <f t="shared" si="21"/>
        <v>Error?</v>
      </c>
    </row>
    <row r="1425" spans="1:4" x14ac:dyDescent="0.2">
      <c r="A1425" s="5">
        <v>1364</v>
      </c>
      <c r="B1425" s="138">
        <f>'Expenditures 15-22'!D259</f>
        <v>56524</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56524</v>
      </c>
      <c r="C1427" s="2" t="s">
        <v>594</v>
      </c>
      <c r="D1427" s="2" t="str">
        <f t="shared" si="21"/>
        <v>Error?</v>
      </c>
    </row>
    <row r="1428" spans="1:4" x14ac:dyDescent="0.2">
      <c r="A1428" s="5">
        <v>1367</v>
      </c>
      <c r="B1428" s="138">
        <f>'Expenditures 15-22'!D263</f>
        <v>0</v>
      </c>
      <c r="D1428" s="2" t="str">
        <f t="shared" si="21"/>
        <v>Error?</v>
      </c>
    </row>
    <row r="1429" spans="1:4" x14ac:dyDescent="0.2">
      <c r="A1429" s="5">
        <v>1368</v>
      </c>
      <c r="B1429" s="138">
        <f>'Expenditures 15-22'!D264</f>
        <v>14585</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71840</v>
      </c>
      <c r="D1431" s="2" t="str">
        <f t="shared" si="21"/>
        <v>Error?</v>
      </c>
    </row>
    <row r="1432" spans="1:4" x14ac:dyDescent="0.2">
      <c r="A1432" s="5">
        <v>1371</v>
      </c>
      <c r="B1432" s="138">
        <f>'Expenditures 15-22'!D267</f>
        <v>0</v>
      </c>
      <c r="D1432" s="2" t="str">
        <f t="shared" si="21"/>
        <v>Error?</v>
      </c>
    </row>
    <row r="1433" spans="1:4" x14ac:dyDescent="0.2">
      <c r="A1433" s="5">
        <v>1372</v>
      </c>
      <c r="B1433" s="138">
        <f>'Expenditures 15-22'!D268</f>
        <v>47201</v>
      </c>
      <c r="D1433" s="2" t="str">
        <f t="shared" si="21"/>
        <v>Error?</v>
      </c>
    </row>
    <row r="1434" spans="1:4" x14ac:dyDescent="0.2">
      <c r="A1434" s="5">
        <v>1373</v>
      </c>
      <c r="B1434" s="138">
        <f>'Expenditures 15-22'!D269</f>
        <v>6136</v>
      </c>
      <c r="D1434" s="2" t="str">
        <f t="shared" si="21"/>
        <v>Error?</v>
      </c>
    </row>
    <row r="1435" spans="1:4" x14ac:dyDescent="0.2">
      <c r="A1435" s="10">
        <v>1374</v>
      </c>
      <c r="D1435" s="2" t="str">
        <f t="shared" si="21"/>
        <v>OK</v>
      </c>
    </row>
    <row r="1436" spans="1:4" x14ac:dyDescent="0.2">
      <c r="A1436" s="5">
        <v>1375</v>
      </c>
      <c r="B1436" s="138">
        <f>'Expenditures 15-22'!D270</f>
        <v>139762</v>
      </c>
      <c r="C1436" s="2" t="s">
        <v>594</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0</v>
      </c>
      <c r="D1439" s="2" t="str">
        <f t="shared" si="21"/>
        <v>Error?</v>
      </c>
    </row>
    <row r="1440" spans="1:4" x14ac:dyDescent="0.2">
      <c r="A1440" s="5">
        <v>1379</v>
      </c>
      <c r="B1440" s="138">
        <f>'Expenditures 15-22'!D275</f>
        <v>0</v>
      </c>
      <c r="D1440" s="2" t="str">
        <f t="shared" si="21"/>
        <v>Error?</v>
      </c>
    </row>
    <row r="1441" spans="1:4" x14ac:dyDescent="0.2">
      <c r="A1441" s="10">
        <v>1380</v>
      </c>
      <c r="D1441" s="2" t="str">
        <f t="shared" si="21"/>
        <v>OK</v>
      </c>
    </row>
    <row r="1442" spans="1:4" x14ac:dyDescent="0.2">
      <c r="A1442" s="5">
        <v>1381</v>
      </c>
      <c r="B1442" s="138">
        <f>'Expenditures 15-22'!D276</f>
        <v>0</v>
      </c>
      <c r="D1442" s="2" t="str">
        <f t="shared" si="21"/>
        <v>Error?</v>
      </c>
    </row>
    <row r="1443" spans="1:4" x14ac:dyDescent="0.2">
      <c r="A1443" s="10">
        <v>1382</v>
      </c>
      <c r="D1443" s="2" t="str">
        <f t="shared" si="21"/>
        <v>OK</v>
      </c>
    </row>
    <row r="1444" spans="1:4" x14ac:dyDescent="0.2">
      <c r="A1444" s="5">
        <v>1383</v>
      </c>
      <c r="B1444" s="138">
        <f>'Expenditures 15-22'!D277</f>
        <v>0</v>
      </c>
      <c r="C1444" s="2" t="s">
        <v>594</v>
      </c>
      <c r="D1444" s="2" t="str">
        <f t="shared" si="21"/>
        <v>Error?</v>
      </c>
    </row>
    <row r="1445" spans="1:4" x14ac:dyDescent="0.2">
      <c r="A1445" s="5">
        <v>1384</v>
      </c>
      <c r="B1445" s="138">
        <f>'Expenditures 15-22'!D278</f>
        <v>0</v>
      </c>
      <c r="D1445" s="2" t="str">
        <f t="shared" si="21"/>
        <v>Error?</v>
      </c>
    </row>
    <row r="1446" spans="1:4" x14ac:dyDescent="0.2">
      <c r="A1446" s="5">
        <v>1385</v>
      </c>
      <c r="B1446" s="138">
        <f>'Expenditures 15-22'!D279</f>
        <v>278220</v>
      </c>
      <c r="C1446" s="2" t="s">
        <v>594</v>
      </c>
      <c r="D1446" s="2" t="str">
        <f t="shared" si="21"/>
        <v>Error?</v>
      </c>
    </row>
    <row r="1447" spans="1:4" x14ac:dyDescent="0.2">
      <c r="A1447" s="5">
        <v>1386</v>
      </c>
      <c r="B1447" s="138">
        <f>'Expenditures 15-22'!D280</f>
        <v>0</v>
      </c>
      <c r="D1447" s="2" t="str">
        <f t="shared" si="21"/>
        <v>Error?</v>
      </c>
    </row>
    <row r="1448" spans="1:4" x14ac:dyDescent="0.2">
      <c r="A1448" s="5">
        <v>1387</v>
      </c>
      <c r="B1448" s="138">
        <f>'Expenditures 15-22'!D295</f>
        <v>582943</v>
      </c>
      <c r="C1448" s="2" t="s">
        <v>594</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594</v>
      </c>
      <c r="D1452" s="2" t="str">
        <f t="shared" si="21"/>
        <v>Error?</v>
      </c>
    </row>
    <row r="1453" spans="1:4" x14ac:dyDescent="0.2">
      <c r="A1453" s="10">
        <v>1392</v>
      </c>
      <c r="D1453" s="2" t="str">
        <f t="shared" si="21"/>
        <v>OK</v>
      </c>
    </row>
    <row r="1454" spans="1:4" x14ac:dyDescent="0.2">
      <c r="A1454" s="5">
        <v>1393</v>
      </c>
      <c r="B1454" s="138">
        <f>'Expenditures 15-22'!H295</f>
        <v>0</v>
      </c>
      <c r="C1454" s="2" t="s">
        <v>594</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0</v>
      </c>
      <c r="C1460" s="2" t="s">
        <v>594</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18902</v>
      </c>
      <c r="C1466" s="2" t="s">
        <v>594</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594</v>
      </c>
      <c r="D1470" s="2" t="str">
        <f t="shared" si="21"/>
        <v>Error?</v>
      </c>
    </row>
    <row r="1471" spans="1:4" x14ac:dyDescent="0.2">
      <c r="A1471" s="5">
        <v>1410</v>
      </c>
      <c r="B1471" s="138">
        <f>'Expenditures 15-22'!K222</f>
        <v>0</v>
      </c>
      <c r="C1471" s="2" t="s">
        <v>594</v>
      </c>
      <c r="D1471" s="2" t="str">
        <f t="shared" ref="D1471:D1534" si="22">IF(ISBLANK(B1471),"OK",IF(A1471-B1471=0,"OK","Error?"))</f>
        <v>Error?</v>
      </c>
    </row>
    <row r="1472" spans="1:4" x14ac:dyDescent="0.2">
      <c r="A1472" s="5">
        <v>1411</v>
      </c>
      <c r="B1472" s="138">
        <f>'Expenditures 15-22'!K223</f>
        <v>0</v>
      </c>
      <c r="C1472" s="2" t="s">
        <v>594</v>
      </c>
      <c r="D1472" s="2" t="str">
        <f t="shared" si="22"/>
        <v>Error?</v>
      </c>
    </row>
    <row r="1473" spans="1:4" x14ac:dyDescent="0.2">
      <c r="A1473" s="5">
        <v>1412</v>
      </c>
      <c r="B1473" s="138">
        <f>'Expenditures 15-22'!K224</f>
        <v>95</v>
      </c>
      <c r="C1473" s="2" t="s">
        <v>594</v>
      </c>
      <c r="D1473" s="2" t="str">
        <f t="shared" si="22"/>
        <v>Error?</v>
      </c>
    </row>
    <row r="1474" spans="1:4" x14ac:dyDescent="0.2">
      <c r="A1474" s="5">
        <v>1413</v>
      </c>
      <c r="B1474" s="138">
        <f>'Expenditures 15-22'!K229</f>
        <v>304723</v>
      </c>
      <c r="C1474" s="2" t="s">
        <v>594</v>
      </c>
      <c r="D1474" s="2" t="str">
        <f t="shared" si="22"/>
        <v>Error?</v>
      </c>
    </row>
    <row r="1475" spans="1:4" x14ac:dyDescent="0.2">
      <c r="A1475" s="5">
        <v>1414</v>
      </c>
      <c r="B1475" s="138">
        <f>'Expenditures 15-22'!K232</f>
        <v>4571</v>
      </c>
      <c r="C1475" s="2" t="s">
        <v>594</v>
      </c>
      <c r="D1475" s="2" t="str">
        <f t="shared" si="22"/>
        <v>Error?</v>
      </c>
    </row>
    <row r="1476" spans="1:4" x14ac:dyDescent="0.2">
      <c r="A1476" s="5">
        <v>1415</v>
      </c>
      <c r="B1476" s="138">
        <f>'Expenditures 15-22'!K233</f>
        <v>0</v>
      </c>
      <c r="C1476" s="2" t="s">
        <v>594</v>
      </c>
      <c r="D1476" s="2" t="str">
        <f t="shared" si="22"/>
        <v>Error?</v>
      </c>
    </row>
    <row r="1477" spans="1:4" x14ac:dyDescent="0.2">
      <c r="A1477" s="5">
        <v>1416</v>
      </c>
      <c r="B1477" s="138">
        <f>'Expenditures 15-22'!K234</f>
        <v>35958</v>
      </c>
      <c r="C1477" s="2" t="s">
        <v>594</v>
      </c>
      <c r="D1477" s="2" t="str">
        <f t="shared" si="22"/>
        <v>Error?</v>
      </c>
    </row>
    <row r="1478" spans="1:4" x14ac:dyDescent="0.2">
      <c r="A1478" s="5">
        <v>1417</v>
      </c>
      <c r="B1478" s="138">
        <f>'Expenditures 15-22'!K235</f>
        <v>2895</v>
      </c>
      <c r="C1478" s="2" t="s">
        <v>594</v>
      </c>
      <c r="D1478" s="2" t="str">
        <f t="shared" si="22"/>
        <v>Error?</v>
      </c>
    </row>
    <row r="1479" spans="1:4" x14ac:dyDescent="0.2">
      <c r="A1479" s="5">
        <v>1418</v>
      </c>
      <c r="B1479" s="138">
        <f>'Expenditures 15-22'!K236</f>
        <v>2641</v>
      </c>
      <c r="C1479" s="2" t="s">
        <v>594</v>
      </c>
      <c r="D1479" s="2" t="str">
        <f t="shared" si="22"/>
        <v>Error?</v>
      </c>
    </row>
    <row r="1480" spans="1:4" x14ac:dyDescent="0.2">
      <c r="A1480" s="5">
        <v>1419</v>
      </c>
      <c r="B1480" s="138">
        <f>'Expenditures 15-22'!K237</f>
        <v>0</v>
      </c>
      <c r="C1480" s="2" t="s">
        <v>594</v>
      </c>
      <c r="D1480" s="2" t="str">
        <f t="shared" si="22"/>
        <v>Error?</v>
      </c>
    </row>
    <row r="1481" spans="1:4" x14ac:dyDescent="0.2">
      <c r="A1481" s="5">
        <v>1420</v>
      </c>
      <c r="B1481" s="138">
        <f>'Expenditures 15-22'!K238</f>
        <v>46065</v>
      </c>
      <c r="C1481" s="2" t="s">
        <v>594</v>
      </c>
      <c r="D1481" s="2" t="str">
        <f t="shared" si="22"/>
        <v>Error?</v>
      </c>
    </row>
    <row r="1482" spans="1:4" x14ac:dyDescent="0.2">
      <c r="A1482" s="5">
        <v>1421</v>
      </c>
      <c r="B1482" s="138">
        <f>'Expenditures 15-22'!K240</f>
        <v>3031</v>
      </c>
      <c r="C1482" s="2" t="s">
        <v>594</v>
      </c>
      <c r="D1482" s="2" t="str">
        <f t="shared" si="22"/>
        <v>Error?</v>
      </c>
    </row>
    <row r="1483" spans="1:4" x14ac:dyDescent="0.2">
      <c r="A1483" s="5">
        <v>1422</v>
      </c>
      <c r="B1483" s="138">
        <f>'Expenditures 15-22'!K241</f>
        <v>10753</v>
      </c>
      <c r="C1483" s="2" t="s">
        <v>594</v>
      </c>
      <c r="D1483" s="2" t="str">
        <f t="shared" si="22"/>
        <v>Error?</v>
      </c>
    </row>
    <row r="1484" spans="1:4" x14ac:dyDescent="0.2">
      <c r="A1484" s="5">
        <v>1423</v>
      </c>
      <c r="B1484" s="138">
        <f>'Expenditures 15-22'!K242</f>
        <v>0</v>
      </c>
      <c r="C1484" s="2" t="s">
        <v>594</v>
      </c>
      <c r="D1484" s="2" t="str">
        <f t="shared" si="22"/>
        <v>Error?</v>
      </c>
    </row>
    <row r="1485" spans="1:4" x14ac:dyDescent="0.2">
      <c r="A1485" s="5">
        <v>1424</v>
      </c>
      <c r="B1485" s="138">
        <f>'Expenditures 15-22'!K243</f>
        <v>13784</v>
      </c>
      <c r="C1485" s="2" t="s">
        <v>594</v>
      </c>
      <c r="D1485" s="2" t="str">
        <f t="shared" si="22"/>
        <v>Error?</v>
      </c>
    </row>
    <row r="1486" spans="1:4" x14ac:dyDescent="0.2">
      <c r="A1486" s="5">
        <v>1425</v>
      </c>
      <c r="B1486" s="138">
        <f>'Expenditures 15-22'!K245</f>
        <v>0</v>
      </c>
      <c r="C1486" s="2" t="s">
        <v>594</v>
      </c>
      <c r="D1486" s="2" t="str">
        <f t="shared" si="22"/>
        <v>Error?</v>
      </c>
    </row>
    <row r="1487" spans="1:4" x14ac:dyDescent="0.2">
      <c r="A1487" s="5">
        <v>1426</v>
      </c>
      <c r="B1487" s="138">
        <f>'Expenditures 15-22'!K246</f>
        <v>22085</v>
      </c>
      <c r="C1487" s="2" t="s">
        <v>594</v>
      </c>
      <c r="D1487" s="2" t="str">
        <f t="shared" si="22"/>
        <v>Error?</v>
      </c>
    </row>
    <row r="1488" spans="1:4" x14ac:dyDescent="0.2">
      <c r="A1488" s="5">
        <v>1427</v>
      </c>
      <c r="B1488" s="138">
        <f>'Expenditures 15-22'!K257</f>
        <v>22085</v>
      </c>
      <c r="C1488" s="2" t="s">
        <v>594</v>
      </c>
      <c r="D1488" s="2" t="str">
        <f t="shared" si="22"/>
        <v>Error?</v>
      </c>
    </row>
    <row r="1489" spans="1:4" x14ac:dyDescent="0.2">
      <c r="A1489" s="5">
        <v>1428</v>
      </c>
      <c r="B1489" s="138">
        <f>'Expenditures 15-22'!K259</f>
        <v>56524</v>
      </c>
      <c r="C1489" s="2" t="s">
        <v>594</v>
      </c>
      <c r="D1489" s="2" t="str">
        <f t="shared" si="22"/>
        <v>Error?</v>
      </c>
    </row>
    <row r="1490" spans="1:4" x14ac:dyDescent="0.2">
      <c r="A1490" s="5">
        <v>1429</v>
      </c>
      <c r="B1490" s="138">
        <f>'Expenditures 15-22'!K260</f>
        <v>0</v>
      </c>
      <c r="C1490" s="2" t="s">
        <v>594</v>
      </c>
      <c r="D1490" s="2" t="str">
        <f t="shared" si="22"/>
        <v>Error?</v>
      </c>
    </row>
    <row r="1491" spans="1:4" x14ac:dyDescent="0.2">
      <c r="A1491" s="5">
        <v>1430</v>
      </c>
      <c r="B1491" s="138">
        <f>'Expenditures 15-22'!K261</f>
        <v>56524</v>
      </c>
      <c r="C1491" s="2" t="s">
        <v>594</v>
      </c>
      <c r="D1491" s="2" t="str">
        <f t="shared" si="22"/>
        <v>Error?</v>
      </c>
    </row>
    <row r="1492" spans="1:4" x14ac:dyDescent="0.2">
      <c r="A1492" s="5">
        <v>1431</v>
      </c>
      <c r="B1492" s="138">
        <f>'Expenditures 15-22'!K263</f>
        <v>0</v>
      </c>
      <c r="C1492" s="2" t="s">
        <v>594</v>
      </c>
      <c r="D1492" s="2" t="str">
        <f t="shared" si="22"/>
        <v>Error?</v>
      </c>
    </row>
    <row r="1493" spans="1:4" x14ac:dyDescent="0.2">
      <c r="A1493" s="5">
        <v>1432</v>
      </c>
      <c r="B1493" s="138">
        <f>'Expenditures 15-22'!K264</f>
        <v>14585</v>
      </c>
      <c r="C1493" s="2" t="s">
        <v>594</v>
      </c>
      <c r="D1493" s="2" t="str">
        <f t="shared" si="22"/>
        <v>Error?</v>
      </c>
    </row>
    <row r="1494" spans="1:4" x14ac:dyDescent="0.2">
      <c r="A1494" s="5">
        <v>1433</v>
      </c>
      <c r="B1494" s="138">
        <f>'Expenditures 15-22'!K265</f>
        <v>0</v>
      </c>
      <c r="C1494" s="2" t="s">
        <v>594</v>
      </c>
      <c r="D1494" s="2" t="str">
        <f t="shared" si="22"/>
        <v>Error?</v>
      </c>
    </row>
    <row r="1495" spans="1:4" x14ac:dyDescent="0.2">
      <c r="A1495" s="5">
        <v>1434</v>
      </c>
      <c r="B1495" s="138">
        <f>'Expenditures 15-22'!K266</f>
        <v>71840</v>
      </c>
      <c r="C1495" s="2" t="s">
        <v>594</v>
      </c>
      <c r="D1495" s="2" t="str">
        <f t="shared" si="22"/>
        <v>Error?</v>
      </c>
    </row>
    <row r="1496" spans="1:4" x14ac:dyDescent="0.2">
      <c r="A1496" s="5">
        <v>1435</v>
      </c>
      <c r="B1496" s="138">
        <f>'Expenditures 15-22'!K267</f>
        <v>0</v>
      </c>
      <c r="C1496" s="2" t="s">
        <v>594</v>
      </c>
      <c r="D1496" s="2" t="str">
        <f t="shared" si="22"/>
        <v>Error?</v>
      </c>
    </row>
    <row r="1497" spans="1:4" x14ac:dyDescent="0.2">
      <c r="A1497" s="5">
        <v>1436</v>
      </c>
      <c r="B1497" s="138">
        <f>'Expenditures 15-22'!K268</f>
        <v>47201</v>
      </c>
      <c r="C1497" s="2" t="s">
        <v>594</v>
      </c>
      <c r="D1497" s="2" t="str">
        <f t="shared" si="22"/>
        <v>Error?</v>
      </c>
    </row>
    <row r="1498" spans="1:4" x14ac:dyDescent="0.2">
      <c r="A1498" s="5">
        <v>1437</v>
      </c>
      <c r="B1498" s="138">
        <f>'Expenditures 15-22'!K269</f>
        <v>6136</v>
      </c>
      <c r="C1498" s="2" t="s">
        <v>594</v>
      </c>
      <c r="D1498" s="2" t="str">
        <f t="shared" si="22"/>
        <v>Error?</v>
      </c>
    </row>
    <row r="1499" spans="1:4" x14ac:dyDescent="0.2">
      <c r="A1499" s="10">
        <v>1438</v>
      </c>
      <c r="D1499" s="2" t="str">
        <f t="shared" si="22"/>
        <v>OK</v>
      </c>
    </row>
    <row r="1500" spans="1:4" x14ac:dyDescent="0.2">
      <c r="A1500" s="5">
        <v>1439</v>
      </c>
      <c r="B1500" s="138">
        <f>'Expenditures 15-22'!K270</f>
        <v>139762</v>
      </c>
      <c r="C1500" s="2" t="s">
        <v>594</v>
      </c>
      <c r="D1500" s="2" t="str">
        <f t="shared" si="22"/>
        <v>Error?</v>
      </c>
    </row>
    <row r="1501" spans="1:4" x14ac:dyDescent="0.2">
      <c r="A1501" s="5">
        <v>1440</v>
      </c>
      <c r="B1501" s="138">
        <f>'Expenditures 15-22'!K272</f>
        <v>0</v>
      </c>
      <c r="C1501" s="2" t="s">
        <v>594</v>
      </c>
      <c r="D1501" s="2" t="str">
        <f t="shared" si="22"/>
        <v>Error?</v>
      </c>
    </row>
    <row r="1502" spans="1:4" x14ac:dyDescent="0.2">
      <c r="A1502" s="5">
        <v>1441</v>
      </c>
      <c r="B1502" s="138">
        <f>'Expenditures 15-22'!K273</f>
        <v>0</v>
      </c>
      <c r="C1502" s="2" t="s">
        <v>594</v>
      </c>
      <c r="D1502" s="2" t="str">
        <f t="shared" si="22"/>
        <v>Error?</v>
      </c>
    </row>
    <row r="1503" spans="1:4" x14ac:dyDescent="0.2">
      <c r="A1503" s="5">
        <v>1442</v>
      </c>
      <c r="B1503" s="138">
        <f>'Expenditures 15-22'!K274</f>
        <v>0</v>
      </c>
      <c r="C1503" s="2" t="s">
        <v>594</v>
      </c>
      <c r="D1503" s="2" t="str">
        <f t="shared" si="22"/>
        <v>Error?</v>
      </c>
    </row>
    <row r="1504" spans="1:4" x14ac:dyDescent="0.2">
      <c r="A1504" s="5">
        <v>1443</v>
      </c>
      <c r="B1504" s="138">
        <f>'Expenditures 15-22'!K275</f>
        <v>0</v>
      </c>
      <c r="C1504" s="2" t="s">
        <v>594</v>
      </c>
      <c r="D1504" s="2" t="str">
        <f t="shared" si="22"/>
        <v>Error?</v>
      </c>
    </row>
    <row r="1505" spans="1:4" x14ac:dyDescent="0.2">
      <c r="A1505" s="10">
        <v>1444</v>
      </c>
      <c r="D1505" s="2" t="str">
        <f t="shared" si="22"/>
        <v>OK</v>
      </c>
    </row>
    <row r="1506" spans="1:4" x14ac:dyDescent="0.2">
      <c r="A1506" s="5">
        <v>1445</v>
      </c>
      <c r="B1506" s="138">
        <f>'Expenditures 15-22'!K276</f>
        <v>0</v>
      </c>
      <c r="C1506" s="2" t="s">
        <v>594</v>
      </c>
      <c r="D1506" s="2" t="str">
        <f t="shared" si="22"/>
        <v>Error?</v>
      </c>
    </row>
    <row r="1507" spans="1:4" x14ac:dyDescent="0.2">
      <c r="A1507" s="10">
        <v>1446</v>
      </c>
      <c r="D1507" s="2" t="str">
        <f t="shared" si="22"/>
        <v>OK</v>
      </c>
    </row>
    <row r="1508" spans="1:4" x14ac:dyDescent="0.2">
      <c r="A1508" s="5">
        <v>1447</v>
      </c>
      <c r="B1508" s="138">
        <f>'Expenditures 15-22'!K277</f>
        <v>0</v>
      </c>
      <c r="C1508" s="2" t="s">
        <v>594</v>
      </c>
      <c r="D1508" s="2" t="str">
        <f t="shared" si="22"/>
        <v>Error?</v>
      </c>
    </row>
    <row r="1509" spans="1:4" x14ac:dyDescent="0.2">
      <c r="A1509" s="5">
        <v>1448</v>
      </c>
      <c r="B1509" s="138">
        <f>'Expenditures 15-22'!K278</f>
        <v>0</v>
      </c>
      <c r="C1509" s="2" t="s">
        <v>594</v>
      </c>
      <c r="D1509" s="2" t="str">
        <f t="shared" si="22"/>
        <v>Error?</v>
      </c>
    </row>
    <row r="1510" spans="1:4" x14ac:dyDescent="0.2">
      <c r="A1510" s="5">
        <v>1449</v>
      </c>
      <c r="B1510" s="138">
        <f>'Expenditures 15-22'!K279</f>
        <v>278220</v>
      </c>
      <c r="C1510" s="2" t="s">
        <v>594</v>
      </c>
      <c r="D1510" s="2" t="str">
        <f t="shared" si="22"/>
        <v>Error?</v>
      </c>
    </row>
    <row r="1511" spans="1:4" x14ac:dyDescent="0.2">
      <c r="A1511" s="5">
        <v>1450</v>
      </c>
      <c r="B1511" s="138">
        <f>'Expenditures 15-22'!K280</f>
        <v>0</v>
      </c>
      <c r="C1511" s="2" t="s">
        <v>594</v>
      </c>
      <c r="D1511" s="2" t="str">
        <f t="shared" si="22"/>
        <v>Error?</v>
      </c>
    </row>
    <row r="1512" spans="1:4" x14ac:dyDescent="0.2">
      <c r="A1512" s="5">
        <v>1451</v>
      </c>
      <c r="B1512" s="138">
        <f>'Expenditures 15-22'!K288</f>
        <v>0</v>
      </c>
      <c r="C1512" s="2" t="s">
        <v>594</v>
      </c>
      <c r="D1512" s="2" t="str">
        <f t="shared" si="22"/>
        <v>Error?</v>
      </c>
    </row>
    <row r="1513" spans="1:4" x14ac:dyDescent="0.2">
      <c r="A1513" s="5">
        <v>1452</v>
      </c>
      <c r="B1513" s="138">
        <f>'Expenditures 15-22'!K289</f>
        <v>0</v>
      </c>
      <c r="C1513" s="2" t="s">
        <v>594</v>
      </c>
      <c r="D1513" s="2" t="str">
        <f t="shared" si="22"/>
        <v>Error?</v>
      </c>
    </row>
    <row r="1514" spans="1:4" x14ac:dyDescent="0.2">
      <c r="A1514" s="5">
        <v>1453</v>
      </c>
      <c r="B1514" s="138">
        <f>'Expenditures 15-22'!K292</f>
        <v>0</v>
      </c>
      <c r="C1514" s="2" t="s">
        <v>594</v>
      </c>
      <c r="D1514" s="2" t="str">
        <f t="shared" si="22"/>
        <v>Error?</v>
      </c>
    </row>
    <row r="1515" spans="1:4" x14ac:dyDescent="0.2">
      <c r="A1515" s="5">
        <v>1454</v>
      </c>
      <c r="B1515" s="138">
        <f>'Expenditures 15-22'!K293</f>
        <v>0</v>
      </c>
      <c r="C1515" s="2" t="s">
        <v>594</v>
      </c>
      <c r="D1515" s="2" t="str">
        <f t="shared" si="22"/>
        <v>Error?</v>
      </c>
    </row>
    <row r="1516" spans="1:4" x14ac:dyDescent="0.2">
      <c r="A1516" s="10">
        <v>1455</v>
      </c>
      <c r="D1516" s="2" t="str">
        <f t="shared" si="22"/>
        <v>OK</v>
      </c>
    </row>
    <row r="1517" spans="1:4" x14ac:dyDescent="0.2">
      <c r="A1517" s="5">
        <v>1456</v>
      </c>
      <c r="B1517" s="138">
        <f>'Expenditures 15-22'!K295</f>
        <v>582943</v>
      </c>
      <c r="C1517" s="2" t="s">
        <v>594</v>
      </c>
      <c r="D1517" s="2" t="str">
        <f t="shared" si="22"/>
        <v>Error?</v>
      </c>
    </row>
    <row r="1518" spans="1:4" x14ac:dyDescent="0.2">
      <c r="A1518" s="5">
        <v>1457</v>
      </c>
      <c r="B1518" s="138">
        <f>'Expenditures 15-22'!K296</f>
        <v>31965</v>
      </c>
      <c r="C1518" s="2" t="s">
        <v>594</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594</v>
      </c>
      <c r="D1523" s="2" t="str">
        <f t="shared" si="22"/>
        <v>Error?</v>
      </c>
    </row>
    <row r="1524" spans="1:4" x14ac:dyDescent="0.2">
      <c r="A1524" s="5">
        <v>1463</v>
      </c>
      <c r="B1524" s="138">
        <f>'Expenditures 15-22'!C312</f>
        <v>0</v>
      </c>
      <c r="C1524" s="2" t="s">
        <v>594</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594</v>
      </c>
      <c r="D1529" s="2" t="str">
        <f t="shared" si="22"/>
        <v>Error?</v>
      </c>
    </row>
    <row r="1530" spans="1:4" x14ac:dyDescent="0.2">
      <c r="A1530" s="5">
        <v>1469</v>
      </c>
      <c r="B1530" s="138">
        <f>'Expenditures 15-22'!D312</f>
        <v>0</v>
      </c>
      <c r="C1530" s="2" t="s">
        <v>594</v>
      </c>
      <c r="D1530" s="2" t="str">
        <f t="shared" si="22"/>
        <v>Error?</v>
      </c>
    </row>
    <row r="1531" spans="1:4" x14ac:dyDescent="0.2">
      <c r="A1531" s="5">
        <v>1470</v>
      </c>
      <c r="B1531" s="138">
        <f>'Expenditures 15-22'!E301</f>
        <v>537214</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537214</v>
      </c>
      <c r="C1535" s="2" t="s">
        <v>594</v>
      </c>
      <c r="D1535" s="2" t="str">
        <f t="shared" ref="D1535:D1598" si="23">IF(ISBLANK(B1535),"OK",IF(A1535-B1535=0,"OK","Error?"))</f>
        <v>Error?</v>
      </c>
    </row>
    <row r="1536" spans="1:4" x14ac:dyDescent="0.2">
      <c r="A1536" s="5">
        <v>1475</v>
      </c>
      <c r="B1536" s="138">
        <f>'Expenditures 15-22'!E312</f>
        <v>537214</v>
      </c>
      <c r="C1536" s="2" t="s">
        <v>594</v>
      </c>
      <c r="D1536" s="2" t="str">
        <f t="shared" si="23"/>
        <v>Error?</v>
      </c>
    </row>
    <row r="1537" spans="1:4" x14ac:dyDescent="0.2">
      <c r="A1537" s="5">
        <v>1476</v>
      </c>
      <c r="B1537" s="138">
        <f>'Expenditures 15-22'!F301</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0</v>
      </c>
      <c r="C1541" s="2" t="s">
        <v>594</v>
      </c>
      <c r="D1541" s="2" t="str">
        <f t="shared" si="23"/>
        <v>Error?</v>
      </c>
    </row>
    <row r="1542" spans="1:4" x14ac:dyDescent="0.2">
      <c r="A1542" s="5">
        <v>1481</v>
      </c>
      <c r="B1542" s="138">
        <f>'Expenditures 15-22'!F312</f>
        <v>0</v>
      </c>
      <c r="C1542" s="2" t="s">
        <v>594</v>
      </c>
      <c r="D1542" s="2" t="str">
        <f t="shared" si="23"/>
        <v>Error?</v>
      </c>
    </row>
    <row r="1543" spans="1:4" x14ac:dyDescent="0.2">
      <c r="A1543" s="5">
        <v>1482</v>
      </c>
      <c r="B1543" s="138">
        <f>'Expenditures 15-22'!G301</f>
        <v>2982714</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2982714</v>
      </c>
      <c r="C1547" s="2" t="s">
        <v>594</v>
      </c>
      <c r="D1547" s="2" t="str">
        <f t="shared" si="23"/>
        <v>Error?</v>
      </c>
    </row>
    <row r="1548" spans="1:4" x14ac:dyDescent="0.2">
      <c r="A1548" s="5">
        <v>1487</v>
      </c>
      <c r="B1548" s="138">
        <f>'Expenditures 15-22'!G312</f>
        <v>2982714</v>
      </c>
      <c r="C1548" s="2" t="s">
        <v>594</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594</v>
      </c>
      <c r="D1553" s="2" t="str">
        <f t="shared" si="23"/>
        <v>Error?</v>
      </c>
    </row>
    <row r="1554" spans="1:4" x14ac:dyDescent="0.2">
      <c r="A1554" s="5">
        <v>1493</v>
      </c>
      <c r="B1554" s="138">
        <f>'Expenditures 15-22'!H312</f>
        <v>0</v>
      </c>
      <c r="C1554" s="2" t="s">
        <v>594</v>
      </c>
      <c r="D1554" s="2" t="str">
        <f t="shared" si="23"/>
        <v>Error?</v>
      </c>
    </row>
    <row r="1555" spans="1:4" x14ac:dyDescent="0.2">
      <c r="A1555" s="5">
        <v>1494</v>
      </c>
      <c r="B1555" s="138">
        <f>'Expenditures 15-22'!K301</f>
        <v>3519928</v>
      </c>
      <c r="C1555" s="2" t="s">
        <v>594</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594</v>
      </c>
      <c r="D1558" s="2" t="str">
        <f t="shared" si="23"/>
        <v>Error?</v>
      </c>
    </row>
    <row r="1559" spans="1:4" x14ac:dyDescent="0.2">
      <c r="A1559" s="5">
        <v>1498</v>
      </c>
      <c r="B1559" s="138">
        <f>'Expenditures 15-22'!K303</f>
        <v>3519928</v>
      </c>
      <c r="C1559" s="2" t="s">
        <v>594</v>
      </c>
      <c r="D1559" s="2" t="str">
        <f t="shared" si="23"/>
        <v>Error?</v>
      </c>
    </row>
    <row r="1560" spans="1:4" x14ac:dyDescent="0.2">
      <c r="A1560" s="5">
        <v>1499</v>
      </c>
      <c r="B1560" s="138">
        <f>'Expenditures 15-22'!K312</f>
        <v>3519928</v>
      </c>
      <c r="C1560" s="2" t="s">
        <v>594</v>
      </c>
      <c r="D1560" s="2" t="str">
        <f t="shared" si="23"/>
        <v>Error?</v>
      </c>
    </row>
    <row r="1561" spans="1:4" x14ac:dyDescent="0.2">
      <c r="A1561" s="5">
        <v>1500</v>
      </c>
      <c r="B1561" s="138">
        <f>'Expenditures 15-22'!K313</f>
        <v>-3293666</v>
      </c>
      <c r="C1561" s="2" t="s">
        <v>594</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594</v>
      </c>
      <c r="D1569" s="2" t="str">
        <f t="shared" si="23"/>
        <v>OK</v>
      </c>
    </row>
    <row r="1570" spans="1:4" x14ac:dyDescent="0.2">
      <c r="A1570" s="10">
        <v>1509</v>
      </c>
      <c r="C1570" s="2" t="s">
        <v>594</v>
      </c>
      <c r="D1570" s="2" t="str">
        <f t="shared" si="23"/>
        <v>OK</v>
      </c>
    </row>
    <row r="1571" spans="1:4" x14ac:dyDescent="0.2">
      <c r="A1571" s="10">
        <v>1510</v>
      </c>
      <c r="D1571" s="2" t="str">
        <f t="shared" si="23"/>
        <v>OK</v>
      </c>
    </row>
    <row r="1572" spans="1:4" x14ac:dyDescent="0.2">
      <c r="A1572" s="10">
        <v>1511</v>
      </c>
      <c r="C1572" s="2" t="s">
        <v>594</v>
      </c>
      <c r="D1572" s="2" t="str">
        <f t="shared" si="23"/>
        <v>OK</v>
      </c>
    </row>
    <row r="1573" spans="1:4" x14ac:dyDescent="0.2">
      <c r="A1573" s="10">
        <v>1512</v>
      </c>
      <c r="C1573" s="2" t="s">
        <v>594</v>
      </c>
      <c r="D1573" s="2" t="str">
        <f t="shared" si="23"/>
        <v>OK</v>
      </c>
    </row>
    <row r="1574" spans="1:4" x14ac:dyDescent="0.2">
      <c r="A1574" s="10">
        <v>1513</v>
      </c>
      <c r="C1574" s="2" t="s">
        <v>594</v>
      </c>
      <c r="D1574" s="2" t="str">
        <f t="shared" si="23"/>
        <v>OK</v>
      </c>
    </row>
    <row r="1575" spans="1:4" x14ac:dyDescent="0.2">
      <c r="A1575" s="10">
        <v>1514</v>
      </c>
      <c r="C1575" s="2" t="s">
        <v>594</v>
      </c>
      <c r="D1575" s="2" t="str">
        <f t="shared" si="23"/>
        <v>OK</v>
      </c>
    </row>
    <row r="1576" spans="1:4" x14ac:dyDescent="0.2">
      <c r="A1576" s="10">
        <v>1515</v>
      </c>
      <c r="C1576" s="2" t="s">
        <v>594</v>
      </c>
      <c r="D1576" s="2" t="str">
        <f t="shared" si="23"/>
        <v>OK</v>
      </c>
    </row>
    <row r="1577" spans="1:4" x14ac:dyDescent="0.2">
      <c r="A1577" s="10">
        <v>1516</v>
      </c>
      <c r="C1577" s="2" t="s">
        <v>594</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8380498</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9125606</v>
      </c>
      <c r="C1630" s="2" t="s">
        <v>594</v>
      </c>
      <c r="D1630" s="2" t="str">
        <f t="shared" si="24"/>
        <v>Error?</v>
      </c>
    </row>
    <row r="1631" spans="1:4" x14ac:dyDescent="0.2">
      <c r="A1631" s="5">
        <v>1570</v>
      </c>
      <c r="B1631" s="138">
        <f>'Acct Summary 7-8'!D79</f>
        <v>259472</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684293</v>
      </c>
      <c r="C1644" s="2" t="s">
        <v>594</v>
      </c>
      <c r="D1644" s="2" t="str">
        <f t="shared" si="24"/>
        <v>Error?</v>
      </c>
    </row>
    <row r="1645" spans="1:4" x14ac:dyDescent="0.2">
      <c r="A1645" s="5">
        <v>1584</v>
      </c>
      <c r="B1645" s="138">
        <f>'Acct Summary 7-8'!E79</f>
        <v>402797</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345428</v>
      </c>
      <c r="C1658" s="2" t="s">
        <v>594</v>
      </c>
      <c r="D1658" s="2" t="str">
        <f t="shared" si="24"/>
        <v>Error?</v>
      </c>
    </row>
    <row r="1659" spans="1:4" x14ac:dyDescent="0.2">
      <c r="A1659" s="5">
        <v>1598</v>
      </c>
      <c r="B1659" s="138">
        <f>'Acct Summary 7-8'!F79</f>
        <v>155909</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392225</v>
      </c>
      <c r="C1672" s="2" t="s">
        <v>594</v>
      </c>
      <c r="D1672" s="2" t="str">
        <f t="shared" si="25"/>
        <v>Error?</v>
      </c>
    </row>
    <row r="1673" spans="1:4" x14ac:dyDescent="0.2">
      <c r="A1673" s="5">
        <v>1612</v>
      </c>
      <c r="B1673" s="138">
        <f>'Acct Summary 7-8'!G79</f>
        <v>253836</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285801</v>
      </c>
      <c r="C1686" s="2" t="s">
        <v>594</v>
      </c>
      <c r="D1686" s="2" t="str">
        <f t="shared" si="25"/>
        <v>Error?</v>
      </c>
    </row>
    <row r="1687" spans="1:4" x14ac:dyDescent="0.2">
      <c r="A1687" s="5">
        <v>1626</v>
      </c>
      <c r="B1687" s="138">
        <f>'Acct Summary 7-8'!H79</f>
        <v>6274037</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2980371</v>
      </c>
      <c r="C1700" s="2" t="s">
        <v>594</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594</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2920733</v>
      </c>
      <c r="C1744" s="2" t="s">
        <v>594</v>
      </c>
      <c r="D1744" s="2" t="str">
        <f t="shared" si="26"/>
        <v>Error?</v>
      </c>
    </row>
    <row r="1745" spans="1:5" x14ac:dyDescent="0.2">
      <c r="A1745" s="5">
        <v>1684</v>
      </c>
      <c r="B1745" s="138">
        <f>'Tax Sched 23'!B5</f>
        <v>277169</v>
      </c>
      <c r="C1745" s="2" t="s">
        <v>594</v>
      </c>
      <c r="D1745" s="2" t="str">
        <f t="shared" si="26"/>
        <v>Error?</v>
      </c>
    </row>
    <row r="1746" spans="1:5" x14ac:dyDescent="0.2">
      <c r="A1746" s="5">
        <v>1685</v>
      </c>
      <c r="B1746" s="138">
        <f>'Tax Sched 23'!B6</f>
        <v>0</v>
      </c>
      <c r="C1746" s="2" t="s">
        <v>594</v>
      </c>
      <c r="D1746" s="2" t="str">
        <f t="shared" si="26"/>
        <v>Error?</v>
      </c>
    </row>
    <row r="1747" spans="1:5" x14ac:dyDescent="0.2">
      <c r="A1747" s="5">
        <v>1686</v>
      </c>
      <c r="B1747" s="138">
        <f>'Tax Sched 23'!B7</f>
        <v>203930</v>
      </c>
      <c r="C1747" s="2" t="s">
        <v>594</v>
      </c>
      <c r="D1747" s="2" t="str">
        <f t="shared" si="26"/>
        <v>Error?</v>
      </c>
    </row>
    <row r="1748" spans="1:5" x14ac:dyDescent="0.2">
      <c r="A1748" s="5">
        <v>1687</v>
      </c>
      <c r="B1748" s="138">
        <f>'Tax Sched 23'!B8</f>
        <v>280435</v>
      </c>
      <c r="C1748" s="2" t="s">
        <v>594</v>
      </c>
      <c r="D1748" s="2" t="str">
        <f t="shared" si="26"/>
        <v>Error?</v>
      </c>
    </row>
    <row r="1749" spans="1:5" x14ac:dyDescent="0.2">
      <c r="A1749" s="5">
        <v>1688</v>
      </c>
      <c r="B1749" s="138">
        <f>'Tax Sched 23'!B10</f>
        <v>9973</v>
      </c>
      <c r="C1749" s="2" t="s">
        <v>594</v>
      </c>
      <c r="D1749" s="2" t="str">
        <f t="shared" si="26"/>
        <v>Error?</v>
      </c>
    </row>
    <row r="1750" spans="1:5" x14ac:dyDescent="0.2">
      <c r="A1750" s="10">
        <v>1689</v>
      </c>
      <c r="D1750" s="2" t="str">
        <f t="shared" si="26"/>
        <v>OK</v>
      </c>
      <c r="E1750" s="2" t="s">
        <v>196</v>
      </c>
    </row>
    <row r="1751" spans="1:5" x14ac:dyDescent="0.2">
      <c r="A1751" s="5">
        <v>1690</v>
      </c>
      <c r="B1751" s="138">
        <f>'Tax Sched 23'!B9</f>
        <v>0</v>
      </c>
      <c r="C1751" s="2" t="s">
        <v>594</v>
      </c>
      <c r="D1751" s="2" t="str">
        <f t="shared" si="26"/>
        <v>Error?</v>
      </c>
    </row>
    <row r="1752" spans="1:5" x14ac:dyDescent="0.2">
      <c r="A1752" s="5">
        <v>1691</v>
      </c>
      <c r="B1752" s="138">
        <f>'Tax Sched 23'!B11</f>
        <v>282057</v>
      </c>
      <c r="C1752" s="2" t="s">
        <v>594</v>
      </c>
      <c r="D1752" s="2" t="str">
        <f t="shared" si="26"/>
        <v>Error?</v>
      </c>
    </row>
    <row r="1753" spans="1:5" x14ac:dyDescent="0.2">
      <c r="A1753" s="5">
        <v>1692</v>
      </c>
      <c r="B1753" s="138">
        <f>'Tax Sched 23'!B12</f>
        <v>47128</v>
      </c>
      <c r="C1753" s="2" t="s">
        <v>594</v>
      </c>
      <c r="D1753" s="2" t="str">
        <f t="shared" si="26"/>
        <v>Error?</v>
      </c>
    </row>
    <row r="1754" spans="1:5" x14ac:dyDescent="0.2">
      <c r="A1754" s="5">
        <v>1693</v>
      </c>
      <c r="B1754" s="138">
        <f>'Tax Sched 23'!B14</f>
        <v>300151</v>
      </c>
      <c r="C1754" s="2" t="s">
        <v>594</v>
      </c>
      <c r="D1754" s="2" t="str">
        <f t="shared" si="26"/>
        <v>Error?</v>
      </c>
    </row>
    <row r="1755" spans="1:5" x14ac:dyDescent="0.2">
      <c r="A1755" s="10">
        <v>1694</v>
      </c>
      <c r="D1755" s="2" t="str">
        <f t="shared" si="26"/>
        <v>OK</v>
      </c>
    </row>
    <row r="1756" spans="1:5" x14ac:dyDescent="0.2">
      <c r="A1756" s="5">
        <v>1695</v>
      </c>
      <c r="B1756" s="138">
        <f>'Tax Sched 23'!B15</f>
        <v>0</v>
      </c>
      <c r="C1756" s="2" t="s">
        <v>594</v>
      </c>
      <c r="D1756" s="2" t="str">
        <f t="shared" si="26"/>
        <v>Error?</v>
      </c>
    </row>
    <row r="1757" spans="1:5" x14ac:dyDescent="0.2">
      <c r="A1757" s="10">
        <v>1696</v>
      </c>
      <c r="C1757" s="2" t="s">
        <v>594</v>
      </c>
      <c r="D1757" s="2" t="str">
        <f t="shared" si="26"/>
        <v>OK</v>
      </c>
    </row>
    <row r="1758" spans="1:5" x14ac:dyDescent="0.2">
      <c r="A1758" s="10">
        <v>1697</v>
      </c>
      <c r="C1758" s="2" t="s">
        <v>594</v>
      </c>
      <c r="D1758" s="2" t="str">
        <f t="shared" si="26"/>
        <v>OK</v>
      </c>
    </row>
    <row r="1759" spans="1:5" x14ac:dyDescent="0.2">
      <c r="A1759" s="5">
        <v>1698</v>
      </c>
      <c r="B1759" s="138">
        <f>'Tax Sched 23'!B19</f>
        <v>4644564</v>
      </c>
      <c r="C1759" s="2" t="s">
        <v>594</v>
      </c>
      <c r="D1759" s="2" t="str">
        <f t="shared" si="26"/>
        <v>Error?</v>
      </c>
    </row>
    <row r="1760" spans="1:5" x14ac:dyDescent="0.2">
      <c r="A1760" s="5">
        <v>1699</v>
      </c>
      <c r="B1760" s="138">
        <f>'Tax Sched 23'!D4</f>
        <v>1385362</v>
      </c>
      <c r="C1760" s="2" t="s">
        <v>594</v>
      </c>
      <c r="D1760" s="2" t="str">
        <f t="shared" si="26"/>
        <v>Error?</v>
      </c>
    </row>
    <row r="1761" spans="1:5" x14ac:dyDescent="0.2">
      <c r="A1761" s="5">
        <v>1700</v>
      </c>
      <c r="B1761" s="138">
        <f>'Tax Sched 23'!D5</f>
        <v>134435</v>
      </c>
      <c r="C1761" s="2" t="s">
        <v>594</v>
      </c>
      <c r="D1761" s="2" t="str">
        <f t="shared" si="26"/>
        <v>Error?</v>
      </c>
    </row>
    <row r="1762" spans="1:5" s="8" customFormat="1" x14ac:dyDescent="0.2">
      <c r="A1762" s="5">
        <v>1701</v>
      </c>
      <c r="B1762" s="138">
        <f>'Tax Sched 23'!D6</f>
        <v>0</v>
      </c>
      <c r="C1762" s="2" t="s">
        <v>594</v>
      </c>
      <c r="D1762" s="2" t="str">
        <f t="shared" si="26"/>
        <v>Error?</v>
      </c>
      <c r="E1762" s="9"/>
    </row>
    <row r="1763" spans="1:5" x14ac:dyDescent="0.2">
      <c r="A1763" s="5">
        <v>1702</v>
      </c>
      <c r="B1763" s="138">
        <f>'Tax Sched 23'!D7</f>
        <v>80748</v>
      </c>
      <c r="C1763" s="2" t="s">
        <v>594</v>
      </c>
      <c r="D1763" s="2" t="str">
        <f t="shared" si="26"/>
        <v>Error?</v>
      </c>
    </row>
    <row r="1764" spans="1:5" x14ac:dyDescent="0.2">
      <c r="A1764" s="5">
        <v>1703</v>
      </c>
      <c r="B1764" s="138">
        <f>'Tax Sched 23'!D8</f>
        <v>135257</v>
      </c>
      <c r="C1764" s="2" t="s">
        <v>594</v>
      </c>
      <c r="D1764" s="2" t="str">
        <f t="shared" si="26"/>
        <v>Error?</v>
      </c>
    </row>
    <row r="1765" spans="1:5" x14ac:dyDescent="0.2">
      <c r="A1765" s="5">
        <v>1704</v>
      </c>
      <c r="B1765" s="138">
        <f>'Tax Sched 23'!D10</f>
        <v>4840</v>
      </c>
      <c r="C1765" s="2" t="s">
        <v>594</v>
      </c>
      <c r="D1765" s="2" t="str">
        <f t="shared" si="26"/>
        <v>Error?</v>
      </c>
    </row>
    <row r="1766" spans="1:5" x14ac:dyDescent="0.2">
      <c r="A1766" s="10">
        <v>1705</v>
      </c>
      <c r="C1766" s="2" t="s">
        <v>594</v>
      </c>
      <c r="D1766" s="2" t="str">
        <f t="shared" si="26"/>
        <v>OK</v>
      </c>
    </row>
    <row r="1767" spans="1:5" x14ac:dyDescent="0.2">
      <c r="A1767" s="5">
        <v>1706</v>
      </c>
      <c r="B1767" s="138">
        <f>'Tax Sched 23'!D9</f>
        <v>0</v>
      </c>
      <c r="C1767" s="2" t="s">
        <v>594</v>
      </c>
      <c r="D1767" s="2" t="str">
        <f t="shared" si="26"/>
        <v>Error?</v>
      </c>
    </row>
    <row r="1768" spans="1:5" x14ac:dyDescent="0.2">
      <c r="A1768" s="5">
        <v>1707</v>
      </c>
      <c r="B1768" s="138">
        <f>'Tax Sched 23'!D11</f>
        <v>134435</v>
      </c>
      <c r="C1768" s="2" t="s">
        <v>594</v>
      </c>
      <c r="D1768" s="2" t="str">
        <f t="shared" si="26"/>
        <v>Error?</v>
      </c>
    </row>
    <row r="1769" spans="1:5" x14ac:dyDescent="0.2">
      <c r="A1769" s="5">
        <v>1708</v>
      </c>
      <c r="B1769" s="138">
        <f>'Tax Sched 23'!D12</f>
        <v>22443</v>
      </c>
      <c r="C1769" s="2" t="s">
        <v>594</v>
      </c>
      <c r="D1769" s="2" t="str">
        <f t="shared" si="26"/>
        <v>Error?</v>
      </c>
    </row>
    <row r="1770" spans="1:5" x14ac:dyDescent="0.2">
      <c r="A1770" s="5">
        <v>1709</v>
      </c>
      <c r="B1770" s="138">
        <f>'Tax Sched 23'!D14</f>
        <v>142508</v>
      </c>
      <c r="C1770" s="2" t="s">
        <v>594</v>
      </c>
      <c r="D1770" s="2" t="str">
        <f t="shared" si="26"/>
        <v>Error?</v>
      </c>
    </row>
    <row r="1771" spans="1:5" x14ac:dyDescent="0.2">
      <c r="A1771" s="10">
        <v>1710</v>
      </c>
      <c r="D1771" s="2" t="str">
        <f t="shared" si="26"/>
        <v>OK</v>
      </c>
    </row>
    <row r="1772" spans="1:5" x14ac:dyDescent="0.2">
      <c r="A1772" s="5">
        <v>1711</v>
      </c>
      <c r="B1772" s="138">
        <f>'Tax Sched 23'!D15</f>
        <v>0</v>
      </c>
      <c r="C1772" s="2" t="s">
        <v>594</v>
      </c>
      <c r="D1772" s="2" t="str">
        <f t="shared" si="26"/>
        <v>Error?</v>
      </c>
    </row>
    <row r="1773" spans="1:5" x14ac:dyDescent="0.2">
      <c r="A1773" s="10">
        <v>1712</v>
      </c>
      <c r="C1773" s="2" t="s">
        <v>594</v>
      </c>
      <c r="D1773" s="2" t="str">
        <f t="shared" si="26"/>
        <v>OK</v>
      </c>
    </row>
    <row r="1774" spans="1:5" x14ac:dyDescent="0.2">
      <c r="A1774" s="10">
        <v>1713</v>
      </c>
      <c r="C1774" s="2" t="s">
        <v>594</v>
      </c>
      <c r="D1774" s="2" t="str">
        <f t="shared" si="26"/>
        <v>OK</v>
      </c>
    </row>
    <row r="1775" spans="1:5" x14ac:dyDescent="0.2">
      <c r="A1775" s="5">
        <v>1714</v>
      </c>
      <c r="B1775" s="138">
        <f>'Tax Sched 23'!D19</f>
        <v>2200485</v>
      </c>
      <c r="C1775" s="2" t="s">
        <v>594</v>
      </c>
      <c r="D1775" s="2" t="str">
        <f t="shared" si="26"/>
        <v>Error?</v>
      </c>
    </row>
    <row r="1776" spans="1:5" x14ac:dyDescent="0.2">
      <c r="A1776" s="5">
        <v>1715</v>
      </c>
      <c r="B1776" s="138">
        <f>'Tax Sched 23'!C4</f>
        <v>1535371</v>
      </c>
      <c r="D1776" s="2" t="str">
        <f t="shared" si="26"/>
        <v>Error?</v>
      </c>
    </row>
    <row r="1777" spans="1:4" x14ac:dyDescent="0.2">
      <c r="A1777" s="5">
        <v>1716</v>
      </c>
      <c r="B1777" s="138">
        <f>'Tax Sched 23'!C5</f>
        <v>142734</v>
      </c>
      <c r="D1777" s="2" t="str">
        <f t="shared" si="26"/>
        <v>Error?</v>
      </c>
    </row>
    <row r="1778" spans="1:4" x14ac:dyDescent="0.2">
      <c r="A1778" s="5">
        <v>1717</v>
      </c>
      <c r="B1778" s="138">
        <f>'Tax Sched 23'!C6</f>
        <v>0</v>
      </c>
      <c r="D1778" s="2" t="str">
        <f t="shared" si="26"/>
        <v>Error?</v>
      </c>
    </row>
    <row r="1779" spans="1:4" x14ac:dyDescent="0.2">
      <c r="A1779" s="5">
        <v>1718</v>
      </c>
      <c r="B1779" s="138">
        <f>'Tax Sched 23'!C7</f>
        <v>123182</v>
      </c>
      <c r="D1779" s="2" t="str">
        <f t="shared" si="26"/>
        <v>Error?</v>
      </c>
    </row>
    <row r="1780" spans="1:4" x14ac:dyDescent="0.2">
      <c r="A1780" s="5">
        <v>1719</v>
      </c>
      <c r="B1780" s="138">
        <f>'Tax Sched 23'!C8</f>
        <v>145178</v>
      </c>
      <c r="D1780" s="2" t="str">
        <f t="shared" si="26"/>
        <v>Error?</v>
      </c>
    </row>
    <row r="1781" spans="1:4" x14ac:dyDescent="0.2">
      <c r="A1781" s="5">
        <v>1720</v>
      </c>
      <c r="B1781" s="138">
        <f>'Tax Sched 23'!C10</f>
        <v>5133</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147622</v>
      </c>
      <c r="D1784" s="2" t="str">
        <f t="shared" si="26"/>
        <v>Error?</v>
      </c>
    </row>
    <row r="1785" spans="1:4" x14ac:dyDescent="0.2">
      <c r="A1785" s="5">
        <v>1724</v>
      </c>
      <c r="B1785" s="138">
        <f>'Tax Sched 23'!C12</f>
        <v>24685</v>
      </c>
      <c r="D1785" s="2" t="str">
        <f t="shared" si="26"/>
        <v>Error?</v>
      </c>
    </row>
    <row r="1786" spans="1:4" x14ac:dyDescent="0.2">
      <c r="A1786" s="5">
        <v>1725</v>
      </c>
      <c r="B1786" s="138">
        <f>'Tax Sched 23'!C14</f>
        <v>157643</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2444079</v>
      </c>
      <c r="C1791" s="2" t="s">
        <v>594</v>
      </c>
      <c r="D1791" s="2" t="str">
        <f t="shared" ref="D1791:D1854" si="27">IF(ISBLANK(B1791),"OK",IF(A1791-B1791=0,"OK","Error?"))</f>
        <v>Error?</v>
      </c>
    </row>
    <row r="1792" spans="1:4" x14ac:dyDescent="0.2">
      <c r="A1792" s="5">
        <v>1731</v>
      </c>
      <c r="B1792" s="138">
        <f>'Tax Sched 23'!F4</f>
        <v>1510659</v>
      </c>
      <c r="C1792" s="2" t="s">
        <v>594</v>
      </c>
      <c r="D1792" s="2" t="str">
        <f t="shared" si="27"/>
        <v>Error?</v>
      </c>
    </row>
    <row r="1793" spans="1:4" x14ac:dyDescent="0.2">
      <c r="A1793" s="5">
        <v>1732</v>
      </c>
      <c r="B1793" s="138">
        <f>'Tax Sched 23'!F5</f>
        <v>140511</v>
      </c>
      <c r="C1793" s="2" t="s">
        <v>594</v>
      </c>
      <c r="D1793" s="2" t="str">
        <f t="shared" si="27"/>
        <v>Error?</v>
      </c>
    </row>
    <row r="1794" spans="1:4" x14ac:dyDescent="0.2">
      <c r="A1794" s="5">
        <v>1733</v>
      </c>
      <c r="B1794" s="138">
        <f>'Tax Sched 23'!F6</f>
        <v>0</v>
      </c>
      <c r="C1794" s="2" t="s">
        <v>594</v>
      </c>
      <c r="D1794" s="2" t="str">
        <f t="shared" si="27"/>
        <v>Error?</v>
      </c>
    </row>
    <row r="1795" spans="1:4" x14ac:dyDescent="0.2">
      <c r="A1795" s="5">
        <v>1734</v>
      </c>
      <c r="B1795" s="138">
        <f>'Tax Sched 23'!F7</f>
        <v>121035</v>
      </c>
      <c r="C1795" s="2" t="s">
        <v>594</v>
      </c>
      <c r="D1795" s="2" t="str">
        <f t="shared" si="27"/>
        <v>Error?</v>
      </c>
    </row>
    <row r="1796" spans="1:4" x14ac:dyDescent="0.2">
      <c r="A1796" s="5">
        <v>1735</v>
      </c>
      <c r="B1796" s="138">
        <f>'Tax Sched 23'!F8</f>
        <v>142945</v>
      </c>
      <c r="C1796" s="2" t="s">
        <v>594</v>
      </c>
      <c r="D1796" s="2" t="str">
        <f t="shared" si="27"/>
        <v>Error?</v>
      </c>
    </row>
    <row r="1797" spans="1:4" x14ac:dyDescent="0.2">
      <c r="A1797" s="5">
        <v>1736</v>
      </c>
      <c r="B1797" s="138">
        <f>'Tax Sched 23'!F10</f>
        <v>5209</v>
      </c>
      <c r="C1797" s="2" t="s">
        <v>594</v>
      </c>
      <c r="D1797" s="2" t="str">
        <f t="shared" si="27"/>
        <v>Error?</v>
      </c>
    </row>
    <row r="1798" spans="1:4" x14ac:dyDescent="0.2">
      <c r="A1798" s="10">
        <v>1737</v>
      </c>
      <c r="C1798" s="2" t="s">
        <v>594</v>
      </c>
      <c r="D1798" s="2" t="str">
        <f t="shared" si="27"/>
        <v>OK</v>
      </c>
    </row>
    <row r="1799" spans="1:4" x14ac:dyDescent="0.2">
      <c r="A1799" s="5">
        <v>1738</v>
      </c>
      <c r="B1799" s="138">
        <f>'Tax Sched 23'!F9</f>
        <v>0</v>
      </c>
      <c r="C1799" s="2" t="s">
        <v>594</v>
      </c>
      <c r="D1799" s="2" t="str">
        <f t="shared" si="27"/>
        <v>Error?</v>
      </c>
    </row>
    <row r="1800" spans="1:4" x14ac:dyDescent="0.2">
      <c r="A1800" s="5">
        <v>1739</v>
      </c>
      <c r="B1800" s="138">
        <f>'Tax Sched 23'!F11</f>
        <v>145478</v>
      </c>
      <c r="C1800" s="2" t="s">
        <v>594</v>
      </c>
      <c r="D1800" s="2" t="str">
        <f t="shared" si="27"/>
        <v>Error?</v>
      </c>
    </row>
    <row r="1801" spans="1:4" x14ac:dyDescent="0.2">
      <c r="A1801" s="5">
        <v>1740</v>
      </c>
      <c r="B1801" s="138">
        <f>'Tax Sched 23'!F12</f>
        <v>24100</v>
      </c>
      <c r="C1801" s="2" t="s">
        <v>594</v>
      </c>
      <c r="D1801" s="2" t="str">
        <f t="shared" si="27"/>
        <v>Error?</v>
      </c>
    </row>
    <row r="1802" spans="1:4" x14ac:dyDescent="0.2">
      <c r="A1802" s="5">
        <v>1741</v>
      </c>
      <c r="B1802" s="138">
        <f>'Tax Sched 23'!F14</f>
        <v>154970</v>
      </c>
      <c r="C1802" s="2" t="s">
        <v>594</v>
      </c>
      <c r="D1802" s="2" t="str">
        <f t="shared" si="27"/>
        <v>Error?</v>
      </c>
    </row>
    <row r="1803" spans="1:4" x14ac:dyDescent="0.2">
      <c r="A1803" s="10">
        <v>1742</v>
      </c>
      <c r="D1803" s="2" t="str">
        <f t="shared" si="27"/>
        <v>OK</v>
      </c>
    </row>
    <row r="1804" spans="1:4" x14ac:dyDescent="0.2">
      <c r="A1804" s="5">
        <v>1743</v>
      </c>
      <c r="B1804" s="138">
        <f>'Tax Sched 23'!F15</f>
        <v>0</v>
      </c>
      <c r="C1804" s="2" t="s">
        <v>594</v>
      </c>
      <c r="D1804" s="2" t="str">
        <f t="shared" si="27"/>
        <v>Error?</v>
      </c>
    </row>
    <row r="1805" spans="1:4" x14ac:dyDescent="0.2">
      <c r="A1805" s="10">
        <v>1744</v>
      </c>
      <c r="C1805" s="2" t="s">
        <v>594</v>
      </c>
      <c r="D1805" s="2" t="str">
        <f t="shared" si="27"/>
        <v>OK</v>
      </c>
    </row>
    <row r="1806" spans="1:4" x14ac:dyDescent="0.2">
      <c r="A1806" s="10">
        <v>1745</v>
      </c>
      <c r="C1806" s="2" t="s">
        <v>594</v>
      </c>
      <c r="D1806" s="2" t="str">
        <f t="shared" si="27"/>
        <v>OK</v>
      </c>
    </row>
    <row r="1807" spans="1:4" x14ac:dyDescent="0.2">
      <c r="A1807" s="12">
        <v>1746</v>
      </c>
      <c r="B1807" s="138">
        <f>'Tax Sched 23'!F19</f>
        <v>2404746</v>
      </c>
      <c r="C1807" s="2" t="s">
        <v>594</v>
      </c>
      <c r="D1807" s="2" t="str">
        <f t="shared" si="27"/>
        <v>Error?</v>
      </c>
    </row>
    <row r="1808" spans="1:4" x14ac:dyDescent="0.2">
      <c r="A1808" s="5">
        <v>1747</v>
      </c>
      <c r="B1808" s="138">
        <f>'Tax Sched 23'!E4</f>
        <v>3046030</v>
      </c>
      <c r="D1808" s="2" t="str">
        <f t="shared" si="27"/>
        <v>Error?</v>
      </c>
    </row>
    <row r="1809" spans="1:4" x14ac:dyDescent="0.2">
      <c r="A1809" s="5">
        <v>1748</v>
      </c>
      <c r="B1809" s="138">
        <f>'Tax Sched 23'!E5</f>
        <v>283245</v>
      </c>
      <c r="D1809" s="2" t="str">
        <f t="shared" si="27"/>
        <v>Error?</v>
      </c>
    </row>
    <row r="1810" spans="1:4" x14ac:dyDescent="0.2">
      <c r="A1810" s="5">
        <v>1749</v>
      </c>
      <c r="B1810" s="138">
        <f>'Tax Sched 23'!E6</f>
        <v>0</v>
      </c>
      <c r="D1810" s="2" t="str">
        <f t="shared" si="27"/>
        <v>Error?</v>
      </c>
    </row>
    <row r="1811" spans="1:4" x14ac:dyDescent="0.2">
      <c r="A1811" s="5">
        <v>1750</v>
      </c>
      <c r="B1811" s="138">
        <f>'Tax Sched 23'!E7</f>
        <v>244217</v>
      </c>
      <c r="D1811" s="2" t="str">
        <f t="shared" si="27"/>
        <v>Error?</v>
      </c>
    </row>
    <row r="1812" spans="1:4" x14ac:dyDescent="0.2">
      <c r="A1812" s="5">
        <v>1751</v>
      </c>
      <c r="B1812" s="138">
        <f>'Tax Sched 23'!E8</f>
        <v>288123</v>
      </c>
      <c r="D1812" s="2" t="str">
        <f t="shared" si="27"/>
        <v>Error?</v>
      </c>
    </row>
    <row r="1813" spans="1:4" x14ac:dyDescent="0.2">
      <c r="A1813" s="5">
        <v>1752</v>
      </c>
      <c r="B1813" s="138">
        <f>'Tax Sched 23'!E10</f>
        <v>10342</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293100</v>
      </c>
      <c r="D1816" s="2" t="str">
        <f t="shared" si="27"/>
        <v>Error?</v>
      </c>
    </row>
    <row r="1817" spans="1:4" x14ac:dyDescent="0.2">
      <c r="A1817" s="5">
        <v>1756</v>
      </c>
      <c r="B1817" s="138">
        <f>'Tax Sched 23'!E12</f>
        <v>48785</v>
      </c>
      <c r="D1817" s="2" t="str">
        <f t="shared" si="27"/>
        <v>Error?</v>
      </c>
    </row>
    <row r="1818" spans="1:4" x14ac:dyDescent="0.2">
      <c r="A1818" s="5">
        <v>1757</v>
      </c>
      <c r="B1818" s="138">
        <f>'Tax Sched 23'!E14</f>
        <v>312613</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4848825</v>
      </c>
      <c r="C1823" s="2" t="s">
        <v>594</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594</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594</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594</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594</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594</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594</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594</v>
      </c>
      <c r="D1867" s="2" t="str">
        <f t="shared" si="28"/>
        <v>Error?</v>
      </c>
    </row>
    <row r="1868" spans="1:4" x14ac:dyDescent="0.2">
      <c r="A1868" s="5">
        <v>1807</v>
      </c>
      <c r="B1868" s="138">
        <f>'Short-Term Long-Term Debt 24'!F7</f>
        <v>0</v>
      </c>
      <c r="C1868" s="2" t="s">
        <v>594</v>
      </c>
      <c r="D1868" s="2" t="str">
        <f t="shared" si="28"/>
        <v>Error?</v>
      </c>
    </row>
    <row r="1869" spans="1:4" x14ac:dyDescent="0.2">
      <c r="A1869" s="5">
        <v>1808</v>
      </c>
      <c r="B1869" s="138">
        <f>'Short-Term Long-Term Debt 24'!F12</f>
        <v>0</v>
      </c>
      <c r="C1869" s="2" t="s">
        <v>594</v>
      </c>
      <c r="D1869" s="2" t="str">
        <f t="shared" si="28"/>
        <v>Error?</v>
      </c>
    </row>
    <row r="1870" spans="1:4" x14ac:dyDescent="0.2">
      <c r="A1870" s="5">
        <v>1809</v>
      </c>
      <c r="B1870" s="138">
        <f>'Short-Term Long-Term Debt 24'!F11</f>
        <v>0</v>
      </c>
      <c r="C1870" s="2" t="s">
        <v>594</v>
      </c>
      <c r="D1870" s="2" t="str">
        <f t="shared" si="28"/>
        <v>Error?</v>
      </c>
    </row>
    <row r="1871" spans="1:4" x14ac:dyDescent="0.2">
      <c r="A1871" s="5">
        <v>1810</v>
      </c>
      <c r="B1871" s="138">
        <f>'Short-Term Long-Term Debt 24'!F8</f>
        <v>0</v>
      </c>
      <c r="C1871" s="2" t="s">
        <v>594</v>
      </c>
      <c r="D1871" s="2" t="str">
        <f t="shared" si="28"/>
        <v>Error?</v>
      </c>
    </row>
    <row r="1872" spans="1:4" x14ac:dyDescent="0.2">
      <c r="A1872" s="5">
        <v>1811</v>
      </c>
      <c r="B1872" s="138">
        <f>'Short-Term Long-Term Debt 24'!F9</f>
        <v>0</v>
      </c>
      <c r="C1872" s="2" t="s">
        <v>594</v>
      </c>
      <c r="D1872" s="2" t="str">
        <f t="shared" si="28"/>
        <v>Error?</v>
      </c>
    </row>
    <row r="1873" spans="1:4" x14ac:dyDescent="0.2">
      <c r="A1873" s="5">
        <v>1812</v>
      </c>
      <c r="B1873" s="138">
        <f>'Short-Term Long-Term Debt 24'!F10</f>
        <v>0</v>
      </c>
      <c r="C1873" s="2" t="s">
        <v>594</v>
      </c>
      <c r="D1873" s="2" t="str">
        <f t="shared" si="28"/>
        <v>Error?</v>
      </c>
    </row>
    <row r="1874" spans="1:4" x14ac:dyDescent="0.2">
      <c r="A1874" s="5">
        <v>1813</v>
      </c>
      <c r="B1874" s="138">
        <f>'Short-Term Long-Term Debt 24'!F14</f>
        <v>0</v>
      </c>
      <c r="C1874" s="2" t="s">
        <v>594</v>
      </c>
      <c r="D1874" s="2" t="str">
        <f t="shared" si="28"/>
        <v>Error?</v>
      </c>
    </row>
    <row r="1875" spans="1:4" x14ac:dyDescent="0.2">
      <c r="A1875" s="5">
        <v>1814</v>
      </c>
      <c r="B1875" s="138">
        <f>'Short-Term Long-Term Debt 24'!F15</f>
        <v>0</v>
      </c>
      <c r="C1875" s="2" t="s">
        <v>594</v>
      </c>
      <c r="D1875" s="2" t="str">
        <f t="shared" si="28"/>
        <v>Error?</v>
      </c>
    </row>
    <row r="1876" spans="1:4" x14ac:dyDescent="0.2">
      <c r="A1876" s="5">
        <v>1815</v>
      </c>
      <c r="B1876" s="138">
        <f>'Short-Term Long-Term Debt 24'!F17</f>
        <v>0</v>
      </c>
      <c r="C1876" s="2" t="s">
        <v>594</v>
      </c>
      <c r="D1876" s="2" t="str">
        <f t="shared" si="28"/>
        <v>Error?</v>
      </c>
    </row>
    <row r="1877" spans="1:4" x14ac:dyDescent="0.2">
      <c r="A1877" s="5">
        <v>1816</v>
      </c>
      <c r="B1877" s="138">
        <f>'Short-Term Long-Term Debt 24'!F18</f>
        <v>0</v>
      </c>
      <c r="C1877" s="2" t="s">
        <v>594</v>
      </c>
      <c r="D1877" s="2" t="str">
        <f t="shared" si="28"/>
        <v>Error?</v>
      </c>
    </row>
    <row r="1878" spans="1:4" x14ac:dyDescent="0.2">
      <c r="A1878" s="5">
        <v>1817</v>
      </c>
      <c r="B1878" s="138">
        <f>'Short-Term Long-Term Debt 24'!F20</f>
        <v>0</v>
      </c>
      <c r="C1878" s="2" t="s">
        <v>594</v>
      </c>
      <c r="D1878" s="2" t="str">
        <f t="shared" si="28"/>
        <v>Error?</v>
      </c>
    </row>
    <row r="1879" spans="1:4" x14ac:dyDescent="0.2">
      <c r="A1879" s="5">
        <v>1818</v>
      </c>
      <c r="B1879" s="138">
        <f>'Short-Term Long-Term Debt 24'!F21</f>
        <v>0</v>
      </c>
      <c r="C1879" s="2" t="s">
        <v>594</v>
      </c>
      <c r="D1879" s="2" t="str">
        <f t="shared" si="28"/>
        <v>Error?</v>
      </c>
    </row>
    <row r="1880" spans="1:4" x14ac:dyDescent="0.2">
      <c r="A1880" s="5">
        <v>1819</v>
      </c>
      <c r="B1880" s="138">
        <f>'Short-Term Long-Term Debt 24'!F23</f>
        <v>0</v>
      </c>
      <c r="C1880" s="2" t="s">
        <v>594</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21196149</v>
      </c>
      <c r="C1939" s="2" t="s">
        <v>594</v>
      </c>
      <c r="D1939" s="2" t="str">
        <f t="shared" si="29"/>
        <v>Error?</v>
      </c>
    </row>
    <row r="1940" spans="1:5" x14ac:dyDescent="0.2">
      <c r="A1940" s="5">
        <v>1879</v>
      </c>
      <c r="B1940" s="138">
        <f>'Short-Term Long-Term Debt 24'!F49</f>
        <v>0</v>
      </c>
      <c r="C1940" s="2" t="s">
        <v>594</v>
      </c>
      <c r="D1940" s="2" t="str">
        <f t="shared" si="29"/>
        <v>Error?</v>
      </c>
    </row>
    <row r="1941" spans="1:5" x14ac:dyDescent="0.2">
      <c r="A1941" s="10">
        <v>1880</v>
      </c>
      <c r="C1941" s="2" t="s">
        <v>594</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137</v>
      </c>
    </row>
    <row r="1953" spans="1:5" x14ac:dyDescent="0.2">
      <c r="A1953" s="5">
        <v>1892</v>
      </c>
      <c r="B1953" s="138">
        <f>'Rest Tax Levies-Tort Im 25'!G12</f>
        <v>0</v>
      </c>
      <c r="C1953" s="2" t="s">
        <v>594</v>
      </c>
      <c r="D1953" s="2" t="str">
        <f t="shared" si="29"/>
        <v>Error?</v>
      </c>
    </row>
    <row r="1954" spans="1:5" x14ac:dyDescent="0.2">
      <c r="A1954" s="10">
        <v>1893</v>
      </c>
      <c r="C1954" s="2" t="s">
        <v>594</v>
      </c>
      <c r="D1954" s="2" t="str">
        <f t="shared" si="29"/>
        <v>OK</v>
      </c>
      <c r="E1954" s="2" t="s">
        <v>137</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594</v>
      </c>
      <c r="D1957" s="2" t="str">
        <f t="shared" si="29"/>
        <v>Error?</v>
      </c>
    </row>
    <row r="1958" spans="1:5" x14ac:dyDescent="0.2">
      <c r="A1958" s="5">
        <v>1897</v>
      </c>
      <c r="B1958" s="138">
        <f>'Rest Tax Levies-Tort Im 25'!G24</f>
        <v>0</v>
      </c>
      <c r="C1958" s="2" t="s">
        <v>594</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300151</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137</v>
      </c>
    </row>
    <row r="1977" spans="1:5" x14ac:dyDescent="0.2">
      <c r="A1977" s="5">
        <v>1916</v>
      </c>
      <c r="B1977" s="138">
        <f>'Rest Tax Levies-Tort Im 25'!H12</f>
        <v>300151</v>
      </c>
      <c r="C1977" s="2" t="s">
        <v>594</v>
      </c>
      <c r="D1977" s="2" t="str">
        <f t="shared" si="29"/>
        <v>Error?</v>
      </c>
    </row>
    <row r="1978" spans="1:5" x14ac:dyDescent="0.2">
      <c r="A1978" s="10">
        <v>1917</v>
      </c>
      <c r="C1978" s="2" t="s">
        <v>594</v>
      </c>
      <c r="D1978" s="2" t="str">
        <f t="shared" si="29"/>
        <v>OK</v>
      </c>
      <c r="E1978" s="2" t="s">
        <v>137</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137</v>
      </c>
    </row>
    <row r="1982" spans="1:5" x14ac:dyDescent="0.2">
      <c r="A1982" s="5">
        <v>1921</v>
      </c>
      <c r="B1982" s="138">
        <f>'Rest Tax Levies-Tort Im 25'!H23</f>
        <v>300151</v>
      </c>
      <c r="C1982" s="2" t="s">
        <v>594</v>
      </c>
      <c r="D1982" s="2" t="str">
        <f t="shared" si="29"/>
        <v>Error?</v>
      </c>
    </row>
    <row r="1983" spans="1:5" x14ac:dyDescent="0.2">
      <c r="A1983" s="5">
        <v>1922</v>
      </c>
      <c r="B1983" s="138">
        <f>'Rest Tax Levies-Tort Im 25'!H24</f>
        <v>0</v>
      </c>
      <c r="C1983" s="2" t="s">
        <v>594</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137</v>
      </c>
    </row>
    <row r="1990" spans="1:5" x14ac:dyDescent="0.2">
      <c r="A1990" s="5">
        <v>1929</v>
      </c>
      <c r="B1990" s="138">
        <f>'Rest Tax Levies-Tort Im 25'!I12</f>
        <v>0</v>
      </c>
      <c r="C1990" s="2" t="s">
        <v>594</v>
      </c>
      <c r="D1990" s="2" t="str">
        <f t="shared" si="30"/>
        <v>Error?</v>
      </c>
    </row>
    <row r="1991" spans="1:5" x14ac:dyDescent="0.2">
      <c r="A1991" s="10">
        <v>1930</v>
      </c>
      <c r="C1991" s="2" t="s">
        <v>594</v>
      </c>
      <c r="D1991" s="2" t="str">
        <f t="shared" si="30"/>
        <v>OK</v>
      </c>
      <c r="E1991" s="2" t="s">
        <v>137</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137</v>
      </c>
    </row>
    <row r="1995" spans="1:5" x14ac:dyDescent="0.2">
      <c r="A1995" s="5">
        <v>1934</v>
      </c>
      <c r="B1995" s="138">
        <f>'Rest Tax Levies-Tort Im 25'!I23</f>
        <v>0</v>
      </c>
      <c r="C1995" s="2" t="s">
        <v>594</v>
      </c>
      <c r="D1995" s="2" t="str">
        <f t="shared" si="30"/>
        <v>Error?</v>
      </c>
    </row>
    <row r="1996" spans="1:5" x14ac:dyDescent="0.2">
      <c r="A1996" s="5">
        <v>1935</v>
      </c>
      <c r="B1996" s="138">
        <f>'Rest Tax Levies-Tort Im 25'!I24</f>
        <v>0</v>
      </c>
      <c r="C1996" s="2" t="s">
        <v>594</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100231</v>
      </c>
      <c r="D2008" s="2" t="str">
        <f t="shared" si="30"/>
        <v>Error?</v>
      </c>
    </row>
    <row r="2009" spans="1:4" x14ac:dyDescent="0.2">
      <c r="A2009" s="5">
        <v>1948</v>
      </c>
      <c r="B2009" s="138">
        <f>'Cap Outlay Deprec 26'!C8</f>
        <v>29176738</v>
      </c>
      <c r="D2009" s="2" t="str">
        <f t="shared" si="30"/>
        <v>Error?</v>
      </c>
    </row>
    <row r="2010" spans="1:4" x14ac:dyDescent="0.2">
      <c r="A2010" s="5">
        <v>1949</v>
      </c>
      <c r="B2010" s="138">
        <f>'Cap Outlay Deprec 26'!C10</f>
        <v>720198</v>
      </c>
      <c r="D2010" s="2" t="str">
        <f t="shared" si="30"/>
        <v>Error?</v>
      </c>
    </row>
    <row r="2011" spans="1:4" x14ac:dyDescent="0.2">
      <c r="A2011" s="5">
        <v>1950</v>
      </c>
      <c r="B2011" s="138">
        <f>'Cap Outlay Deprec 26'!C12</f>
        <v>3978146</v>
      </c>
      <c r="D2011" s="2" t="str">
        <f t="shared" si="30"/>
        <v>Error?</v>
      </c>
    </row>
    <row r="2012" spans="1:4" x14ac:dyDescent="0.2">
      <c r="A2012" s="5">
        <v>1951</v>
      </c>
      <c r="B2012" s="138">
        <f>'Cap Outlay Deprec 26'!C13</f>
        <v>1799</v>
      </c>
      <c r="D2012" s="2" t="str">
        <f t="shared" si="30"/>
        <v>Error?</v>
      </c>
    </row>
    <row r="2013" spans="1:4" x14ac:dyDescent="0.2">
      <c r="A2013" s="5">
        <v>1952</v>
      </c>
      <c r="B2013" s="138">
        <f>'Cap Outlay Deprec 26'!C16</f>
        <v>33997364</v>
      </c>
      <c r="C2013" s="2" t="s">
        <v>594</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3098244</v>
      </c>
      <c r="D2015" s="2" t="str">
        <f t="shared" si="30"/>
        <v>Error?</v>
      </c>
    </row>
    <row r="2016" spans="1:4" x14ac:dyDescent="0.2">
      <c r="A2016" s="5">
        <v>1955</v>
      </c>
      <c r="B2016" s="138">
        <f>'Cap Outlay Deprec 26'!D10</f>
        <v>0</v>
      </c>
      <c r="D2016" s="2" t="str">
        <f t="shared" si="30"/>
        <v>Error?</v>
      </c>
    </row>
    <row r="2017" spans="1:4" x14ac:dyDescent="0.2">
      <c r="A2017" s="5">
        <v>1956</v>
      </c>
      <c r="B2017" s="138">
        <f>'Cap Outlay Deprec 26'!D12</f>
        <v>154541</v>
      </c>
      <c r="D2017" s="2" t="str">
        <f t="shared" si="30"/>
        <v>Error?</v>
      </c>
    </row>
    <row r="2018" spans="1:4" x14ac:dyDescent="0.2">
      <c r="A2018" s="5">
        <v>1957</v>
      </c>
      <c r="B2018" s="138">
        <f>'Cap Outlay Deprec 26'!D13</f>
        <v>0</v>
      </c>
      <c r="D2018" s="2" t="str">
        <f t="shared" si="30"/>
        <v>Error?</v>
      </c>
    </row>
    <row r="2019" spans="1:4" x14ac:dyDescent="0.2">
      <c r="A2019" s="5">
        <v>1958</v>
      </c>
      <c r="B2019" s="138">
        <f>'Cap Outlay Deprec 26'!D16</f>
        <v>3252785</v>
      </c>
      <c r="C2019" s="2" t="s">
        <v>594</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0</v>
      </c>
      <c r="D2023" s="2" t="str">
        <f t="shared" si="30"/>
        <v>Error?</v>
      </c>
    </row>
    <row r="2024" spans="1:4" x14ac:dyDescent="0.2">
      <c r="A2024" s="5">
        <v>1963</v>
      </c>
      <c r="B2024" s="138">
        <f>'Cap Outlay Deprec 26'!E13</f>
        <v>0</v>
      </c>
      <c r="D2024" s="2" t="str">
        <f t="shared" si="30"/>
        <v>Error?</v>
      </c>
    </row>
    <row r="2025" spans="1:4" x14ac:dyDescent="0.2">
      <c r="A2025" s="5">
        <v>1964</v>
      </c>
      <c r="B2025" s="138">
        <f>'Cap Outlay Deprec 26'!E16</f>
        <v>20252</v>
      </c>
      <c r="C2025" s="2" t="s">
        <v>594</v>
      </c>
      <c r="D2025" s="2" t="str">
        <f t="shared" si="30"/>
        <v>Error?</v>
      </c>
    </row>
    <row r="2026" spans="1:4" x14ac:dyDescent="0.2">
      <c r="A2026" s="5">
        <v>1965</v>
      </c>
      <c r="B2026" s="138">
        <f>'Cap Outlay Deprec 26'!F5</f>
        <v>100231</v>
      </c>
      <c r="C2026" s="2" t="s">
        <v>594</v>
      </c>
      <c r="D2026" s="2" t="str">
        <f t="shared" si="30"/>
        <v>Error?</v>
      </c>
    </row>
    <row r="2027" spans="1:4" x14ac:dyDescent="0.2">
      <c r="A2027" s="5">
        <v>1966</v>
      </c>
      <c r="B2027" s="138">
        <f>'Cap Outlay Deprec 26'!F8</f>
        <v>32274982</v>
      </c>
      <c r="C2027" s="2" t="s">
        <v>594</v>
      </c>
      <c r="D2027" s="2" t="str">
        <f t="shared" si="30"/>
        <v>Error?</v>
      </c>
    </row>
    <row r="2028" spans="1:4" x14ac:dyDescent="0.2">
      <c r="A2028" s="5">
        <v>1967</v>
      </c>
      <c r="B2028" s="138">
        <f>'Cap Outlay Deprec 26'!F10</f>
        <v>720198</v>
      </c>
      <c r="C2028" s="2" t="s">
        <v>594</v>
      </c>
      <c r="D2028" s="2" t="str">
        <f t="shared" si="30"/>
        <v>Error?</v>
      </c>
    </row>
    <row r="2029" spans="1:4" x14ac:dyDescent="0.2">
      <c r="A2029" s="5">
        <v>1968</v>
      </c>
      <c r="B2029" s="138">
        <f>'Cap Outlay Deprec 26'!F12</f>
        <v>4132687</v>
      </c>
      <c r="C2029" s="2" t="s">
        <v>594</v>
      </c>
      <c r="D2029" s="2" t="str">
        <f t="shared" si="30"/>
        <v>Error?</v>
      </c>
    </row>
    <row r="2030" spans="1:4" x14ac:dyDescent="0.2">
      <c r="A2030" s="5">
        <v>1969</v>
      </c>
      <c r="B2030" s="138">
        <f>'Cap Outlay Deprec 26'!F13</f>
        <v>1799</v>
      </c>
      <c r="C2030" s="2" t="s">
        <v>594</v>
      </c>
      <c r="D2030" s="2" t="str">
        <f t="shared" si="30"/>
        <v>Error?</v>
      </c>
    </row>
    <row r="2031" spans="1:4" x14ac:dyDescent="0.2">
      <c r="A2031" s="5">
        <v>1970</v>
      </c>
      <c r="B2031" s="138">
        <f>'Cap Outlay Deprec 26'!F16</f>
        <v>37229897</v>
      </c>
      <c r="C2031" s="2" t="s">
        <v>594</v>
      </c>
      <c r="D2031" s="2" t="str">
        <f t="shared" si="30"/>
        <v>Error?</v>
      </c>
    </row>
    <row r="2032" spans="1:4" x14ac:dyDescent="0.2">
      <c r="A2032" s="10">
        <v>1971</v>
      </c>
      <c r="D2032" s="2" t="str">
        <f t="shared" si="30"/>
        <v>OK</v>
      </c>
    </row>
    <row r="2033" spans="1:4" x14ac:dyDescent="0.2">
      <c r="A2033" s="5">
        <v>1972</v>
      </c>
      <c r="B2033" s="138">
        <f>'Cap Outlay Deprec 26'!H8</f>
        <v>10530718</v>
      </c>
      <c r="D2033" s="2" t="str">
        <f t="shared" si="30"/>
        <v>Error?</v>
      </c>
    </row>
    <row r="2034" spans="1:4" x14ac:dyDescent="0.2">
      <c r="A2034" s="5">
        <v>1973</v>
      </c>
      <c r="B2034" s="138">
        <f>'Cap Outlay Deprec 26'!H10</f>
        <v>342150</v>
      </c>
      <c r="D2034" s="2" t="str">
        <f t="shared" si="30"/>
        <v>Error?</v>
      </c>
    </row>
    <row r="2035" spans="1:4" x14ac:dyDescent="0.2">
      <c r="A2035" s="5">
        <v>1974</v>
      </c>
      <c r="B2035" s="138">
        <f>'Cap Outlay Deprec 26'!H12</f>
        <v>3057036</v>
      </c>
      <c r="D2035" s="2" t="str">
        <f t="shared" si="30"/>
        <v>Error?</v>
      </c>
    </row>
    <row r="2036" spans="1:4" x14ac:dyDescent="0.2">
      <c r="A2036" s="5">
        <v>1975</v>
      </c>
      <c r="B2036" s="138">
        <f>'Cap Outlay Deprec 26'!H13</f>
        <v>1799</v>
      </c>
      <c r="D2036" s="2" t="str">
        <f t="shared" si="30"/>
        <v>Error?</v>
      </c>
    </row>
    <row r="2037" spans="1:4" x14ac:dyDescent="0.2">
      <c r="A2037" s="5">
        <v>1976</v>
      </c>
      <c r="B2037" s="138">
        <f>'Cap Outlay Deprec 26'!H16</f>
        <v>13931703</v>
      </c>
      <c r="C2037" s="2" t="s">
        <v>594</v>
      </c>
      <c r="D2037" s="2" t="str">
        <f t="shared" si="30"/>
        <v>Error?</v>
      </c>
    </row>
    <row r="2038" spans="1:4" x14ac:dyDescent="0.2">
      <c r="A2038" s="10">
        <v>1977</v>
      </c>
      <c r="D2038" s="2" t="str">
        <f t="shared" si="30"/>
        <v>OK</v>
      </c>
    </row>
    <row r="2039" spans="1:4" x14ac:dyDescent="0.2">
      <c r="A2039" s="5">
        <v>1978</v>
      </c>
      <c r="B2039" s="138">
        <f>'Cap Outlay Deprec 26'!I8</f>
        <v>1424500</v>
      </c>
      <c r="D2039" s="2" t="str">
        <f t="shared" si="30"/>
        <v>Error?</v>
      </c>
    </row>
    <row r="2040" spans="1:4" x14ac:dyDescent="0.2">
      <c r="A2040" s="5">
        <v>1979</v>
      </c>
      <c r="B2040" s="138">
        <f>'Cap Outlay Deprec 26'!I10</f>
        <v>35058</v>
      </c>
      <c r="D2040" s="2" t="str">
        <f t="shared" si="30"/>
        <v>Error?</v>
      </c>
    </row>
    <row r="2041" spans="1:4" x14ac:dyDescent="0.2">
      <c r="A2041" s="5">
        <v>1980</v>
      </c>
      <c r="B2041" s="138">
        <f>'Cap Outlay Deprec 26'!I12</f>
        <v>291890</v>
      </c>
      <c r="D2041" s="2" t="str">
        <f t="shared" si="30"/>
        <v>Error?</v>
      </c>
    </row>
    <row r="2042" spans="1:4" x14ac:dyDescent="0.2">
      <c r="A2042" s="5">
        <v>1981</v>
      </c>
      <c r="B2042" s="138">
        <f>'Cap Outlay Deprec 26'!I13</f>
        <v>0</v>
      </c>
      <c r="D2042" s="2" t="str">
        <f t="shared" si="30"/>
        <v>Error?</v>
      </c>
    </row>
    <row r="2043" spans="1:4" x14ac:dyDescent="0.2">
      <c r="A2043" s="5">
        <v>1982</v>
      </c>
      <c r="B2043" s="138">
        <f>'Cap Outlay Deprec 26'!I16</f>
        <v>1751448</v>
      </c>
      <c r="C2043" s="2" t="s">
        <v>594</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0</v>
      </c>
      <c r="D2047" s="2" t="str">
        <f t="shared" ref="D2047:D2110" si="31">IF(ISBLANK(B2047),"OK",IF(A2047-B2047=0,"OK","Error?"))</f>
        <v>Error?</v>
      </c>
    </row>
    <row r="2048" spans="1:4" x14ac:dyDescent="0.2">
      <c r="A2048" s="5">
        <v>1987</v>
      </c>
      <c r="B2048" s="138">
        <f>'Cap Outlay Deprec 26'!J13</f>
        <v>0</v>
      </c>
      <c r="D2048" s="2" t="str">
        <f t="shared" si="31"/>
        <v>Error?</v>
      </c>
    </row>
    <row r="2049" spans="1:4" x14ac:dyDescent="0.2">
      <c r="A2049" s="5">
        <v>1988</v>
      </c>
      <c r="B2049" s="138">
        <f>'Cap Outlay Deprec 26'!J16</f>
        <v>0</v>
      </c>
      <c r="C2049" s="2" t="s">
        <v>594</v>
      </c>
      <c r="D2049" s="2" t="str">
        <f t="shared" si="31"/>
        <v>Error?</v>
      </c>
    </row>
    <row r="2050" spans="1:4" x14ac:dyDescent="0.2">
      <c r="A2050" s="10">
        <v>1989</v>
      </c>
      <c r="D2050" s="2" t="str">
        <f t="shared" si="31"/>
        <v>OK</v>
      </c>
    </row>
    <row r="2051" spans="1:4" x14ac:dyDescent="0.2">
      <c r="A2051" s="5">
        <v>1990</v>
      </c>
      <c r="B2051" s="138">
        <f>'Cap Outlay Deprec 26'!K8</f>
        <v>11955218</v>
      </c>
      <c r="C2051" s="2" t="s">
        <v>594</v>
      </c>
      <c r="D2051" s="2" t="str">
        <f t="shared" si="31"/>
        <v>Error?</v>
      </c>
    </row>
    <row r="2052" spans="1:4" x14ac:dyDescent="0.2">
      <c r="A2052" s="5">
        <v>1991</v>
      </c>
      <c r="B2052" s="138">
        <f>'Cap Outlay Deprec 26'!K10</f>
        <v>377208</v>
      </c>
      <c r="C2052" s="2" t="s">
        <v>594</v>
      </c>
      <c r="D2052" s="2" t="str">
        <f t="shared" si="31"/>
        <v>Error?</v>
      </c>
    </row>
    <row r="2053" spans="1:4" x14ac:dyDescent="0.2">
      <c r="A2053" s="5">
        <v>1992</v>
      </c>
      <c r="B2053" s="138">
        <f>'Cap Outlay Deprec 26'!K12</f>
        <v>3348926</v>
      </c>
      <c r="C2053" s="2" t="s">
        <v>594</v>
      </c>
      <c r="D2053" s="2" t="str">
        <f t="shared" si="31"/>
        <v>Error?</v>
      </c>
    </row>
    <row r="2054" spans="1:4" x14ac:dyDescent="0.2">
      <c r="A2054" s="5">
        <v>1993</v>
      </c>
      <c r="B2054" s="138">
        <f>'Cap Outlay Deprec 26'!K13</f>
        <v>1799</v>
      </c>
      <c r="C2054" s="2" t="s">
        <v>594</v>
      </c>
      <c r="D2054" s="2" t="str">
        <f t="shared" si="31"/>
        <v>Error?</v>
      </c>
    </row>
    <row r="2055" spans="1:4" x14ac:dyDescent="0.2">
      <c r="A2055" s="5">
        <v>1994</v>
      </c>
      <c r="B2055" s="138">
        <f>'Cap Outlay Deprec 26'!K16</f>
        <v>15683151</v>
      </c>
      <c r="C2055" s="2" t="s">
        <v>594</v>
      </c>
      <c r="D2055" s="2" t="str">
        <f t="shared" si="31"/>
        <v>Error?</v>
      </c>
    </row>
    <row r="2056" spans="1:4" x14ac:dyDescent="0.2">
      <c r="A2056" s="5">
        <v>1995</v>
      </c>
      <c r="B2056" s="138">
        <f>'Cap Outlay Deprec 26'!L5</f>
        <v>100231</v>
      </c>
      <c r="C2056" s="2" t="s">
        <v>594</v>
      </c>
      <c r="D2056" s="2" t="str">
        <f t="shared" si="31"/>
        <v>Error?</v>
      </c>
    </row>
    <row r="2057" spans="1:4" x14ac:dyDescent="0.2">
      <c r="A2057" s="5">
        <v>1996</v>
      </c>
      <c r="B2057" s="138">
        <f>'Cap Outlay Deprec 26'!L8</f>
        <v>20319764</v>
      </c>
      <c r="C2057" s="2" t="s">
        <v>594</v>
      </c>
      <c r="D2057" s="2" t="str">
        <f t="shared" si="31"/>
        <v>Error?</v>
      </c>
    </row>
    <row r="2058" spans="1:4" x14ac:dyDescent="0.2">
      <c r="A2058" s="5">
        <v>1997</v>
      </c>
      <c r="B2058" s="138">
        <f>'Cap Outlay Deprec 26'!L10</f>
        <v>342990</v>
      </c>
      <c r="C2058" s="2" t="s">
        <v>594</v>
      </c>
      <c r="D2058" s="2" t="str">
        <f t="shared" si="31"/>
        <v>Error?</v>
      </c>
    </row>
    <row r="2059" spans="1:4" x14ac:dyDescent="0.2">
      <c r="A2059" s="5">
        <v>1998</v>
      </c>
      <c r="B2059" s="138">
        <f>'Cap Outlay Deprec 26'!L12</f>
        <v>783761</v>
      </c>
      <c r="C2059" s="2" t="s">
        <v>594</v>
      </c>
      <c r="D2059" s="2" t="str">
        <f t="shared" si="31"/>
        <v>Error?</v>
      </c>
    </row>
    <row r="2060" spans="1:4" x14ac:dyDescent="0.2">
      <c r="A2060" s="5">
        <v>1999</v>
      </c>
      <c r="B2060" s="138">
        <f>'Cap Outlay Deprec 26'!L13</f>
        <v>0</v>
      </c>
      <c r="C2060" s="2" t="s">
        <v>594</v>
      </c>
      <c r="D2060" s="2" t="str">
        <f t="shared" si="31"/>
        <v>Error?</v>
      </c>
    </row>
    <row r="2061" spans="1:4" x14ac:dyDescent="0.2">
      <c r="A2061" s="5">
        <v>2000</v>
      </c>
      <c r="B2061" s="138">
        <f>'Cap Outlay Deprec 26'!L16</f>
        <v>21546746</v>
      </c>
      <c r="C2061" s="2" t="s">
        <v>594</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594</v>
      </c>
      <c r="D2077" s="2" t="str">
        <f t="shared" si="31"/>
        <v>OK</v>
      </c>
    </row>
    <row r="2078" spans="1:4" x14ac:dyDescent="0.2">
      <c r="A2078" s="10">
        <v>2017</v>
      </c>
      <c r="C2078" s="2" t="s">
        <v>594</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0</v>
      </c>
      <c r="C2081" s="2" t="s">
        <v>594</v>
      </c>
      <c r="D2081" s="2" t="str">
        <f t="shared" si="31"/>
        <v>Error?</v>
      </c>
    </row>
    <row r="2082" spans="1:4" x14ac:dyDescent="0.2">
      <c r="A2082" s="10">
        <v>2021</v>
      </c>
      <c r="C2082" s="2" t="s">
        <v>594</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594</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0</v>
      </c>
      <c r="C2088" s="2" t="s">
        <v>594</v>
      </c>
      <c r="D2088" s="2" t="str">
        <f t="shared" si="31"/>
        <v>Error?</v>
      </c>
    </row>
    <row r="2089" spans="1:4" x14ac:dyDescent="0.2">
      <c r="A2089" s="5">
        <v>2028</v>
      </c>
      <c r="B2089" s="138">
        <f>'Expenditures 15-22'!K92</f>
        <v>507297</v>
      </c>
      <c r="C2089" s="2" t="s">
        <v>594</v>
      </c>
      <c r="D2089" s="2" t="str">
        <f t="shared" si="31"/>
        <v>Error?</v>
      </c>
    </row>
    <row r="2090" spans="1:4" x14ac:dyDescent="0.2">
      <c r="A2090" s="10">
        <v>2029</v>
      </c>
      <c r="D2090" s="2" t="str">
        <f t="shared" si="31"/>
        <v>OK</v>
      </c>
    </row>
    <row r="2091" spans="1:4" x14ac:dyDescent="0.2">
      <c r="A2091" s="5">
        <v>2030</v>
      </c>
      <c r="B2091" s="138">
        <f>'Expenditures 15-22'!H137</f>
        <v>0</v>
      </c>
      <c r="C2091" s="2" t="s">
        <v>594</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594</v>
      </c>
      <c r="D2093" s="2" t="str">
        <f t="shared" si="31"/>
        <v>Error?</v>
      </c>
    </row>
    <row r="2094" spans="1:4" x14ac:dyDescent="0.2">
      <c r="A2094" s="5">
        <v>2033</v>
      </c>
      <c r="B2094" s="138">
        <f>'Expenditures 15-22'!K138</f>
        <v>0</v>
      </c>
      <c r="C2094" s="2" t="s">
        <v>594</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594</v>
      </c>
      <c r="D2099" s="2" t="str">
        <f t="shared" si="31"/>
        <v>OK</v>
      </c>
    </row>
    <row r="2100" spans="1:4" x14ac:dyDescent="0.2">
      <c r="A2100" s="10">
        <v>2039</v>
      </c>
      <c r="D2100" s="2" t="str">
        <f t="shared" si="31"/>
        <v>OK</v>
      </c>
    </row>
    <row r="2101" spans="1:4" x14ac:dyDescent="0.2">
      <c r="A2101" s="10">
        <v>2040</v>
      </c>
      <c r="C2101" s="2" t="s">
        <v>594</v>
      </c>
      <c r="D2101" s="2" t="str">
        <f t="shared" si="31"/>
        <v>OK</v>
      </c>
    </row>
    <row r="2102" spans="1:4" x14ac:dyDescent="0.2">
      <c r="A2102" s="5">
        <v>2041</v>
      </c>
      <c r="B2102" s="138">
        <f>'Expenditures 15-22'!K310</f>
        <v>0</v>
      </c>
      <c r="C2102" s="2" t="s">
        <v>594</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0</v>
      </c>
      <c r="C2105" s="2" t="s">
        <v>594</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594</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0</v>
      </c>
      <c r="D2435" s="2" t="str">
        <f t="shared" si="37"/>
        <v>Error?</v>
      </c>
    </row>
    <row r="2436" spans="1:4" x14ac:dyDescent="0.2">
      <c r="A2436" s="10">
        <v>2375</v>
      </c>
      <c r="D2436" s="2" t="str">
        <f t="shared" si="37"/>
        <v>OK</v>
      </c>
    </row>
    <row r="2437" spans="1:4" x14ac:dyDescent="0.2">
      <c r="A2437" s="5">
        <v>2376</v>
      </c>
      <c r="B2437" s="138">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285801</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0</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3614493</v>
      </c>
      <c r="C2551" s="2" t="s">
        <v>594</v>
      </c>
      <c r="D2551" s="2" t="str">
        <f t="shared" si="38"/>
        <v>Error?</v>
      </c>
    </row>
    <row r="2552" spans="1:4" x14ac:dyDescent="0.2">
      <c r="A2552" s="10">
        <v>2491</v>
      </c>
      <c r="D2552" s="2" t="str">
        <f t="shared" si="38"/>
        <v>OK</v>
      </c>
    </row>
    <row r="2553" spans="1:4" x14ac:dyDescent="0.2">
      <c r="A2553" s="5">
        <v>2492</v>
      </c>
      <c r="B2553" s="138">
        <f>'Acct Summary 7-8'!C6</f>
        <v>10902447</v>
      </c>
      <c r="C2553" s="2" t="s">
        <v>594</v>
      </c>
      <c r="D2553" s="2" t="str">
        <f t="shared" si="38"/>
        <v>Error?</v>
      </c>
    </row>
    <row r="2554" spans="1:4" x14ac:dyDescent="0.2">
      <c r="A2554" s="5">
        <v>2493</v>
      </c>
      <c r="B2554" s="138">
        <f>'Acct Summary 7-8'!C7</f>
        <v>2985672</v>
      </c>
      <c r="C2554" s="2" t="s">
        <v>594</v>
      </c>
      <c r="D2554" s="2" t="str">
        <f t="shared" si="38"/>
        <v>Error?</v>
      </c>
    </row>
    <row r="2555" spans="1:4" x14ac:dyDescent="0.2">
      <c r="A2555" s="5">
        <v>2494</v>
      </c>
      <c r="B2555" s="138">
        <f>'Acct Summary 7-8'!C8</f>
        <v>17502612</v>
      </c>
      <c r="C2555" s="2" t="s">
        <v>594</v>
      </c>
      <c r="D2555" s="2" t="str">
        <f t="shared" si="38"/>
        <v>Error?</v>
      </c>
    </row>
    <row r="2556" spans="1:4" x14ac:dyDescent="0.2">
      <c r="A2556" s="5">
        <v>2495</v>
      </c>
      <c r="B2556" s="138">
        <f>'Acct Summary 7-8'!C12</f>
        <v>11057791</v>
      </c>
      <c r="C2556" s="2" t="s">
        <v>594</v>
      </c>
      <c r="D2556" s="2" t="str">
        <f t="shared" si="38"/>
        <v>Error?</v>
      </c>
    </row>
    <row r="2557" spans="1:4" x14ac:dyDescent="0.2">
      <c r="A2557" s="5">
        <v>2496</v>
      </c>
      <c r="B2557" s="138">
        <f>'Acct Summary 7-8'!C13</f>
        <v>5153230</v>
      </c>
      <c r="C2557" s="2" t="s">
        <v>594</v>
      </c>
      <c r="D2557" s="2" t="str">
        <f t="shared" si="38"/>
        <v>Error?</v>
      </c>
    </row>
    <row r="2558" spans="1:4" x14ac:dyDescent="0.2">
      <c r="A2558" s="5">
        <v>2497</v>
      </c>
      <c r="B2558" s="138">
        <f>'Acct Summary 7-8'!C14</f>
        <v>39186</v>
      </c>
      <c r="C2558" s="2" t="s">
        <v>594</v>
      </c>
      <c r="D2558" s="2" t="str">
        <f t="shared" si="38"/>
        <v>Error?</v>
      </c>
    </row>
    <row r="2559" spans="1:4" x14ac:dyDescent="0.2">
      <c r="A2559" s="5">
        <v>2498</v>
      </c>
      <c r="B2559" s="138">
        <f>'Acct Summary 7-8'!C15</f>
        <v>507297</v>
      </c>
      <c r="C2559" s="2" t="s">
        <v>594</v>
      </c>
      <c r="D2559" s="2" t="str">
        <f t="shared" ref="D2559:D2622" si="39">IF(ISBLANK(B2559),"OK",IF(A2559-B2559=0,"OK","Error?"))</f>
        <v>Error?</v>
      </c>
    </row>
    <row r="2560" spans="1:4" x14ac:dyDescent="0.2">
      <c r="A2560" s="5">
        <v>2499</v>
      </c>
      <c r="B2560" s="138">
        <f>'Acct Summary 7-8'!C16</f>
        <v>0</v>
      </c>
      <c r="C2560" s="2" t="s">
        <v>594</v>
      </c>
      <c r="D2560" s="2" t="str">
        <f t="shared" si="39"/>
        <v>Error?</v>
      </c>
    </row>
    <row r="2561" spans="1:4" x14ac:dyDescent="0.2">
      <c r="A2561" s="5">
        <v>2500</v>
      </c>
      <c r="B2561" s="138">
        <f>'Acct Summary 7-8'!C17</f>
        <v>16757504</v>
      </c>
      <c r="C2561" s="2" t="s">
        <v>594</v>
      </c>
      <c r="D2561" s="2" t="str">
        <f t="shared" si="39"/>
        <v>Error?</v>
      </c>
    </row>
    <row r="2562" spans="1:4" x14ac:dyDescent="0.2">
      <c r="A2562" s="5">
        <v>2501</v>
      </c>
      <c r="B2562" s="138">
        <f>'Acct Summary 7-8'!C20</f>
        <v>745108</v>
      </c>
      <c r="C2562" s="2" t="s">
        <v>594</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573074</v>
      </c>
      <c r="C2564" s="2" t="s">
        <v>594</v>
      </c>
      <c r="D2564" s="2" t="str">
        <f t="shared" si="39"/>
        <v>Error?</v>
      </c>
    </row>
    <row r="2565" spans="1:4" x14ac:dyDescent="0.2">
      <c r="A2565" s="10">
        <v>2504</v>
      </c>
      <c r="D2565" s="2" t="str">
        <f t="shared" si="39"/>
        <v>OK</v>
      </c>
    </row>
    <row r="2566" spans="1:4" x14ac:dyDescent="0.2">
      <c r="A2566" s="5">
        <v>2505</v>
      </c>
      <c r="B2566" s="138">
        <f>'Acct Summary 7-8'!D6</f>
        <v>1100000</v>
      </c>
      <c r="C2566" s="2" t="s">
        <v>594</v>
      </c>
      <c r="D2566" s="2" t="str">
        <f t="shared" si="39"/>
        <v>Error?</v>
      </c>
    </row>
    <row r="2567" spans="1:4" x14ac:dyDescent="0.2">
      <c r="A2567" s="5">
        <v>2506</v>
      </c>
      <c r="B2567" s="138">
        <f>'Acct Summary 7-8'!D7</f>
        <v>0</v>
      </c>
      <c r="C2567" s="2" t="s">
        <v>594</v>
      </c>
      <c r="D2567" s="2" t="str">
        <f t="shared" si="39"/>
        <v>Error?</v>
      </c>
    </row>
    <row r="2568" spans="1:4" x14ac:dyDescent="0.2">
      <c r="A2568" s="5">
        <v>2507</v>
      </c>
      <c r="B2568" s="138">
        <f>'Acct Summary 7-8'!D8</f>
        <v>1673074</v>
      </c>
      <c r="C2568" s="2" t="s">
        <v>594</v>
      </c>
      <c r="D2568" s="2" t="str">
        <f t="shared" si="39"/>
        <v>Error?</v>
      </c>
    </row>
    <row r="2569" spans="1:4" x14ac:dyDescent="0.2">
      <c r="A2569" s="5">
        <v>2508</v>
      </c>
      <c r="B2569" s="138">
        <f>'Acct Summary 7-8'!D13</f>
        <v>1248253</v>
      </c>
      <c r="C2569" s="2" t="s">
        <v>594</v>
      </c>
      <c r="D2569" s="2" t="str">
        <f t="shared" si="39"/>
        <v>Error?</v>
      </c>
    </row>
    <row r="2570" spans="1:4" x14ac:dyDescent="0.2">
      <c r="A2570" s="5">
        <v>2509</v>
      </c>
      <c r="B2570" s="138">
        <f>'Acct Summary 7-8'!D14</f>
        <v>0</v>
      </c>
      <c r="C2570" s="2" t="s">
        <v>594</v>
      </c>
      <c r="D2570" s="2" t="str">
        <f t="shared" si="39"/>
        <v>Error?</v>
      </c>
    </row>
    <row r="2571" spans="1:4" x14ac:dyDescent="0.2">
      <c r="A2571" s="5">
        <v>2510</v>
      </c>
      <c r="B2571" s="138">
        <f>'Acct Summary 7-8'!D15</f>
        <v>0</v>
      </c>
      <c r="C2571" s="2" t="s">
        <v>594</v>
      </c>
      <c r="D2571" s="2" t="str">
        <f t="shared" si="39"/>
        <v>Error?</v>
      </c>
    </row>
    <row r="2572" spans="1:4" x14ac:dyDescent="0.2">
      <c r="A2572" s="5">
        <v>2511</v>
      </c>
      <c r="B2572" s="138">
        <f>'Acct Summary 7-8'!D16</f>
        <v>0</v>
      </c>
      <c r="C2572" s="2" t="s">
        <v>594</v>
      </c>
      <c r="D2572" s="2" t="str">
        <f t="shared" si="39"/>
        <v>Error?</v>
      </c>
    </row>
    <row r="2573" spans="1:4" x14ac:dyDescent="0.2">
      <c r="A2573" s="5">
        <v>2512</v>
      </c>
      <c r="B2573" s="138">
        <f>'Acct Summary 7-8'!D17</f>
        <v>1248253</v>
      </c>
      <c r="C2573" s="2" t="s">
        <v>594</v>
      </c>
      <c r="D2573" s="2" t="str">
        <f t="shared" si="39"/>
        <v>Error?</v>
      </c>
    </row>
    <row r="2574" spans="1:4" x14ac:dyDescent="0.2">
      <c r="A2574" s="5">
        <v>2513</v>
      </c>
      <c r="B2574" s="138">
        <f>'Acct Summary 7-8'!D20</f>
        <v>424821</v>
      </c>
      <c r="C2574" s="2" t="s">
        <v>594</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205007</v>
      </c>
      <c r="C2591" s="2" t="s">
        <v>594</v>
      </c>
      <c r="D2591" s="2" t="str">
        <f t="shared" si="39"/>
        <v>Error?</v>
      </c>
    </row>
    <row r="2592" spans="1:4" x14ac:dyDescent="0.2">
      <c r="A2592" s="10">
        <v>2531</v>
      </c>
      <c r="D2592" s="2" t="str">
        <f t="shared" si="39"/>
        <v>OK</v>
      </c>
    </row>
    <row r="2593" spans="1:4" x14ac:dyDescent="0.2">
      <c r="A2593" s="5">
        <v>2532</v>
      </c>
      <c r="B2593" s="138">
        <f>'Acct Summary 7-8'!F6</f>
        <v>751660</v>
      </c>
      <c r="C2593" s="2" t="s">
        <v>594</v>
      </c>
      <c r="D2593" s="2" t="str">
        <f t="shared" si="39"/>
        <v>Error?</v>
      </c>
    </row>
    <row r="2594" spans="1:4" x14ac:dyDescent="0.2">
      <c r="A2594" s="5">
        <v>2533</v>
      </c>
      <c r="B2594" s="138">
        <f>'Acct Summary 7-8'!F7</f>
        <v>0</v>
      </c>
      <c r="C2594" s="2" t="s">
        <v>594</v>
      </c>
      <c r="D2594" s="2" t="str">
        <f t="shared" si="39"/>
        <v>Error?</v>
      </c>
    </row>
    <row r="2595" spans="1:4" x14ac:dyDescent="0.2">
      <c r="A2595" s="5">
        <v>2534</v>
      </c>
      <c r="B2595" s="138">
        <f>'Acct Summary 7-8'!F8</f>
        <v>956667</v>
      </c>
      <c r="C2595" s="2" t="s">
        <v>594</v>
      </c>
      <c r="D2595" s="2" t="str">
        <f t="shared" si="39"/>
        <v>Error?</v>
      </c>
    </row>
    <row r="2596" spans="1:4" x14ac:dyDescent="0.2">
      <c r="A2596" s="5">
        <v>2535</v>
      </c>
      <c r="B2596" s="138">
        <f>'Acct Summary 7-8'!F13</f>
        <v>720351</v>
      </c>
      <c r="C2596" s="2" t="s">
        <v>594</v>
      </c>
      <c r="D2596" s="2" t="str">
        <f t="shared" si="39"/>
        <v>Error?</v>
      </c>
    </row>
    <row r="2597" spans="1:4" x14ac:dyDescent="0.2">
      <c r="A2597" s="5">
        <v>2536</v>
      </c>
      <c r="B2597" s="138">
        <f>'Acct Summary 7-8'!F14</f>
        <v>0</v>
      </c>
      <c r="C2597" s="2" t="s">
        <v>594</v>
      </c>
      <c r="D2597" s="2" t="str">
        <f t="shared" si="39"/>
        <v>Error?</v>
      </c>
    </row>
    <row r="2598" spans="1:4" x14ac:dyDescent="0.2">
      <c r="A2598" s="5">
        <v>2537</v>
      </c>
      <c r="B2598" s="138">
        <f>'Acct Summary 7-8'!F15</f>
        <v>0</v>
      </c>
      <c r="C2598" s="2" t="s">
        <v>594</v>
      </c>
      <c r="D2598" s="2" t="str">
        <f t="shared" si="39"/>
        <v>Error?</v>
      </c>
    </row>
    <row r="2599" spans="1:4" x14ac:dyDescent="0.2">
      <c r="A2599" s="5">
        <v>2538</v>
      </c>
      <c r="B2599" s="138">
        <f>'Acct Summary 7-8'!F16</f>
        <v>0</v>
      </c>
      <c r="C2599" s="2" t="s">
        <v>594</v>
      </c>
      <c r="D2599" s="2" t="str">
        <f t="shared" si="39"/>
        <v>Error?</v>
      </c>
    </row>
    <row r="2600" spans="1:4" x14ac:dyDescent="0.2">
      <c r="A2600" s="5">
        <v>2539</v>
      </c>
      <c r="B2600" s="138">
        <f>'Acct Summary 7-8'!F17</f>
        <v>720351</v>
      </c>
      <c r="C2600" s="2" t="s">
        <v>594</v>
      </c>
      <c r="D2600" s="2" t="str">
        <f t="shared" si="39"/>
        <v>Error?</v>
      </c>
    </row>
    <row r="2601" spans="1:4" x14ac:dyDescent="0.2">
      <c r="A2601" s="5">
        <v>2540</v>
      </c>
      <c r="B2601" s="138">
        <f>'Acct Summary 7-8'!F20</f>
        <v>236316</v>
      </c>
      <c r="C2601" s="2" t="s">
        <v>594</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614908</v>
      </c>
      <c r="C2603" s="2" t="s">
        <v>594</v>
      </c>
      <c r="D2603" s="2" t="str">
        <f t="shared" si="39"/>
        <v>Error?</v>
      </c>
    </row>
    <row r="2604" spans="1:4" x14ac:dyDescent="0.2">
      <c r="A2604" s="5">
        <v>2543</v>
      </c>
      <c r="B2604" s="138">
        <f>'Acct Summary 7-8'!G6</f>
        <v>0</v>
      </c>
      <c r="C2604" s="2" t="s">
        <v>594</v>
      </c>
      <c r="D2604" s="2" t="str">
        <f t="shared" si="39"/>
        <v>Error?</v>
      </c>
    </row>
    <row r="2605" spans="1:4" x14ac:dyDescent="0.2">
      <c r="A2605" s="5">
        <v>2544</v>
      </c>
      <c r="B2605" s="138">
        <f>'Acct Summary 7-8'!G7</f>
        <v>0</v>
      </c>
      <c r="C2605" s="2" t="s">
        <v>594</v>
      </c>
      <c r="D2605" s="2" t="str">
        <f t="shared" si="39"/>
        <v>Error?</v>
      </c>
    </row>
    <row r="2606" spans="1:4" x14ac:dyDescent="0.2">
      <c r="A2606" s="5">
        <v>2545</v>
      </c>
      <c r="B2606" s="138">
        <f>'Acct Summary 7-8'!G8</f>
        <v>614908</v>
      </c>
      <c r="C2606" s="2" t="s">
        <v>594</v>
      </c>
      <c r="D2606" s="2" t="str">
        <f t="shared" si="39"/>
        <v>Error?</v>
      </c>
    </row>
    <row r="2607" spans="1:4" x14ac:dyDescent="0.2">
      <c r="A2607" s="5">
        <v>2546</v>
      </c>
      <c r="B2607" s="138">
        <f>'Acct Summary 7-8'!G12</f>
        <v>304723</v>
      </c>
      <c r="C2607" s="2" t="s">
        <v>594</v>
      </c>
      <c r="D2607" s="2" t="str">
        <f t="shared" si="39"/>
        <v>Error?</v>
      </c>
    </row>
    <row r="2608" spans="1:4" x14ac:dyDescent="0.2">
      <c r="A2608" s="5">
        <v>2547</v>
      </c>
      <c r="B2608" s="138">
        <f>'Acct Summary 7-8'!G13</f>
        <v>278220</v>
      </c>
      <c r="C2608" s="2" t="s">
        <v>594</v>
      </c>
      <c r="D2608" s="2" t="str">
        <f t="shared" si="39"/>
        <v>Error?</v>
      </c>
    </row>
    <row r="2609" spans="1:4" x14ac:dyDescent="0.2">
      <c r="A2609" s="5">
        <v>2548</v>
      </c>
      <c r="B2609" s="138">
        <f>'Acct Summary 7-8'!G14</f>
        <v>0</v>
      </c>
      <c r="C2609" s="2" t="s">
        <v>594</v>
      </c>
      <c r="D2609" s="2" t="str">
        <f t="shared" si="39"/>
        <v>Error?</v>
      </c>
    </row>
    <row r="2610" spans="1:4" x14ac:dyDescent="0.2">
      <c r="A2610" s="10">
        <v>2549</v>
      </c>
      <c r="D2610" s="2" t="str">
        <f t="shared" si="39"/>
        <v>OK</v>
      </c>
    </row>
    <row r="2611" spans="1:4" x14ac:dyDescent="0.2">
      <c r="A2611" s="5">
        <v>2550</v>
      </c>
      <c r="B2611" s="138">
        <f>'Acct Summary 7-8'!G16</f>
        <v>0</v>
      </c>
      <c r="C2611" s="2" t="s">
        <v>594</v>
      </c>
      <c r="D2611" s="2" t="str">
        <f t="shared" si="39"/>
        <v>Error?</v>
      </c>
    </row>
    <row r="2612" spans="1:4" x14ac:dyDescent="0.2">
      <c r="A2612" s="5">
        <v>2551</v>
      </c>
      <c r="B2612" s="138">
        <f>'Acct Summary 7-8'!G17</f>
        <v>582943</v>
      </c>
      <c r="C2612" s="2" t="s">
        <v>594</v>
      </c>
      <c r="D2612" s="2" t="str">
        <f t="shared" si="39"/>
        <v>Error?</v>
      </c>
    </row>
    <row r="2613" spans="1:4" x14ac:dyDescent="0.2">
      <c r="A2613" s="5">
        <v>2552</v>
      </c>
      <c r="B2613" s="138">
        <f>'Acct Summary 7-8'!G20</f>
        <v>31965</v>
      </c>
      <c r="C2613" s="2" t="s">
        <v>594</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1073604</v>
      </c>
      <c r="C2630" s="2" t="s">
        <v>594</v>
      </c>
      <c r="D2630" s="2" t="str">
        <f t="shared" si="40"/>
        <v>Error?</v>
      </c>
    </row>
    <row r="2631" spans="1:4" x14ac:dyDescent="0.2">
      <c r="A2631" s="5">
        <v>2570</v>
      </c>
      <c r="B2631" s="138">
        <f>'Acct Summary 7-8'!E6</f>
        <v>0</v>
      </c>
      <c r="C2631" s="2" t="s">
        <v>594</v>
      </c>
      <c r="D2631" s="2" t="str">
        <f t="shared" si="40"/>
        <v>Error?</v>
      </c>
    </row>
    <row r="2632" spans="1:4" x14ac:dyDescent="0.2">
      <c r="A2632" s="5">
        <v>2571</v>
      </c>
      <c r="B2632" s="138">
        <f>'Acct Summary 7-8'!E8</f>
        <v>1847297</v>
      </c>
      <c r="C2632" s="2" t="s">
        <v>594</v>
      </c>
      <c r="D2632" s="2" t="str">
        <f t="shared" si="40"/>
        <v>Error?</v>
      </c>
    </row>
    <row r="2633" spans="1:4" x14ac:dyDescent="0.2">
      <c r="A2633" s="5">
        <v>2572</v>
      </c>
      <c r="B2633" s="138">
        <f>'Acct Summary 7-8'!E15</f>
        <v>0</v>
      </c>
      <c r="C2633" s="2" t="s">
        <v>594</v>
      </c>
      <c r="D2633" s="2" t="str">
        <f t="shared" si="40"/>
        <v>Error?</v>
      </c>
    </row>
    <row r="2634" spans="1:4" x14ac:dyDescent="0.2">
      <c r="A2634" s="5">
        <v>2573</v>
      </c>
      <c r="B2634" s="138">
        <f>'Acct Summary 7-8'!E16</f>
        <v>1904666</v>
      </c>
      <c r="C2634" s="2" t="s">
        <v>594</v>
      </c>
      <c r="D2634" s="2" t="str">
        <f t="shared" si="40"/>
        <v>Error?</v>
      </c>
    </row>
    <row r="2635" spans="1:4" x14ac:dyDescent="0.2">
      <c r="A2635" s="5">
        <v>2574</v>
      </c>
      <c r="B2635" s="138">
        <f>'Acct Summary 7-8'!E17</f>
        <v>1904666</v>
      </c>
      <c r="C2635" s="2" t="s">
        <v>594</v>
      </c>
      <c r="D2635" s="2" t="str">
        <f t="shared" si="40"/>
        <v>Error?</v>
      </c>
    </row>
    <row r="2636" spans="1:4" x14ac:dyDescent="0.2">
      <c r="A2636" s="5">
        <v>2575</v>
      </c>
      <c r="B2636" s="138">
        <f>'Acct Summary 7-8'!E20</f>
        <v>-57369</v>
      </c>
      <c r="C2636" s="2" t="s">
        <v>594</v>
      </c>
      <c r="D2636" s="2" t="str">
        <f t="shared" si="40"/>
        <v>Error?</v>
      </c>
    </row>
    <row r="2637" spans="1:4" x14ac:dyDescent="0.2">
      <c r="A2637" s="5">
        <v>2576</v>
      </c>
      <c r="B2637" s="138">
        <f>'Acct Summary 7-8'!E80</f>
        <v>0</v>
      </c>
      <c r="D2637" s="2" t="str">
        <f t="shared" si="40"/>
        <v>Error?</v>
      </c>
    </row>
    <row r="2638" spans="1:4" x14ac:dyDescent="0.2">
      <c r="A2638" s="10">
        <v>2577</v>
      </c>
      <c r="C2638" s="2" t="s">
        <v>594</v>
      </c>
      <c r="D2638" s="2" t="str">
        <f t="shared" si="40"/>
        <v>OK</v>
      </c>
    </row>
    <row r="2639" spans="1:4" x14ac:dyDescent="0.2">
      <c r="A2639" s="10">
        <v>2578</v>
      </c>
      <c r="C2639" s="2" t="s">
        <v>594</v>
      </c>
      <c r="D2639" s="2" t="str">
        <f t="shared" si="40"/>
        <v>OK</v>
      </c>
    </row>
    <row r="2640" spans="1:4" x14ac:dyDescent="0.2">
      <c r="A2640" s="10">
        <v>2579</v>
      </c>
      <c r="C2640" s="2" t="s">
        <v>594</v>
      </c>
      <c r="D2640" s="2" t="str">
        <f t="shared" si="40"/>
        <v>OK</v>
      </c>
    </row>
    <row r="2641" spans="1:4" x14ac:dyDescent="0.2">
      <c r="A2641" s="10">
        <v>2580</v>
      </c>
      <c r="C2641" s="2" t="s">
        <v>594</v>
      </c>
      <c r="D2641" s="2" t="str">
        <f t="shared" si="40"/>
        <v>OK</v>
      </c>
    </row>
    <row r="2642" spans="1:4" x14ac:dyDescent="0.2">
      <c r="A2642" s="10">
        <v>2581</v>
      </c>
      <c r="C2642" s="2" t="s">
        <v>594</v>
      </c>
      <c r="D2642" s="2" t="str">
        <f t="shared" si="40"/>
        <v>OK</v>
      </c>
    </row>
    <row r="2643" spans="1:4" x14ac:dyDescent="0.2">
      <c r="A2643" s="10">
        <v>2582</v>
      </c>
      <c r="C2643" s="2" t="s">
        <v>594</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226262</v>
      </c>
      <c r="C2655" s="2" t="s">
        <v>594</v>
      </c>
      <c r="D2655" s="2" t="str">
        <f t="shared" si="40"/>
        <v>Error?</v>
      </c>
    </row>
    <row r="2656" spans="1:4" x14ac:dyDescent="0.2">
      <c r="A2656" s="5">
        <v>2595</v>
      </c>
      <c r="B2656" s="138">
        <f>'Acct Summary 7-8'!H6</f>
        <v>0</v>
      </c>
      <c r="C2656" s="2" t="s">
        <v>594</v>
      </c>
      <c r="D2656" s="2" t="str">
        <f t="shared" si="40"/>
        <v>Error?</v>
      </c>
    </row>
    <row r="2657" spans="1:4" x14ac:dyDescent="0.2">
      <c r="A2657" s="5">
        <v>2596</v>
      </c>
      <c r="B2657" s="138">
        <f>'Acct Summary 7-8'!H7</f>
        <v>0</v>
      </c>
      <c r="C2657" s="2" t="s">
        <v>594</v>
      </c>
      <c r="D2657" s="2" t="str">
        <f t="shared" si="40"/>
        <v>Error?</v>
      </c>
    </row>
    <row r="2658" spans="1:4" x14ac:dyDescent="0.2">
      <c r="A2658" s="5">
        <v>2597</v>
      </c>
      <c r="B2658" s="138">
        <f>'Acct Summary 7-8'!H8</f>
        <v>226262</v>
      </c>
      <c r="C2658" s="2" t="s">
        <v>594</v>
      </c>
      <c r="D2658" s="2" t="str">
        <f t="shared" si="40"/>
        <v>Error?</v>
      </c>
    </row>
    <row r="2659" spans="1:4" x14ac:dyDescent="0.2">
      <c r="A2659" s="5">
        <v>2598</v>
      </c>
      <c r="B2659" s="138">
        <f>'Acct Summary 7-8'!H13</f>
        <v>3519928</v>
      </c>
      <c r="C2659" s="2" t="s">
        <v>594</v>
      </c>
      <c r="D2659" s="2" t="str">
        <f t="shared" si="40"/>
        <v>Error?</v>
      </c>
    </row>
    <row r="2660" spans="1:4" x14ac:dyDescent="0.2">
      <c r="A2660" s="5">
        <v>2599</v>
      </c>
      <c r="B2660" s="138">
        <f>'Acct Summary 7-8'!H15</f>
        <v>0</v>
      </c>
      <c r="C2660" s="2" t="s">
        <v>594</v>
      </c>
      <c r="D2660" s="2" t="str">
        <f t="shared" si="40"/>
        <v>Error?</v>
      </c>
    </row>
    <row r="2661" spans="1:4" x14ac:dyDescent="0.2">
      <c r="A2661" s="5">
        <v>2600</v>
      </c>
      <c r="B2661" s="138">
        <f>'Acct Summary 7-8'!H17</f>
        <v>3519928</v>
      </c>
      <c r="C2661" s="2" t="s">
        <v>594</v>
      </c>
      <c r="D2661" s="2" t="str">
        <f t="shared" si="40"/>
        <v>Error?</v>
      </c>
    </row>
    <row r="2662" spans="1:4" x14ac:dyDescent="0.2">
      <c r="A2662" s="5">
        <v>2601</v>
      </c>
      <c r="B2662" s="138">
        <f>'Acct Summary 7-8'!H20</f>
        <v>-3293666</v>
      </c>
      <c r="C2662" s="2" t="s">
        <v>594</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0</v>
      </c>
      <c r="D2718" s="2" t="str">
        <f t="shared" si="41"/>
        <v>Error?</v>
      </c>
    </row>
    <row r="2719" spans="1:4" x14ac:dyDescent="0.2">
      <c r="A2719" s="5">
        <v>2658</v>
      </c>
      <c r="B2719" s="138">
        <f>'Expenditures 15-22'!D51</f>
        <v>0</v>
      </c>
      <c r="D2719" s="2" t="str">
        <f t="shared" si="41"/>
        <v>Error?</v>
      </c>
    </row>
    <row r="2720" spans="1:4" x14ac:dyDescent="0.2">
      <c r="A2720" s="5">
        <v>2659</v>
      </c>
      <c r="B2720" s="138">
        <f>'Expenditures 15-22'!E51</f>
        <v>0</v>
      </c>
      <c r="D2720" s="2" t="str">
        <f t="shared" si="41"/>
        <v>Error?</v>
      </c>
    </row>
    <row r="2721" spans="1:4" x14ac:dyDescent="0.2">
      <c r="A2721" s="5">
        <v>2660</v>
      </c>
      <c r="B2721" s="138">
        <f>'Expenditures 15-22'!F51</f>
        <v>0</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0</v>
      </c>
      <c r="C2724" s="2" t="s">
        <v>594</v>
      </c>
      <c r="D2724" s="2" t="str">
        <f t="shared" si="41"/>
        <v>Error?</v>
      </c>
    </row>
    <row r="2725" spans="1:4" x14ac:dyDescent="0.2">
      <c r="A2725" s="5">
        <v>2664</v>
      </c>
      <c r="B2725" s="138">
        <f>'Expenditures 15-22'!D247</f>
        <v>0</v>
      </c>
      <c r="D2725" s="2" t="str">
        <f t="shared" si="41"/>
        <v>Error?</v>
      </c>
    </row>
    <row r="2726" spans="1:4" x14ac:dyDescent="0.2">
      <c r="A2726" s="5">
        <v>2665</v>
      </c>
      <c r="B2726" s="138">
        <f>'Expenditures 15-22'!K247</f>
        <v>0</v>
      </c>
      <c r="C2726" s="2" t="s">
        <v>594</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594</v>
      </c>
      <c r="D2733" s="2" t="str">
        <f t="shared" si="41"/>
        <v>Error?</v>
      </c>
    </row>
    <row r="2734" spans="1:4" x14ac:dyDescent="0.2">
      <c r="A2734" s="5">
        <v>2673</v>
      </c>
      <c r="B2734" s="138">
        <f>'Short-Term Long-Term Debt 24'!F25</f>
        <v>0</v>
      </c>
      <c r="C2734" s="2" t="s">
        <v>594</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137</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0</v>
      </c>
      <c r="C2789" s="2" t="s">
        <v>594</v>
      </c>
      <c r="D2789" s="2" t="str">
        <f t="shared" si="42"/>
        <v>Error?</v>
      </c>
    </row>
    <row r="2790" spans="1:4" x14ac:dyDescent="0.2">
      <c r="A2790" s="5">
        <v>2729</v>
      </c>
      <c r="B2790" s="138">
        <f>'Expenditures 15-22'!E102</f>
        <v>0</v>
      </c>
      <c r="C2790" s="2" t="s">
        <v>594</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594</v>
      </c>
      <c r="D2795" s="2" t="str">
        <f t="shared" si="42"/>
        <v>Error?</v>
      </c>
    </row>
    <row r="2796" spans="1:4" x14ac:dyDescent="0.2">
      <c r="A2796" s="5">
        <v>2735</v>
      </c>
      <c r="B2796" s="138">
        <f>'Expenditures 15-22'!K108</f>
        <v>0</v>
      </c>
      <c r="C2796" s="2" t="s">
        <v>594</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594</v>
      </c>
      <c r="D2804" s="2" t="str">
        <f t="shared" si="42"/>
        <v>OK</v>
      </c>
    </row>
    <row r="2805" spans="1:4" x14ac:dyDescent="0.2">
      <c r="A2805" s="5">
        <v>2744</v>
      </c>
      <c r="B2805" s="138">
        <f>'Expenditures 15-22'!K130</f>
        <v>0</v>
      </c>
      <c r="C2805" s="2" t="s">
        <v>594</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594</v>
      </c>
      <c r="D2809" s="2" t="str">
        <f t="shared" si="42"/>
        <v>OK</v>
      </c>
    </row>
    <row r="2810" spans="1:4" x14ac:dyDescent="0.2">
      <c r="A2810" s="5">
        <v>2749</v>
      </c>
      <c r="B2810" s="138">
        <f>'Expenditures 15-22'!K144</f>
        <v>0</v>
      </c>
      <c r="C2810" s="2" t="s">
        <v>594</v>
      </c>
      <c r="D2810" s="2" t="str">
        <f t="shared" si="42"/>
        <v>Error?</v>
      </c>
    </row>
    <row r="2811" spans="1:4" x14ac:dyDescent="0.2">
      <c r="A2811" s="5">
        <v>2750</v>
      </c>
      <c r="B2811" s="138">
        <f>'Expenditures 15-22'!K145</f>
        <v>0</v>
      </c>
      <c r="C2811" s="2" t="s">
        <v>594</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594</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594</v>
      </c>
      <c r="D2818" s="2" t="str">
        <f t="shared" si="43"/>
        <v>Error?</v>
      </c>
    </row>
    <row r="2819" spans="1:4" x14ac:dyDescent="0.2">
      <c r="A2819" s="5">
        <v>2758</v>
      </c>
      <c r="B2819" s="138">
        <f>'Expenditures 15-22'!K166</f>
        <v>0</v>
      </c>
      <c r="C2819" s="2" t="s">
        <v>594</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594</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594</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594</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105</v>
      </c>
    </row>
    <row r="2836" spans="1:5" x14ac:dyDescent="0.2">
      <c r="A2836" s="5">
        <v>2775</v>
      </c>
      <c r="B2836" s="138">
        <f>'Expenditures 15-22'!K185</f>
        <v>0</v>
      </c>
      <c r="C2836" s="2" t="s">
        <v>594</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594</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594</v>
      </c>
      <c r="D2841" s="2" t="str">
        <f t="shared" si="43"/>
        <v>Error?</v>
      </c>
    </row>
    <row r="2842" spans="1:5" x14ac:dyDescent="0.2">
      <c r="A2842" s="5">
        <v>2781</v>
      </c>
      <c r="B2842" s="138">
        <f>'Expenditures 15-22'!K202</f>
        <v>0</v>
      </c>
      <c r="C2842" s="2" t="s">
        <v>594</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594</v>
      </c>
      <c r="D2845" s="2" t="str">
        <f t="shared" si="43"/>
        <v>Error?</v>
      </c>
    </row>
    <row r="2846" spans="1:5" x14ac:dyDescent="0.2">
      <c r="A2846" s="5">
        <v>2785</v>
      </c>
      <c r="B2846" s="138">
        <f>'Expenditures 15-22'!K291</f>
        <v>0</v>
      </c>
      <c r="C2846" s="2" t="s">
        <v>594</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7</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0</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0</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546423</v>
      </c>
      <c r="C2888" s="2" t="s">
        <v>594</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31441</v>
      </c>
      <c r="C2895" s="2" t="s">
        <v>594</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594</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546423</v>
      </c>
      <c r="D2912" s="2" t="str">
        <f t="shared" si="44"/>
        <v>Error?</v>
      </c>
    </row>
    <row r="2913" spans="1:4" x14ac:dyDescent="0.2">
      <c r="A2913" s="5">
        <v>2852</v>
      </c>
      <c r="B2913" s="138">
        <f>'Assets-Liab 5-6'!I41</f>
        <v>546423</v>
      </c>
      <c r="C2913" s="2" t="s">
        <v>594</v>
      </c>
      <c r="D2913" s="2" t="str">
        <f t="shared" si="44"/>
        <v>Error?</v>
      </c>
    </row>
    <row r="2914" spans="1:4" x14ac:dyDescent="0.2">
      <c r="A2914" s="5">
        <v>2853</v>
      </c>
      <c r="B2914" s="138">
        <f>'Assets-Liab 5-6'!L33</f>
        <v>31441</v>
      </c>
      <c r="D2914" s="2" t="str">
        <f t="shared" si="44"/>
        <v>Error?</v>
      </c>
    </row>
    <row r="2915" spans="1:4" x14ac:dyDescent="0.2">
      <c r="A2915" s="10">
        <v>2854</v>
      </c>
      <c r="D2915" s="2" t="str">
        <f t="shared" si="44"/>
        <v>OK</v>
      </c>
    </row>
    <row r="2916" spans="1:4" x14ac:dyDescent="0.2">
      <c r="A2916" s="5">
        <v>2855</v>
      </c>
      <c r="B2916" s="138">
        <f>'Assets-Liab 5-6'!L34</f>
        <v>31441</v>
      </c>
      <c r="C2916" s="2" t="s">
        <v>594</v>
      </c>
      <c r="D2916" s="2" t="str">
        <f t="shared" si="44"/>
        <v>Error?</v>
      </c>
    </row>
    <row r="2917" spans="1:4" x14ac:dyDescent="0.2">
      <c r="A2917" s="5">
        <v>2856</v>
      </c>
      <c r="B2917" s="138">
        <f>'Assets-Liab 5-6'!L41</f>
        <v>31441</v>
      </c>
      <c r="C2917" s="2" t="s">
        <v>594</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0</v>
      </c>
      <c r="D2949" s="2" t="str">
        <f t="shared" si="45"/>
        <v>Error?</v>
      </c>
    </row>
    <row r="2950" spans="1:4" x14ac:dyDescent="0.2">
      <c r="A2950" s="5">
        <v>2889</v>
      </c>
      <c r="B2950" s="138">
        <f>'Expenditures 15-22'!E79</f>
        <v>0</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0</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0</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0</v>
      </c>
      <c r="C2973" s="2" t="s">
        <v>594</v>
      </c>
      <c r="D2973" s="2" t="str">
        <f t="shared" si="45"/>
        <v>Error?</v>
      </c>
    </row>
    <row r="2974" spans="1:4" x14ac:dyDescent="0.2">
      <c r="A2974" s="5">
        <v>2913</v>
      </c>
      <c r="B2974" s="138">
        <f>'Expenditures 15-22'!K79</f>
        <v>0</v>
      </c>
      <c r="C2974" s="2" t="s">
        <v>594</v>
      </c>
      <c r="D2974" s="2" t="str">
        <f t="shared" si="45"/>
        <v>Error?</v>
      </c>
    </row>
    <row r="2975" spans="1:4" x14ac:dyDescent="0.2">
      <c r="A2975" s="5">
        <v>2914</v>
      </c>
      <c r="B2975" s="138">
        <f>'Expenditures 15-22'!K80</f>
        <v>0</v>
      </c>
      <c r="C2975" s="2" t="s">
        <v>594</v>
      </c>
      <c r="D2975" s="2" t="str">
        <f t="shared" si="45"/>
        <v>Error?</v>
      </c>
    </row>
    <row r="2976" spans="1:4" x14ac:dyDescent="0.2">
      <c r="A2976" s="5">
        <v>2915</v>
      </c>
      <c r="B2976" s="138">
        <f>'Expenditures 15-22'!K81</f>
        <v>0</v>
      </c>
      <c r="C2976" s="2" t="s">
        <v>594</v>
      </c>
      <c r="D2976" s="2" t="str">
        <f t="shared" si="45"/>
        <v>Error?</v>
      </c>
    </row>
    <row r="2977" spans="1:4" x14ac:dyDescent="0.2">
      <c r="A2977" s="5">
        <v>2916</v>
      </c>
      <c r="B2977" s="138">
        <f>'Expenditures 15-22'!K82</f>
        <v>0</v>
      </c>
      <c r="C2977" s="2" t="s">
        <v>594</v>
      </c>
      <c r="D2977" s="2" t="str">
        <f t="shared" si="45"/>
        <v>Error?</v>
      </c>
    </row>
    <row r="2978" spans="1:4" x14ac:dyDescent="0.2">
      <c r="A2978" s="5">
        <v>2917</v>
      </c>
      <c r="B2978" s="138">
        <f>'Expenditures 15-22'!K83</f>
        <v>0</v>
      </c>
      <c r="C2978" s="2" t="s">
        <v>594</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594</v>
      </c>
      <c r="D2985" s="2" t="str">
        <f t="shared" si="45"/>
        <v>OK</v>
      </c>
    </row>
    <row r="2986" spans="1:4" x14ac:dyDescent="0.2">
      <c r="A2986" s="5">
        <v>2925</v>
      </c>
      <c r="B2986" s="138">
        <f>'Expenditures 15-22'!K134</f>
        <v>0</v>
      </c>
      <c r="C2986" s="2" t="s">
        <v>594</v>
      </c>
      <c r="D2986" s="2" t="str">
        <f t="shared" si="45"/>
        <v>Error?</v>
      </c>
    </row>
    <row r="2987" spans="1:4" x14ac:dyDescent="0.2">
      <c r="A2987" s="5">
        <v>2926</v>
      </c>
      <c r="B2987" s="138">
        <f>'Expenditures 15-22'!K135</f>
        <v>0</v>
      </c>
      <c r="C2987" s="2" t="s">
        <v>594</v>
      </c>
      <c r="D2987" s="2" t="str">
        <f t="shared" si="45"/>
        <v>Error?</v>
      </c>
    </row>
    <row r="2988" spans="1:4" x14ac:dyDescent="0.2">
      <c r="A2988" s="5">
        <v>2927</v>
      </c>
      <c r="B2988" s="138">
        <f>'Expenditures 15-22'!K136</f>
        <v>0</v>
      </c>
      <c r="C2988" s="2" t="s">
        <v>594</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594</v>
      </c>
      <c r="D3007" s="2" t="str">
        <f t="shared" ref="D3007:D3070" si="46">IF(ISBLANK(B3007),"OK",IF(A3007-B3007=0,"OK","Error?"))</f>
        <v>Error?</v>
      </c>
    </row>
    <row r="3008" spans="1:4" x14ac:dyDescent="0.2">
      <c r="A3008" s="5">
        <v>2947</v>
      </c>
      <c r="B3008" s="138">
        <f>'Expenditures 15-22'!K189</f>
        <v>0</v>
      </c>
      <c r="C3008" s="2" t="s">
        <v>594</v>
      </c>
      <c r="D3008" s="2" t="str">
        <f t="shared" si="46"/>
        <v>Error?</v>
      </c>
    </row>
    <row r="3009" spans="1:4" x14ac:dyDescent="0.2">
      <c r="A3009" s="5">
        <v>2948</v>
      </c>
      <c r="B3009" s="138">
        <f>'Expenditures 15-22'!K190</f>
        <v>0</v>
      </c>
      <c r="C3009" s="2" t="s">
        <v>594</v>
      </c>
      <c r="D3009" s="2" t="str">
        <f t="shared" si="46"/>
        <v>Error?</v>
      </c>
    </row>
    <row r="3010" spans="1:4" x14ac:dyDescent="0.2">
      <c r="A3010" s="5">
        <v>2949</v>
      </c>
      <c r="B3010" s="138">
        <f>'Expenditures 15-22'!K191</f>
        <v>0</v>
      </c>
      <c r="C3010" s="2" t="s">
        <v>594</v>
      </c>
      <c r="D3010" s="2" t="str">
        <f t="shared" si="46"/>
        <v>Error?</v>
      </c>
    </row>
    <row r="3011" spans="1:4" x14ac:dyDescent="0.2">
      <c r="A3011" s="5">
        <v>2950</v>
      </c>
      <c r="B3011" s="138">
        <f>'Expenditures 15-22'!K192</f>
        <v>0</v>
      </c>
      <c r="C3011" s="2" t="s">
        <v>594</v>
      </c>
      <c r="D3011" s="2" t="str">
        <f t="shared" si="46"/>
        <v>Error?</v>
      </c>
    </row>
    <row r="3012" spans="1:4" x14ac:dyDescent="0.2">
      <c r="A3012" s="5">
        <v>2951</v>
      </c>
      <c r="B3012" s="138">
        <f>'Expenditures 15-22'!K193</f>
        <v>0</v>
      </c>
      <c r="C3012" s="2" t="s">
        <v>594</v>
      </c>
      <c r="D3012" s="2" t="str">
        <f t="shared" si="46"/>
        <v>Error?</v>
      </c>
    </row>
    <row r="3013" spans="1:4" x14ac:dyDescent="0.2">
      <c r="A3013" s="10">
        <v>2952</v>
      </c>
      <c r="D3013" s="2" t="s">
        <v>137</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264404</v>
      </c>
      <c r="D3055" s="2" t="str">
        <f t="shared" si="46"/>
        <v>Error?</v>
      </c>
    </row>
    <row r="3056" spans="1:4" x14ac:dyDescent="0.2">
      <c r="A3056" s="5">
        <v>2995</v>
      </c>
      <c r="B3056" s="138">
        <f>'Expenditures 15-22'!D10</f>
        <v>59569</v>
      </c>
      <c r="D3056" s="2" t="str">
        <f t="shared" si="46"/>
        <v>Error?</v>
      </c>
    </row>
    <row r="3057" spans="1:4" x14ac:dyDescent="0.2">
      <c r="A3057" s="5">
        <v>2996</v>
      </c>
      <c r="B3057" s="138">
        <f>'Expenditures 15-22'!E10</f>
        <v>326574</v>
      </c>
      <c r="D3057" s="2" t="str">
        <f t="shared" si="46"/>
        <v>Error?</v>
      </c>
    </row>
    <row r="3058" spans="1:4" x14ac:dyDescent="0.2">
      <c r="A3058" s="5">
        <v>2997</v>
      </c>
      <c r="B3058" s="138">
        <f>'Expenditures 15-22'!F10</f>
        <v>230333</v>
      </c>
      <c r="D3058" s="2" t="str">
        <f t="shared" si="46"/>
        <v>Error?</v>
      </c>
    </row>
    <row r="3059" spans="1:4" x14ac:dyDescent="0.2">
      <c r="A3059" s="5">
        <v>2998</v>
      </c>
      <c r="B3059" s="138">
        <f>'Expenditures 15-22'!G10</f>
        <v>85242</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966122</v>
      </c>
      <c r="C3062" s="2" t="s">
        <v>594</v>
      </c>
      <c r="D3062" s="2" t="str">
        <f t="shared" si="46"/>
        <v>Error?</v>
      </c>
    </row>
    <row r="3063" spans="1:4" x14ac:dyDescent="0.2">
      <c r="A3063" s="10">
        <v>3002</v>
      </c>
      <c r="D3063" s="2" t="str">
        <f t="shared" si="46"/>
        <v>OK</v>
      </c>
    </row>
    <row r="3064" spans="1:4" x14ac:dyDescent="0.2">
      <c r="A3064" s="5">
        <v>3003</v>
      </c>
      <c r="B3064" s="138">
        <f>'Expenditures 15-22'!D219</f>
        <v>39595</v>
      </c>
      <c r="D3064" s="2" t="str">
        <f t="shared" si="46"/>
        <v>Error?</v>
      </c>
    </row>
    <row r="3065" spans="1:4" x14ac:dyDescent="0.2">
      <c r="A3065" s="5">
        <v>3004</v>
      </c>
      <c r="B3065" s="138">
        <f>'Expenditures 15-22'!K219</f>
        <v>39595</v>
      </c>
      <c r="C3065" s="2" t="s">
        <v>594</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0</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594</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10573</v>
      </c>
      <c r="C3225" s="2" t="s">
        <v>594</v>
      </c>
      <c r="D3225" s="2" t="str">
        <f t="shared" si="49"/>
        <v>Error?</v>
      </c>
    </row>
    <row r="3226" spans="1:4" x14ac:dyDescent="0.2">
      <c r="A3226" s="5">
        <v>3165</v>
      </c>
      <c r="B3226" s="138">
        <f>'Acct Summary 7-8'!I8</f>
        <v>10573</v>
      </c>
      <c r="C3226" s="2" t="s">
        <v>594</v>
      </c>
      <c r="D3226" s="2" t="str">
        <f t="shared" si="49"/>
        <v>Error?</v>
      </c>
    </row>
    <row r="3227" spans="1:4" x14ac:dyDescent="0.2">
      <c r="A3227" s="5">
        <v>3166</v>
      </c>
      <c r="B3227" s="138">
        <f>'Acct Summary 7-8'!I20</f>
        <v>10573</v>
      </c>
      <c r="C3227" s="2" t="s">
        <v>594</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0</v>
      </c>
      <c r="C3229" s="2" t="s">
        <v>594</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0</v>
      </c>
      <c r="C3231" s="2" t="s">
        <v>594</v>
      </c>
      <c r="D3231" s="2" t="str">
        <f t="shared" si="49"/>
        <v>Error?</v>
      </c>
    </row>
    <row r="3232" spans="1:4" x14ac:dyDescent="0.2">
      <c r="A3232" s="5">
        <v>3171</v>
      </c>
      <c r="B3232" s="138">
        <f>'Acct Summary 7-8'!C77</f>
        <v>0</v>
      </c>
      <c r="C3232" s="2" t="s">
        <v>594</v>
      </c>
      <c r="D3232" s="2" t="str">
        <f t="shared" si="49"/>
        <v>Error?</v>
      </c>
    </row>
    <row r="3233" spans="1:4" x14ac:dyDescent="0.2">
      <c r="A3233" s="5">
        <v>3172</v>
      </c>
      <c r="B3233" s="138">
        <f>'Acct Summary 7-8'!C78</f>
        <v>745108</v>
      </c>
      <c r="C3233" s="2" t="s">
        <v>594</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0</v>
      </c>
      <c r="C3235" s="2" t="s">
        <v>594</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0</v>
      </c>
      <c r="C3237" s="2" t="s">
        <v>594</v>
      </c>
      <c r="D3237" s="2" t="str">
        <f t="shared" si="49"/>
        <v>Error?</v>
      </c>
    </row>
    <row r="3238" spans="1:4" x14ac:dyDescent="0.2">
      <c r="A3238" s="5">
        <v>3177</v>
      </c>
      <c r="B3238" s="138">
        <f>'Acct Summary 7-8'!D77</f>
        <v>0</v>
      </c>
      <c r="C3238" s="2" t="s">
        <v>594</v>
      </c>
      <c r="D3238" s="2" t="str">
        <f t="shared" si="49"/>
        <v>Error?</v>
      </c>
    </row>
    <row r="3239" spans="1:4" x14ac:dyDescent="0.2">
      <c r="A3239" s="5">
        <v>3178</v>
      </c>
      <c r="B3239" s="138">
        <f>'Acct Summary 7-8'!D78</f>
        <v>424821</v>
      </c>
      <c r="C3239" s="2" t="s">
        <v>594</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0</v>
      </c>
      <c r="C3252" s="2" t="s">
        <v>594</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594</v>
      </c>
      <c r="D3254" s="2" t="str">
        <f t="shared" si="49"/>
        <v>Error?</v>
      </c>
    </row>
    <row r="3255" spans="1:4" x14ac:dyDescent="0.2">
      <c r="A3255" s="5">
        <v>3194</v>
      </c>
      <c r="B3255" s="138">
        <f>'Acct Summary 7-8'!F77</f>
        <v>0</v>
      </c>
      <c r="C3255" s="2" t="s">
        <v>594</v>
      </c>
      <c r="D3255" s="2" t="str">
        <f t="shared" si="49"/>
        <v>Error?</v>
      </c>
    </row>
    <row r="3256" spans="1:4" x14ac:dyDescent="0.2">
      <c r="A3256" s="5">
        <v>3195</v>
      </c>
      <c r="B3256" s="138">
        <f>'Acct Summary 7-8'!F78</f>
        <v>236316</v>
      </c>
      <c r="C3256" s="2" t="s">
        <v>594</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594</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594</v>
      </c>
      <c r="D3260" s="2" t="str">
        <f t="shared" si="49"/>
        <v>Error?</v>
      </c>
    </row>
    <row r="3261" spans="1:4" x14ac:dyDescent="0.2">
      <c r="A3261" s="5">
        <v>3200</v>
      </c>
      <c r="B3261" s="138">
        <f>'Acct Summary 7-8'!G77</f>
        <v>0</v>
      </c>
      <c r="C3261" s="2" t="s">
        <v>594</v>
      </c>
      <c r="D3261" s="2" t="str">
        <f t="shared" si="49"/>
        <v>Error?</v>
      </c>
    </row>
    <row r="3262" spans="1:4" x14ac:dyDescent="0.2">
      <c r="A3262" s="5">
        <v>3201</v>
      </c>
      <c r="B3262" s="138">
        <f>'Acct Summary 7-8'!G78</f>
        <v>31965</v>
      </c>
      <c r="C3262" s="2" t="s">
        <v>594</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0</v>
      </c>
      <c r="C3274" s="2" t="s">
        <v>594</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594</v>
      </c>
      <c r="D3276" s="2" t="str">
        <f t="shared" si="50"/>
        <v>Error?</v>
      </c>
    </row>
    <row r="3277" spans="1:4" x14ac:dyDescent="0.2">
      <c r="A3277" s="5">
        <v>3216</v>
      </c>
      <c r="B3277" s="138">
        <f>'Acct Summary 7-8'!E77</f>
        <v>0</v>
      </c>
      <c r="C3277" s="2" t="s">
        <v>594</v>
      </c>
      <c r="D3277" s="2" t="str">
        <f t="shared" si="50"/>
        <v>Error?</v>
      </c>
    </row>
    <row r="3278" spans="1:4" x14ac:dyDescent="0.2">
      <c r="A3278" s="5">
        <v>3217</v>
      </c>
      <c r="B3278" s="138">
        <f>'Acct Summary 7-8'!E78</f>
        <v>-57369</v>
      </c>
      <c r="C3278" s="2" t="s">
        <v>594</v>
      </c>
      <c r="D3278" s="2" t="str">
        <f t="shared" si="50"/>
        <v>Error?</v>
      </c>
    </row>
    <row r="3279" spans="1:4" x14ac:dyDescent="0.2">
      <c r="A3279" s="10">
        <v>3218</v>
      </c>
      <c r="D3279" s="2" t="str">
        <f t="shared" si="50"/>
        <v>OK</v>
      </c>
    </row>
    <row r="3280" spans="1:4" x14ac:dyDescent="0.2">
      <c r="A3280" s="10">
        <v>3219</v>
      </c>
      <c r="C3280" s="2" t="s">
        <v>594</v>
      </c>
      <c r="D3280" s="2" t="str">
        <f t="shared" si="50"/>
        <v>OK</v>
      </c>
    </row>
    <row r="3281" spans="1:4" x14ac:dyDescent="0.2">
      <c r="A3281" s="10">
        <v>3220</v>
      </c>
      <c r="D3281" s="2" t="str">
        <f t="shared" si="50"/>
        <v>OK</v>
      </c>
    </row>
    <row r="3282" spans="1:4" x14ac:dyDescent="0.2">
      <c r="A3282" s="10">
        <v>3221</v>
      </c>
      <c r="C3282" s="2" t="s">
        <v>594</v>
      </c>
      <c r="D3282" s="2" t="str">
        <f t="shared" si="50"/>
        <v>OK</v>
      </c>
    </row>
    <row r="3283" spans="1:4" x14ac:dyDescent="0.2">
      <c r="A3283" s="10">
        <v>3222</v>
      </c>
      <c r="C3283" s="2" t="s">
        <v>594</v>
      </c>
      <c r="D3283" s="2" t="str">
        <f t="shared" si="50"/>
        <v>OK</v>
      </c>
    </row>
    <row r="3284" spans="1:4" x14ac:dyDescent="0.2">
      <c r="A3284" s="10">
        <v>3223</v>
      </c>
      <c r="C3284" s="2" t="s">
        <v>594</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0</v>
      </c>
      <c r="C3296" s="2" t="s">
        <v>594</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594</v>
      </c>
      <c r="D3298" s="2" t="str">
        <f t="shared" si="50"/>
        <v>Error?</v>
      </c>
    </row>
    <row r="3299" spans="1:4" x14ac:dyDescent="0.2">
      <c r="A3299" s="5">
        <v>3238</v>
      </c>
      <c r="B3299" s="138">
        <f>'Acct Summary 7-8'!H77</f>
        <v>0</v>
      </c>
      <c r="C3299" s="2" t="s">
        <v>594</v>
      </c>
      <c r="D3299" s="2" t="str">
        <f t="shared" si="50"/>
        <v>Error?</v>
      </c>
    </row>
    <row r="3300" spans="1:4" x14ac:dyDescent="0.2">
      <c r="A3300" s="5">
        <v>3239</v>
      </c>
      <c r="B3300" s="138">
        <f>'Acct Summary 7-8'!H78</f>
        <v>-3293666</v>
      </c>
      <c r="C3300" s="2" t="s">
        <v>594</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0</v>
      </c>
      <c r="C3317" s="2" t="s">
        <v>594</v>
      </c>
      <c r="D3317" s="2" t="str">
        <f t="shared" si="50"/>
        <v>Error?</v>
      </c>
    </row>
    <row r="3318" spans="1:4" x14ac:dyDescent="0.2">
      <c r="A3318" s="5">
        <v>3257</v>
      </c>
      <c r="B3318" s="138">
        <f>'Acct Summary 7-8'!I76</f>
        <v>0</v>
      </c>
      <c r="C3318" s="2" t="s">
        <v>594</v>
      </c>
      <c r="D3318" s="2" t="str">
        <f t="shared" si="50"/>
        <v>Error?</v>
      </c>
    </row>
    <row r="3319" spans="1:4" x14ac:dyDescent="0.2">
      <c r="A3319" s="5">
        <v>3258</v>
      </c>
      <c r="B3319" s="138">
        <f>'Acct Summary 7-8'!I77</f>
        <v>0</v>
      </c>
      <c r="C3319" s="2" t="s">
        <v>594</v>
      </c>
      <c r="D3319" s="2" t="str">
        <f t="shared" si="50"/>
        <v>Error?</v>
      </c>
    </row>
    <row r="3320" spans="1:4" x14ac:dyDescent="0.2">
      <c r="A3320" s="5">
        <v>3259</v>
      </c>
      <c r="B3320" s="138">
        <f>'Acct Summary 7-8'!I78</f>
        <v>10573</v>
      </c>
      <c r="C3320" s="2" t="s">
        <v>594</v>
      </c>
      <c r="D3320" s="2" t="str">
        <f t="shared" si="50"/>
        <v>Error?</v>
      </c>
    </row>
    <row r="3321" spans="1:4" x14ac:dyDescent="0.2">
      <c r="A3321" s="5">
        <v>3260</v>
      </c>
      <c r="B3321" s="138">
        <f>'Acct Summary 7-8'!I79</f>
        <v>535850</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546423</v>
      </c>
      <c r="C3323" s="2" t="s">
        <v>594</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2025900</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379110</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80862</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48221</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630</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1747</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2536470</v>
      </c>
      <c r="C3380" s="2" t="s">
        <v>594</v>
      </c>
      <c r="D3380" s="2" t="str">
        <f t="shared" si="51"/>
        <v>Error?</v>
      </c>
    </row>
    <row r="3381" spans="1:4" x14ac:dyDescent="0.2">
      <c r="A3381" s="5">
        <v>3320</v>
      </c>
      <c r="B3381" s="138">
        <f>'Expenditures 15-22'!K19</f>
        <v>0</v>
      </c>
      <c r="C3381" s="2" t="s">
        <v>594</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80966</v>
      </c>
      <c r="D3387" s="2" t="str">
        <f t="shared" si="51"/>
        <v>Error?</v>
      </c>
    </row>
    <row r="3388" spans="1:4" x14ac:dyDescent="0.2">
      <c r="A3388" s="5">
        <v>3327</v>
      </c>
      <c r="B3388" s="138">
        <f>'Expenditures 15-22'!D217</f>
        <v>149396</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80966</v>
      </c>
      <c r="C3390" s="2" t="s">
        <v>594</v>
      </c>
      <c r="D3390" s="2" t="str">
        <f t="shared" si="51"/>
        <v>Error?</v>
      </c>
    </row>
    <row r="3391" spans="1:4" x14ac:dyDescent="0.2">
      <c r="A3391" s="5">
        <v>3330</v>
      </c>
      <c r="B3391" s="138">
        <f>'Expenditures 15-22'!K217</f>
        <v>149396</v>
      </c>
      <c r="C3391" s="2" t="s">
        <v>594</v>
      </c>
      <c r="D3391" s="2" t="str">
        <f t="shared" ref="D3391:D3454" si="52">IF(ISBLANK(B3391),"OK",IF(A3391-B3391=0,"OK","Error?"))</f>
        <v>Error?</v>
      </c>
    </row>
    <row r="3392" spans="1:4" x14ac:dyDescent="0.2">
      <c r="A3392" s="5">
        <v>3331</v>
      </c>
      <c r="B3392" s="138">
        <f>'Expenditures 15-22'!K228</f>
        <v>0</v>
      </c>
      <c r="C3392" s="2" t="s">
        <v>594</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594</v>
      </c>
      <c r="D3405" s="2" t="str">
        <f t="shared" si="52"/>
        <v>Error?</v>
      </c>
    </row>
    <row r="3406" spans="1:4" x14ac:dyDescent="0.2">
      <c r="A3406" s="5">
        <v>3345</v>
      </c>
      <c r="B3406" s="138">
        <f>'Acct Summary 7-8'!D5</f>
        <v>0</v>
      </c>
      <c r="C3406" s="2" t="s">
        <v>594</v>
      </c>
      <c r="D3406" s="2" t="str">
        <f t="shared" si="52"/>
        <v>Error?</v>
      </c>
    </row>
    <row r="3407" spans="1:4" x14ac:dyDescent="0.2">
      <c r="A3407" s="10">
        <v>3346</v>
      </c>
      <c r="D3407" s="2" t="str">
        <f t="shared" si="52"/>
        <v>OK</v>
      </c>
    </row>
    <row r="3408" spans="1:4" x14ac:dyDescent="0.2">
      <c r="A3408" s="5">
        <v>3347</v>
      </c>
      <c r="B3408" s="138">
        <f>'Acct Summary 7-8'!F5</f>
        <v>0</v>
      </c>
      <c r="C3408" s="2" t="s">
        <v>594</v>
      </c>
      <c r="D3408" s="2" t="str">
        <f t="shared" si="52"/>
        <v>Error?</v>
      </c>
    </row>
    <row r="3409" spans="1:4" x14ac:dyDescent="0.2">
      <c r="A3409" s="5">
        <v>3348</v>
      </c>
      <c r="B3409" s="138">
        <f>'Acct Summary 7-8'!G5</f>
        <v>0</v>
      </c>
      <c r="C3409" s="2" t="s">
        <v>594</v>
      </c>
      <c r="D3409" s="2" t="str">
        <f t="shared" si="52"/>
        <v>Error?</v>
      </c>
    </row>
    <row r="3410" spans="1:4" x14ac:dyDescent="0.2">
      <c r="A3410" s="10">
        <v>3349</v>
      </c>
      <c r="D3410" s="2" t="str">
        <f t="shared" si="52"/>
        <v>OK</v>
      </c>
    </row>
    <row r="3411" spans="1:4" x14ac:dyDescent="0.2">
      <c r="A3411" s="5">
        <v>3350</v>
      </c>
      <c r="B3411" s="138">
        <f>'Assets-Liab 5-6'!C4</f>
        <v>9146119</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684293</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345428</v>
      </c>
      <c r="D3417" s="2" t="str">
        <f t="shared" si="52"/>
        <v>Error?</v>
      </c>
    </row>
    <row r="3418" spans="1:4" x14ac:dyDescent="0.2">
      <c r="A3418" s="10">
        <v>3357</v>
      </c>
      <c r="D3418" s="2" t="str">
        <f t="shared" si="52"/>
        <v>OK</v>
      </c>
    </row>
    <row r="3419" spans="1:4" x14ac:dyDescent="0.2">
      <c r="A3419" s="5">
        <v>3358</v>
      </c>
      <c r="B3419" s="138">
        <f>'Assets-Liab 5-6'!F4</f>
        <v>392225</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285801</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1059694</v>
      </c>
      <c r="D3425" s="2" t="str">
        <f t="shared" si="52"/>
        <v>Error?</v>
      </c>
    </row>
    <row r="3426" spans="1:4" x14ac:dyDescent="0.2">
      <c r="A3426" s="10">
        <v>3365</v>
      </c>
      <c r="D3426" s="2" t="str">
        <f t="shared" si="52"/>
        <v>OK</v>
      </c>
    </row>
    <row r="3427" spans="1:4" x14ac:dyDescent="0.2">
      <c r="A3427" s="5">
        <v>3366</v>
      </c>
      <c r="B3427" s="138">
        <f>'Assets-Liab 5-6'!I4</f>
        <v>546423</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31441</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594</v>
      </c>
      <c r="D3444" s="2" t="str">
        <f t="shared" si="52"/>
        <v>OK</v>
      </c>
    </row>
    <row r="3445" spans="1:4" x14ac:dyDescent="0.2">
      <c r="A3445" s="10">
        <v>3384</v>
      </c>
      <c r="C3445" s="2" t="s">
        <v>594</v>
      </c>
      <c r="D3445" s="2" t="str">
        <f t="shared" si="52"/>
        <v>OK</v>
      </c>
    </row>
    <row r="3446" spans="1:4" x14ac:dyDescent="0.2">
      <c r="A3446" s="5">
        <v>3385</v>
      </c>
      <c r="B3446" s="138">
        <f>'Tax Sched 23'!B16</f>
        <v>322988</v>
      </c>
      <c r="C3446" s="2" t="s">
        <v>594</v>
      </c>
      <c r="D3446" s="2" t="str">
        <f t="shared" si="52"/>
        <v>Error?</v>
      </c>
    </row>
    <row r="3447" spans="1:4" x14ac:dyDescent="0.2">
      <c r="A3447" s="5">
        <v>3386</v>
      </c>
      <c r="B3447" s="138">
        <f>'Tax Sched 23'!D16</f>
        <v>160457</v>
      </c>
      <c r="C3447" s="2" t="s">
        <v>594</v>
      </c>
      <c r="D3447" s="2" t="str">
        <f t="shared" si="52"/>
        <v>Error?</v>
      </c>
    </row>
    <row r="3448" spans="1:4" x14ac:dyDescent="0.2">
      <c r="A3448" s="5">
        <v>3387</v>
      </c>
      <c r="B3448" s="138">
        <f>'Tax Sched 23'!C16</f>
        <v>162531</v>
      </c>
      <c r="D3448" s="2" t="str">
        <f t="shared" si="52"/>
        <v>Error?</v>
      </c>
    </row>
    <row r="3449" spans="1:4" x14ac:dyDescent="0.2">
      <c r="A3449" s="5">
        <v>3388</v>
      </c>
      <c r="B3449" s="138">
        <f>'Tax Sched 23'!F16</f>
        <v>159839</v>
      </c>
      <c r="C3449" s="2" t="s">
        <v>594</v>
      </c>
      <c r="D3449" s="2" t="str">
        <f t="shared" si="52"/>
        <v>Error?</v>
      </c>
    </row>
    <row r="3450" spans="1:4" x14ac:dyDescent="0.2">
      <c r="A3450" s="5">
        <v>3389</v>
      </c>
      <c r="B3450" s="138">
        <f>'Tax Sched 23'!E16</f>
        <v>322370</v>
      </c>
      <c r="D3450" s="2" t="str">
        <f t="shared" si="52"/>
        <v>Error?</v>
      </c>
    </row>
    <row r="3451" spans="1:4" x14ac:dyDescent="0.2">
      <c r="A3451" s="5">
        <v>3390</v>
      </c>
      <c r="B3451" s="138">
        <f>'Cap Outlay Deprec 26'!C15</f>
        <v>20252</v>
      </c>
      <c r="D3451" s="2" t="str">
        <f t="shared" si="52"/>
        <v>Error?</v>
      </c>
    </row>
    <row r="3452" spans="1:4" x14ac:dyDescent="0.2">
      <c r="A3452" s="5">
        <v>3391</v>
      </c>
      <c r="B3452" s="138">
        <f>'Cap Outlay Deprec 26'!D15</f>
        <v>0</v>
      </c>
      <c r="D3452" s="2" t="str">
        <f t="shared" si="52"/>
        <v>Error?</v>
      </c>
    </row>
    <row r="3453" spans="1:4" x14ac:dyDescent="0.2">
      <c r="A3453" s="5">
        <v>3392</v>
      </c>
      <c r="B3453" s="138">
        <f>'Cap Outlay Deprec 26'!E15</f>
        <v>20252</v>
      </c>
      <c r="D3453" s="2" t="str">
        <f t="shared" si="52"/>
        <v>Error?</v>
      </c>
    </row>
    <row r="3454" spans="1:4" x14ac:dyDescent="0.2">
      <c r="A3454" s="5">
        <v>3393</v>
      </c>
      <c r="B3454" s="138">
        <f>'Cap Outlay Deprec 26'!F15</f>
        <v>0</v>
      </c>
      <c r="C3454" s="2" t="s">
        <v>594</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0</v>
      </c>
      <c r="C3459" s="2" t="s">
        <v>594</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594</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138</v>
      </c>
    </row>
    <row r="3522" spans="1:4" x14ac:dyDescent="0.2">
      <c r="A3522" s="10">
        <v>3461</v>
      </c>
      <c r="D3522" s="2" t="s">
        <v>138</v>
      </c>
    </row>
    <row r="3523" spans="1:4" x14ac:dyDescent="0.2">
      <c r="A3523" s="10">
        <v>3462</v>
      </c>
      <c r="D3523" s="2" t="s">
        <v>138</v>
      </c>
    </row>
    <row r="3524" spans="1:4" x14ac:dyDescent="0.2">
      <c r="A3524" s="10">
        <v>3463</v>
      </c>
      <c r="D3524" s="2" t="s">
        <v>138</v>
      </c>
    </row>
    <row r="3525" spans="1:4" x14ac:dyDescent="0.2">
      <c r="A3525" s="10">
        <v>3464</v>
      </c>
      <c r="D3525" s="2" t="s">
        <v>138</v>
      </c>
    </row>
    <row r="3526" spans="1:4" x14ac:dyDescent="0.2">
      <c r="A3526" s="10">
        <v>3465</v>
      </c>
      <c r="D3526" s="2" t="s">
        <v>138</v>
      </c>
    </row>
    <row r="3527" spans="1:4" x14ac:dyDescent="0.2">
      <c r="A3527" s="10">
        <v>3466</v>
      </c>
      <c r="D3527" s="2" t="s">
        <v>138</v>
      </c>
    </row>
    <row r="3528" spans="1:4" x14ac:dyDescent="0.2">
      <c r="A3528" s="10">
        <v>3467</v>
      </c>
      <c r="D3528" s="2" t="s">
        <v>138</v>
      </c>
    </row>
    <row r="3529" spans="1:4" x14ac:dyDescent="0.2">
      <c r="A3529" s="10">
        <v>3468</v>
      </c>
      <c r="D3529" s="2" t="s">
        <v>138</v>
      </c>
    </row>
    <row r="3530" spans="1:4" x14ac:dyDescent="0.2">
      <c r="A3530" s="5">
        <v>3469</v>
      </c>
      <c r="B3530" s="138">
        <f>'Acct Summary 7-8'!C36</f>
        <v>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154507</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0</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154507</v>
      </c>
      <c r="C3552" s="2" t="s">
        <v>594</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594</v>
      </c>
      <c r="D3565" s="2" t="str">
        <f t="shared" si="54"/>
        <v>Error?</v>
      </c>
    </row>
    <row r="3566" spans="1:4" x14ac:dyDescent="0.2">
      <c r="A3566" s="5">
        <v>3505</v>
      </c>
      <c r="B3566" s="138">
        <f>'Assets-Liab 5-6'!K38</f>
        <v>0</v>
      </c>
      <c r="D3566" s="2" t="str">
        <f t="shared" si="54"/>
        <v>Error?</v>
      </c>
    </row>
    <row r="3567" spans="1:4" x14ac:dyDescent="0.2">
      <c r="A3567" s="5">
        <v>3506</v>
      </c>
      <c r="B3567" s="138">
        <f>'Assets-Liab 5-6'!K39</f>
        <v>154507</v>
      </c>
      <c r="D3567" s="2" t="str">
        <f t="shared" si="54"/>
        <v>Error?</v>
      </c>
    </row>
    <row r="3568" spans="1:4" x14ac:dyDescent="0.2">
      <c r="A3568" s="5">
        <v>3507</v>
      </c>
      <c r="B3568" s="138">
        <f>'Assets-Liab 5-6'!K41</f>
        <v>154507</v>
      </c>
      <c r="C3568" s="2" t="s">
        <v>594</v>
      </c>
      <c r="D3568" s="2" t="str">
        <f t="shared" si="54"/>
        <v>Error?</v>
      </c>
    </row>
    <row r="3569" spans="1:4" x14ac:dyDescent="0.2">
      <c r="A3569" s="5">
        <v>3508</v>
      </c>
      <c r="B3569" s="138">
        <f>'Acct Summary 7-8'!K4</f>
        <v>47490</v>
      </c>
      <c r="C3569" s="2" t="s">
        <v>594</v>
      </c>
      <c r="D3569" s="2" t="str">
        <f t="shared" si="54"/>
        <v>Error?</v>
      </c>
    </row>
    <row r="3570" spans="1:4" x14ac:dyDescent="0.2">
      <c r="A3570" s="5">
        <v>3509</v>
      </c>
      <c r="B3570" s="138">
        <f>'Acct Summary 7-8'!K6</f>
        <v>0</v>
      </c>
      <c r="C3570" s="2" t="s">
        <v>594</v>
      </c>
      <c r="D3570" s="2" t="str">
        <f t="shared" si="54"/>
        <v>Error?</v>
      </c>
    </row>
    <row r="3571" spans="1:4" x14ac:dyDescent="0.2">
      <c r="A3571" s="5">
        <v>3510</v>
      </c>
      <c r="B3571" s="138">
        <f>'Acct Summary 7-8'!K8</f>
        <v>47490</v>
      </c>
      <c r="C3571" s="2" t="s">
        <v>594</v>
      </c>
      <c r="D3571" s="2" t="str">
        <f t="shared" si="54"/>
        <v>Error?</v>
      </c>
    </row>
    <row r="3572" spans="1:4" x14ac:dyDescent="0.2">
      <c r="A3572" s="5">
        <v>3511</v>
      </c>
      <c r="B3572" s="138">
        <f>'Acct Summary 7-8'!K13</f>
        <v>0</v>
      </c>
      <c r="C3572" s="2" t="s">
        <v>594</v>
      </c>
      <c r="D3572" s="2" t="str">
        <f t="shared" si="54"/>
        <v>Error?</v>
      </c>
    </row>
    <row r="3573" spans="1:4" x14ac:dyDescent="0.2">
      <c r="A3573" s="5">
        <v>3512</v>
      </c>
      <c r="B3573" s="138">
        <f>'Acct Summary 7-8'!K15</f>
        <v>0</v>
      </c>
      <c r="C3573" s="2" t="s">
        <v>594</v>
      </c>
      <c r="D3573" s="2" t="str">
        <f t="shared" si="54"/>
        <v>Error?</v>
      </c>
    </row>
    <row r="3574" spans="1:4" x14ac:dyDescent="0.2">
      <c r="A3574" s="5">
        <v>3513</v>
      </c>
      <c r="B3574" s="138">
        <f>'Acct Summary 7-8'!K16</f>
        <v>0</v>
      </c>
      <c r="C3574" s="2" t="s">
        <v>594</v>
      </c>
      <c r="D3574" s="2" t="str">
        <f t="shared" si="54"/>
        <v>Error?</v>
      </c>
    </row>
    <row r="3575" spans="1:4" x14ac:dyDescent="0.2">
      <c r="A3575" s="5">
        <v>3514</v>
      </c>
      <c r="B3575" s="138">
        <f>'Acct Summary 7-8'!K17</f>
        <v>0</v>
      </c>
      <c r="C3575" s="2" t="s">
        <v>594</v>
      </c>
      <c r="D3575" s="2" t="str">
        <f t="shared" si="54"/>
        <v>Error?</v>
      </c>
    </row>
    <row r="3576" spans="1:4" x14ac:dyDescent="0.2">
      <c r="A3576" s="5">
        <v>3515</v>
      </c>
      <c r="B3576" s="138">
        <f>'Acct Summary 7-8'!K20</f>
        <v>47490</v>
      </c>
      <c r="C3576" s="2" t="s">
        <v>594</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594</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594</v>
      </c>
      <c r="D3586" s="2" t="str">
        <f t="shared" si="55"/>
        <v>Error?</v>
      </c>
    </row>
    <row r="3587" spans="1:4" x14ac:dyDescent="0.2">
      <c r="A3587" s="5">
        <v>3526</v>
      </c>
      <c r="B3587" s="138">
        <f>'Acct Summary 7-8'!K77</f>
        <v>0</v>
      </c>
      <c r="C3587" s="2" t="s">
        <v>594</v>
      </c>
      <c r="D3587" s="2" t="str">
        <f t="shared" si="55"/>
        <v>Error?</v>
      </c>
    </row>
    <row r="3588" spans="1:4" x14ac:dyDescent="0.2">
      <c r="A3588" s="5">
        <v>3527</v>
      </c>
      <c r="B3588" s="138">
        <f>'Acct Summary 7-8'!K78</f>
        <v>47490</v>
      </c>
      <c r="C3588" s="2" t="s">
        <v>594</v>
      </c>
      <c r="D3588" s="2" t="str">
        <f t="shared" si="55"/>
        <v>Error?</v>
      </c>
    </row>
    <row r="3589" spans="1:4" x14ac:dyDescent="0.2">
      <c r="A3589" s="5">
        <v>3528</v>
      </c>
      <c r="B3589" s="138">
        <f>'Acct Summary 7-8'!K79</f>
        <v>107017</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154507</v>
      </c>
      <c r="C3591" s="2" t="s">
        <v>594</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594</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594</v>
      </c>
      <c r="D3621" s="2" t="str">
        <f t="shared" si="55"/>
        <v>Error?</v>
      </c>
    </row>
    <row r="3622" spans="1:4" x14ac:dyDescent="0.2">
      <c r="A3622" s="5">
        <v>3561</v>
      </c>
      <c r="B3622" s="138">
        <f>'Expenditures 15-22'!C367</f>
        <v>0</v>
      </c>
      <c r="C3622" s="2" t="s">
        <v>594</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594</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594</v>
      </c>
      <c r="D3628" s="2" t="str">
        <f t="shared" si="55"/>
        <v>Error?</v>
      </c>
    </row>
    <row r="3629" spans="1:4" x14ac:dyDescent="0.2">
      <c r="A3629" s="5">
        <v>3568</v>
      </c>
      <c r="B3629" s="138">
        <f>'Expenditures 15-22'!D367</f>
        <v>0</v>
      </c>
      <c r="C3629" s="2" t="s">
        <v>594</v>
      </c>
      <c r="D3629" s="2" t="str">
        <f t="shared" si="55"/>
        <v>Error?</v>
      </c>
    </row>
    <row r="3630" spans="1:4" x14ac:dyDescent="0.2">
      <c r="A3630" s="10">
        <v>3569</v>
      </c>
      <c r="D3630" s="2" t="str">
        <f t="shared" si="55"/>
        <v>OK</v>
      </c>
    </row>
    <row r="3631" spans="1:4" x14ac:dyDescent="0.2">
      <c r="A3631" s="5">
        <v>3570</v>
      </c>
      <c r="B3631" s="138">
        <f>'Expenditures 15-22'!E348</f>
        <v>0</v>
      </c>
      <c r="D3631" s="2" t="str">
        <f t="shared" si="55"/>
        <v>Error?</v>
      </c>
    </row>
    <row r="3632" spans="1:4" x14ac:dyDescent="0.2">
      <c r="A3632" s="5">
        <v>3571</v>
      </c>
      <c r="B3632" s="138">
        <f>'Expenditures 15-22'!E349</f>
        <v>0</v>
      </c>
      <c r="D3632" s="2" t="str">
        <f t="shared" si="55"/>
        <v>Error?</v>
      </c>
    </row>
    <row r="3633" spans="1:4" x14ac:dyDescent="0.2">
      <c r="A3633" s="5">
        <v>3572</v>
      </c>
      <c r="B3633" s="138">
        <f>'Expenditures 15-22'!E350</f>
        <v>0</v>
      </c>
      <c r="C3633" s="2" t="s">
        <v>594</v>
      </c>
      <c r="D3633" s="2" t="str">
        <f t="shared" si="55"/>
        <v>Error?</v>
      </c>
    </row>
    <row r="3634" spans="1:4" x14ac:dyDescent="0.2">
      <c r="A3634" s="5">
        <v>3573</v>
      </c>
      <c r="B3634" s="138">
        <f>'Expenditures 15-22'!E351</f>
        <v>0</v>
      </c>
      <c r="D3634" s="2" t="str">
        <f t="shared" si="55"/>
        <v>Error?</v>
      </c>
    </row>
    <row r="3635" spans="1:4" x14ac:dyDescent="0.2">
      <c r="A3635" s="5">
        <v>3574</v>
      </c>
      <c r="B3635" s="138">
        <f>'Expenditures 15-22'!E352</f>
        <v>0</v>
      </c>
      <c r="C3635" s="2" t="s">
        <v>594</v>
      </c>
      <c r="D3635" s="2" t="str">
        <f t="shared" si="55"/>
        <v>Error?</v>
      </c>
    </row>
    <row r="3636" spans="1:4" x14ac:dyDescent="0.2">
      <c r="A3636" s="5">
        <v>3575</v>
      </c>
      <c r="B3636" s="138">
        <f>'Expenditures 15-22'!E367</f>
        <v>0</v>
      </c>
      <c r="C3636" s="2" t="s">
        <v>594</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594</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594</v>
      </c>
      <c r="D3642" s="2" t="str">
        <f t="shared" si="55"/>
        <v>Error?</v>
      </c>
    </row>
    <row r="3643" spans="1:4" x14ac:dyDescent="0.2">
      <c r="A3643" s="5">
        <v>3582</v>
      </c>
      <c r="B3643" s="138">
        <f>'Expenditures 15-22'!F367</f>
        <v>0</v>
      </c>
      <c r="C3643" s="2" t="s">
        <v>594</v>
      </c>
      <c r="D3643" s="2" t="str">
        <f t="shared" si="55"/>
        <v>Error?</v>
      </c>
    </row>
    <row r="3644" spans="1:4" x14ac:dyDescent="0.2">
      <c r="A3644" s="10">
        <v>3583</v>
      </c>
      <c r="D3644" s="2" t="str">
        <f t="shared" si="55"/>
        <v>OK</v>
      </c>
    </row>
    <row r="3645" spans="1:4" x14ac:dyDescent="0.2">
      <c r="A3645" s="5">
        <v>3584</v>
      </c>
      <c r="B3645" s="138">
        <f>'Expenditures 15-22'!G348</f>
        <v>0</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0</v>
      </c>
      <c r="C3647" s="2" t="s">
        <v>594</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0</v>
      </c>
      <c r="C3649" s="2" t="s">
        <v>594</v>
      </c>
      <c r="D3649" s="2" t="str">
        <f t="shared" si="56"/>
        <v>Error?</v>
      </c>
    </row>
    <row r="3650" spans="1:4" x14ac:dyDescent="0.2">
      <c r="A3650" s="5">
        <v>3589</v>
      </c>
      <c r="B3650" s="138">
        <f>'Expenditures 15-22'!G367</f>
        <v>0</v>
      </c>
      <c r="C3650" s="2" t="s">
        <v>594</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594</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594</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594</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594</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0</v>
      </c>
      <c r="C3668" s="2" t="s">
        <v>594</v>
      </c>
      <c r="D3668" s="2" t="str">
        <f t="shared" si="56"/>
        <v>Error?</v>
      </c>
    </row>
    <row r="3669" spans="1:4" x14ac:dyDescent="0.2">
      <c r="A3669" s="5">
        <v>3608</v>
      </c>
      <c r="B3669" s="138">
        <f>'Expenditures 15-22'!K349</f>
        <v>0</v>
      </c>
      <c r="C3669" s="2" t="s">
        <v>594</v>
      </c>
      <c r="D3669" s="2" t="str">
        <f t="shared" si="56"/>
        <v>Error?</v>
      </c>
    </row>
    <row r="3670" spans="1:4" x14ac:dyDescent="0.2">
      <c r="A3670" s="5">
        <v>3609</v>
      </c>
      <c r="B3670" s="138">
        <f>'Expenditures 15-22'!K350</f>
        <v>0</v>
      </c>
      <c r="C3670" s="2" t="s">
        <v>594</v>
      </c>
      <c r="D3670" s="2" t="str">
        <f t="shared" si="56"/>
        <v>Error?</v>
      </c>
    </row>
    <row r="3671" spans="1:4" x14ac:dyDescent="0.2">
      <c r="A3671" s="5">
        <v>3610</v>
      </c>
      <c r="B3671" s="138">
        <f>'Expenditures 15-22'!K351</f>
        <v>0</v>
      </c>
      <c r="C3671" s="2" t="s">
        <v>594</v>
      </c>
      <c r="D3671" s="2" t="str">
        <f t="shared" si="56"/>
        <v>Error?</v>
      </c>
    </row>
    <row r="3672" spans="1:4" x14ac:dyDescent="0.2">
      <c r="A3672" s="5">
        <v>3611</v>
      </c>
      <c r="B3672" s="138">
        <f>'Expenditures 15-22'!K352</f>
        <v>0</v>
      </c>
      <c r="C3672" s="2" t="s">
        <v>594</v>
      </c>
      <c r="D3672" s="2" t="str">
        <f t="shared" si="56"/>
        <v>Error?</v>
      </c>
    </row>
    <row r="3673" spans="1:4" x14ac:dyDescent="0.2">
      <c r="A3673" s="5">
        <v>3612</v>
      </c>
      <c r="B3673" s="138">
        <f>'Expenditures 15-22'!K354</f>
        <v>0</v>
      </c>
      <c r="C3673" s="2" t="s">
        <v>594</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594</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0</v>
      </c>
      <c r="C3678" s="2" t="s">
        <v>594</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47490</v>
      </c>
      <c r="C3681" s="2" t="s">
        <v>594</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594</v>
      </c>
      <c r="D3688" s="2" t="str">
        <f t="shared" si="56"/>
        <v>Error?</v>
      </c>
    </row>
    <row r="3689" spans="1:4" x14ac:dyDescent="0.2">
      <c r="A3689" s="5">
        <v>3628</v>
      </c>
      <c r="B3689" s="138">
        <f>'Short-Term Long-Term Debt 24'!F19</f>
        <v>0</v>
      </c>
      <c r="C3689" s="2" t="s">
        <v>594</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594</v>
      </c>
      <c r="D3702" s="2" t="str">
        <f t="shared" si="56"/>
        <v>Error?</v>
      </c>
    </row>
    <row r="3703" spans="1:4" x14ac:dyDescent="0.2">
      <c r="A3703" s="5">
        <v>3642</v>
      </c>
      <c r="B3703" s="138">
        <f>'Acct Summary 7-8'!K53</f>
        <v>0</v>
      </c>
      <c r="C3703" s="2" t="s">
        <v>594</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594</v>
      </c>
      <c r="D3717" s="2" t="str">
        <f t="shared" si="57"/>
        <v>Error?</v>
      </c>
    </row>
    <row r="3718" spans="1:4" x14ac:dyDescent="0.2">
      <c r="A3718" s="5">
        <v>3657</v>
      </c>
      <c r="B3718" s="138">
        <f>'Acct Summary 7-8'!K7</f>
        <v>0</v>
      </c>
      <c r="C3718" s="2" t="s">
        <v>594</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0</v>
      </c>
      <c r="D3721" s="2" t="str">
        <f t="shared" si="57"/>
        <v>Error?</v>
      </c>
    </row>
    <row r="3722" spans="1:4" x14ac:dyDescent="0.2">
      <c r="A3722" s="5">
        <v>3661</v>
      </c>
      <c r="B3722" s="138">
        <f>'Expenditures 15-22'!D285</f>
        <v>0</v>
      </c>
      <c r="C3722" s="2" t="s">
        <v>594</v>
      </c>
      <c r="D3722" s="2" t="str">
        <f t="shared" si="57"/>
        <v>Error?</v>
      </c>
    </row>
    <row r="3723" spans="1:4" x14ac:dyDescent="0.2">
      <c r="A3723" s="5">
        <v>3662</v>
      </c>
      <c r="B3723" s="138">
        <f>'Expenditures 15-22'!K283</f>
        <v>0</v>
      </c>
      <c r="C3723" s="2" t="s">
        <v>594</v>
      </c>
      <c r="D3723" s="2" t="str">
        <f t="shared" si="57"/>
        <v>Error?</v>
      </c>
    </row>
    <row r="3724" spans="1:4" x14ac:dyDescent="0.2">
      <c r="A3724" s="5">
        <v>3663</v>
      </c>
      <c r="B3724" s="138">
        <f>'Expenditures 15-22'!K285</f>
        <v>0</v>
      </c>
      <c r="C3724" s="2" t="s">
        <v>594</v>
      </c>
      <c r="D3724" s="2" t="str">
        <f t="shared" si="57"/>
        <v>Error?</v>
      </c>
    </row>
    <row r="3725" spans="1:4" x14ac:dyDescent="0.2">
      <c r="A3725" s="5">
        <v>3664</v>
      </c>
      <c r="B3725" s="138">
        <f>'Tax Sched 23'!B13</f>
        <v>0</v>
      </c>
      <c r="C3725" s="2" t="s">
        <v>594</v>
      </c>
      <c r="D3725" s="2" t="str">
        <f t="shared" si="57"/>
        <v>Error?</v>
      </c>
    </row>
    <row r="3726" spans="1:4" x14ac:dyDescent="0.2">
      <c r="A3726" s="5">
        <v>3665</v>
      </c>
      <c r="B3726" s="138">
        <f>'Tax Sched 23'!D13</f>
        <v>0</v>
      </c>
      <c r="C3726" s="2" t="s">
        <v>594</v>
      </c>
      <c r="D3726" s="2" t="str">
        <f t="shared" si="57"/>
        <v>Error?</v>
      </c>
    </row>
    <row r="3727" spans="1:4" x14ac:dyDescent="0.2">
      <c r="A3727" s="5">
        <v>3666</v>
      </c>
      <c r="B3727" s="138">
        <f>'Tax Sched 23'!C13</f>
        <v>0</v>
      </c>
      <c r="D3727" s="2" t="str">
        <f t="shared" si="57"/>
        <v>Error?</v>
      </c>
    </row>
    <row r="3728" spans="1:4" x14ac:dyDescent="0.2">
      <c r="A3728" s="5">
        <v>3667</v>
      </c>
      <c r="B3728" s="138">
        <f>'Tax Sched 23'!F13</f>
        <v>0</v>
      </c>
      <c r="C3728" s="2" t="s">
        <v>594</v>
      </c>
      <c r="D3728" s="2" t="str">
        <f t="shared" si="57"/>
        <v>Error?</v>
      </c>
    </row>
    <row r="3729" spans="1:4" x14ac:dyDescent="0.2">
      <c r="A3729" s="5">
        <v>3668</v>
      </c>
      <c r="B3729" s="138">
        <f>'Tax Sched 23'!E13</f>
        <v>0</v>
      </c>
      <c r="D3729" s="2" t="str">
        <f t="shared" si="57"/>
        <v>Error?</v>
      </c>
    </row>
    <row r="3730" spans="1:4" x14ac:dyDescent="0.2">
      <c r="A3730" s="5">
        <v>3669</v>
      </c>
      <c r="B3730" s="138">
        <f>'ICR Computation 30'!E10</f>
        <v>408184</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594</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594</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594</v>
      </c>
      <c r="D4098" s="2" t="str">
        <f t="shared" si="63"/>
        <v>OK</v>
      </c>
    </row>
    <row r="4099" spans="1:4" x14ac:dyDescent="0.2">
      <c r="A4099" s="5">
        <v>4038</v>
      </c>
      <c r="B4099" s="138">
        <f>'Expenditures 15-22'!K307</f>
        <v>0</v>
      </c>
      <c r="C4099" s="2" t="s">
        <v>594</v>
      </c>
      <c r="D4099" s="2" t="str">
        <f t="shared" si="63"/>
        <v>Error?</v>
      </c>
    </row>
    <row r="4100" spans="1:4" x14ac:dyDescent="0.2">
      <c r="A4100" s="5">
        <v>4039</v>
      </c>
      <c r="B4100" s="138">
        <f>'Expenditures 15-22'!K308</f>
        <v>0</v>
      </c>
      <c r="C4100" s="2" t="s">
        <v>594</v>
      </c>
      <c r="D4100" s="2" t="str">
        <f t="shared" si="63"/>
        <v>Error?</v>
      </c>
    </row>
    <row r="4101" spans="1:4" x14ac:dyDescent="0.2">
      <c r="A4101" s="10">
        <v>4040</v>
      </c>
      <c r="C4101" s="2" t="s">
        <v>594</v>
      </c>
      <c r="D4101" s="2" t="str">
        <f t="shared" si="63"/>
        <v>OK</v>
      </c>
    </row>
    <row r="4102" spans="1:4" x14ac:dyDescent="0.2">
      <c r="A4102" s="5">
        <v>4041</v>
      </c>
      <c r="B4102" s="138">
        <f>'Tax Sched 23'!B17</f>
        <v>0</v>
      </c>
      <c r="C4102" s="2" t="s">
        <v>594</v>
      </c>
      <c r="D4102" s="2" t="str">
        <f t="shared" si="63"/>
        <v>Error?</v>
      </c>
    </row>
    <row r="4103" spans="1:4" x14ac:dyDescent="0.2">
      <c r="A4103" s="5">
        <v>4042</v>
      </c>
      <c r="B4103" s="138">
        <f>'Tax Sched 23'!B18</f>
        <v>0</v>
      </c>
      <c r="C4103" s="2" t="s">
        <v>594</v>
      </c>
      <c r="D4103" s="2" t="str">
        <f t="shared" si="63"/>
        <v>Error?</v>
      </c>
    </row>
    <row r="4104" spans="1:4" x14ac:dyDescent="0.2">
      <c r="A4104" s="5">
        <v>4043</v>
      </c>
      <c r="B4104" s="138">
        <f>'Tax Sched 23'!D17</f>
        <v>0</v>
      </c>
      <c r="C4104" s="2" t="s">
        <v>594</v>
      </c>
      <c r="D4104" s="2" t="str">
        <f t="shared" si="63"/>
        <v>Error?</v>
      </c>
    </row>
    <row r="4105" spans="1:4" x14ac:dyDescent="0.2">
      <c r="A4105" s="5">
        <v>4044</v>
      </c>
      <c r="B4105" s="138">
        <f>'Tax Sched 23'!D18</f>
        <v>0</v>
      </c>
      <c r="C4105" s="2" t="s">
        <v>594</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594</v>
      </c>
      <c r="D4108" s="2" t="str">
        <f t="shared" si="63"/>
        <v>Error?</v>
      </c>
    </row>
    <row r="4109" spans="1:4" x14ac:dyDescent="0.2">
      <c r="A4109" s="5">
        <v>4048</v>
      </c>
      <c r="B4109" s="138">
        <f>'Tax Sched 23'!F18</f>
        <v>0</v>
      </c>
      <c r="C4109" s="2" t="s">
        <v>594</v>
      </c>
      <c r="D4109" s="2" t="str">
        <f t="shared" si="63"/>
        <v>Error?</v>
      </c>
    </row>
    <row r="4110" spans="1:4" x14ac:dyDescent="0.2">
      <c r="A4110" s="5">
        <v>4049</v>
      </c>
      <c r="B4110" s="138">
        <f>'Tax Sched 23'!E17</f>
        <v>0</v>
      </c>
      <c r="C4110" s="2" t="s">
        <v>594</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3564224</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21066836</v>
      </c>
      <c r="C4122" s="2" t="s">
        <v>594</v>
      </c>
      <c r="D4122" s="2" t="str">
        <f t="shared" si="63"/>
        <v>Error?</v>
      </c>
    </row>
    <row r="4123" spans="1:4" x14ac:dyDescent="0.2">
      <c r="A4123" s="5">
        <v>4062</v>
      </c>
      <c r="B4123" s="138">
        <f>'Acct Summary 7-8'!D10</f>
        <v>1673074</v>
      </c>
      <c r="C4123" s="2" t="s">
        <v>594</v>
      </c>
      <c r="D4123" s="2" t="str">
        <f t="shared" si="63"/>
        <v>Error?</v>
      </c>
    </row>
    <row r="4124" spans="1:4" x14ac:dyDescent="0.2">
      <c r="A4124" s="5">
        <v>4063</v>
      </c>
      <c r="B4124" s="138">
        <f>'Acct Summary 7-8'!E10</f>
        <v>1847297</v>
      </c>
      <c r="C4124" s="2" t="s">
        <v>594</v>
      </c>
      <c r="D4124" s="2" t="str">
        <f t="shared" si="63"/>
        <v>Error?</v>
      </c>
    </row>
    <row r="4125" spans="1:4" x14ac:dyDescent="0.2">
      <c r="A4125" s="5">
        <v>4064</v>
      </c>
      <c r="B4125" s="138">
        <f>'Acct Summary 7-8'!F10</f>
        <v>956667</v>
      </c>
      <c r="C4125" s="2" t="s">
        <v>594</v>
      </c>
      <c r="D4125" s="2" t="str">
        <f t="shared" si="63"/>
        <v>Error?</v>
      </c>
    </row>
    <row r="4126" spans="1:4" x14ac:dyDescent="0.2">
      <c r="A4126" s="5">
        <v>4065</v>
      </c>
      <c r="B4126" s="138">
        <f>'Acct Summary 7-8'!G10</f>
        <v>614908</v>
      </c>
      <c r="C4126" s="2" t="s">
        <v>594</v>
      </c>
      <c r="D4126" s="2" t="str">
        <f t="shared" si="63"/>
        <v>Error?</v>
      </c>
    </row>
    <row r="4127" spans="1:4" x14ac:dyDescent="0.2">
      <c r="A4127" s="5">
        <v>4066</v>
      </c>
      <c r="B4127" s="138">
        <f>'Acct Summary 7-8'!H10</f>
        <v>226262</v>
      </c>
      <c r="C4127" s="2" t="s">
        <v>594</v>
      </c>
      <c r="D4127" s="2" t="str">
        <f t="shared" si="63"/>
        <v>Error?</v>
      </c>
    </row>
    <row r="4128" spans="1:4" x14ac:dyDescent="0.2">
      <c r="A4128" s="5">
        <v>4067</v>
      </c>
      <c r="B4128" s="138">
        <f>'Acct Summary 7-8'!I10</f>
        <v>10573</v>
      </c>
      <c r="C4128" s="2" t="s">
        <v>594</v>
      </c>
      <c r="D4128" s="2" t="str">
        <f t="shared" si="63"/>
        <v>Error?</v>
      </c>
    </row>
    <row r="4129" spans="1:4" x14ac:dyDescent="0.2">
      <c r="A4129" s="10">
        <v>4068</v>
      </c>
      <c r="C4129" s="2" t="s">
        <v>594</v>
      </c>
      <c r="D4129" s="2" t="str">
        <f t="shared" si="63"/>
        <v>OK</v>
      </c>
    </row>
    <row r="4130" spans="1:4" x14ac:dyDescent="0.2">
      <c r="A4130" s="5">
        <v>4069</v>
      </c>
      <c r="B4130" s="138">
        <f>'Acct Summary 7-8'!K10</f>
        <v>47490</v>
      </c>
      <c r="C4130" s="2" t="s">
        <v>594</v>
      </c>
      <c r="D4130" s="2" t="str">
        <f t="shared" si="63"/>
        <v>Error?</v>
      </c>
    </row>
    <row r="4131" spans="1:4" x14ac:dyDescent="0.2">
      <c r="A4131" s="5">
        <v>4070</v>
      </c>
      <c r="B4131" s="138">
        <f>'Acct Summary 7-8'!C18</f>
        <v>3564224</v>
      </c>
      <c r="C4131" s="2" t="s">
        <v>594</v>
      </c>
      <c r="D4131" s="2" t="str">
        <f t="shared" si="63"/>
        <v>Error?</v>
      </c>
    </row>
    <row r="4132" spans="1:4" x14ac:dyDescent="0.2">
      <c r="A4132" s="5">
        <v>4071</v>
      </c>
      <c r="B4132" s="138">
        <f>'Acct Summary 7-8'!D18</f>
        <v>0</v>
      </c>
      <c r="C4132" s="2" t="s">
        <v>594</v>
      </c>
      <c r="D4132" s="2" t="str">
        <f t="shared" si="63"/>
        <v>Error?</v>
      </c>
    </row>
    <row r="4133" spans="1:4" x14ac:dyDescent="0.2">
      <c r="A4133" s="5">
        <v>4072</v>
      </c>
      <c r="B4133" s="138">
        <f>'Acct Summary 7-8'!F18</f>
        <v>0</v>
      </c>
      <c r="C4133" s="2" t="s">
        <v>594</v>
      </c>
      <c r="D4133" s="2" t="str">
        <f t="shared" si="63"/>
        <v>Error?</v>
      </c>
    </row>
    <row r="4134" spans="1:4" x14ac:dyDescent="0.2">
      <c r="A4134" s="5">
        <v>4073</v>
      </c>
      <c r="B4134" s="138">
        <f>'Acct Summary 7-8'!H18</f>
        <v>0</v>
      </c>
      <c r="C4134" s="2" t="s">
        <v>594</v>
      </c>
      <c r="D4134" s="2" t="str">
        <f t="shared" si="63"/>
        <v>Error?</v>
      </c>
    </row>
    <row r="4135" spans="1:4" x14ac:dyDescent="0.2">
      <c r="A4135" s="5">
        <v>4074</v>
      </c>
      <c r="B4135" s="138">
        <f>'Acct Summary 7-8'!K18</f>
        <v>0</v>
      </c>
      <c r="C4135" s="2" t="s">
        <v>594</v>
      </c>
      <c r="D4135" s="2" t="str">
        <f t="shared" si="63"/>
        <v>Error?</v>
      </c>
    </row>
    <row r="4136" spans="1:4" x14ac:dyDescent="0.2">
      <c r="A4136" s="5">
        <v>4075</v>
      </c>
      <c r="B4136" s="138">
        <f>'Acct Summary 7-8'!C19</f>
        <v>20321728</v>
      </c>
      <c r="C4136" s="2" t="s">
        <v>594</v>
      </c>
      <c r="D4136" s="2" t="str">
        <f t="shared" si="63"/>
        <v>Error?</v>
      </c>
    </row>
    <row r="4137" spans="1:4" x14ac:dyDescent="0.2">
      <c r="A4137" s="5">
        <v>4076</v>
      </c>
      <c r="B4137" s="138">
        <f>'Acct Summary 7-8'!D19</f>
        <v>1248253</v>
      </c>
      <c r="C4137" s="2" t="s">
        <v>594</v>
      </c>
      <c r="D4137" s="2" t="str">
        <f t="shared" si="63"/>
        <v>Error?</v>
      </c>
    </row>
    <row r="4138" spans="1:4" x14ac:dyDescent="0.2">
      <c r="A4138" s="5">
        <v>4077</v>
      </c>
      <c r="B4138" s="138">
        <f>'Acct Summary 7-8'!E19</f>
        <v>1904666</v>
      </c>
      <c r="C4138" s="2" t="s">
        <v>594</v>
      </c>
      <c r="D4138" s="2" t="str">
        <f t="shared" si="63"/>
        <v>Error?</v>
      </c>
    </row>
    <row r="4139" spans="1:4" x14ac:dyDescent="0.2">
      <c r="A4139" s="5">
        <v>4078</v>
      </c>
      <c r="B4139" s="138">
        <f>'Acct Summary 7-8'!F19</f>
        <v>720351</v>
      </c>
      <c r="C4139" s="2" t="s">
        <v>594</v>
      </c>
      <c r="D4139" s="2" t="str">
        <f t="shared" si="63"/>
        <v>Error?</v>
      </c>
    </row>
    <row r="4140" spans="1:4" x14ac:dyDescent="0.2">
      <c r="A4140" s="5">
        <v>4079</v>
      </c>
      <c r="B4140" s="138">
        <f>'Acct Summary 7-8'!G19</f>
        <v>582943</v>
      </c>
      <c r="C4140" s="2" t="s">
        <v>594</v>
      </c>
      <c r="D4140" s="2" t="str">
        <f t="shared" si="63"/>
        <v>Error?</v>
      </c>
    </row>
    <row r="4141" spans="1:4" x14ac:dyDescent="0.2">
      <c r="A4141" s="5">
        <v>4080</v>
      </c>
      <c r="B4141" s="138">
        <f>'Acct Summary 7-8'!H19</f>
        <v>3519928</v>
      </c>
      <c r="C4141" s="2" t="s">
        <v>594</v>
      </c>
      <c r="D4141" s="2" t="str">
        <f t="shared" si="63"/>
        <v>Error?</v>
      </c>
    </row>
    <row r="4142" spans="1:4" x14ac:dyDescent="0.2">
      <c r="A4142" s="10">
        <v>4081</v>
      </c>
      <c r="D4142" s="2" t="str">
        <f t="shared" si="63"/>
        <v>OK</v>
      </c>
    </row>
    <row r="4143" spans="1:4" x14ac:dyDescent="0.2">
      <c r="A4143" s="10">
        <v>4082</v>
      </c>
      <c r="C4143" s="2" t="s">
        <v>594</v>
      </c>
      <c r="D4143" s="2" t="str">
        <f t="shared" si="63"/>
        <v>OK</v>
      </c>
    </row>
    <row r="4144" spans="1:4" x14ac:dyDescent="0.2">
      <c r="A4144" s="5">
        <v>4083</v>
      </c>
      <c r="B4144" s="138">
        <f>'Acct Summary 7-8'!K19</f>
        <v>0</v>
      </c>
      <c r="C4144" s="2" t="s">
        <v>594</v>
      </c>
      <c r="D4144" s="2" t="str">
        <f t="shared" si="63"/>
        <v>Error?</v>
      </c>
    </row>
    <row r="4145" spans="1:4" x14ac:dyDescent="0.2">
      <c r="A4145" s="10">
        <v>4084</v>
      </c>
      <c r="C4145" s="2" t="s">
        <v>594</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594</v>
      </c>
      <c r="D4150" s="2" t="str">
        <f t="shared" si="63"/>
        <v>OK</v>
      </c>
    </row>
    <row r="4151" spans="1:4" x14ac:dyDescent="0.2">
      <c r="A4151" s="10">
        <v>4090</v>
      </c>
      <c r="C4151" s="2" t="s">
        <v>594</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594</v>
      </c>
      <c r="D4156" s="2" t="str">
        <f t="shared" si="63"/>
        <v>Error?</v>
      </c>
    </row>
    <row r="4157" spans="1:4" x14ac:dyDescent="0.2">
      <c r="A4157" s="5">
        <v>4096</v>
      </c>
      <c r="B4157" s="138">
        <f>'Expenditures 15-22'!K204</f>
        <v>0</v>
      </c>
      <c r="C4157" s="2" t="s">
        <v>594</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594</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594</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594</v>
      </c>
      <c r="D4170" s="2" t="str">
        <f t="shared" si="64"/>
        <v>OK</v>
      </c>
    </row>
    <row r="4171" spans="1:4" x14ac:dyDescent="0.2">
      <c r="A4171" s="5">
        <v>4110</v>
      </c>
      <c r="B4171" s="138">
        <f>'Short-Term Long-Term Debt 24'!I49</f>
        <v>20320909</v>
      </c>
      <c r="C4171" s="2" t="s">
        <v>594</v>
      </c>
      <c r="D4171" s="2" t="str">
        <f t="shared" si="64"/>
        <v>Error?</v>
      </c>
    </row>
    <row r="4172" spans="1:4" x14ac:dyDescent="0.2">
      <c r="A4172" s="5">
        <v>4111</v>
      </c>
      <c r="B4172" s="138">
        <f>'Short-Term Long-Term Debt 24'!J49</f>
        <v>19975481</v>
      </c>
      <c r="C4172" s="2" t="s">
        <v>594</v>
      </c>
      <c r="D4172" s="2" t="str">
        <f t="shared" si="64"/>
        <v>Error?</v>
      </c>
    </row>
    <row r="4173" spans="1:4" x14ac:dyDescent="0.2">
      <c r="A4173" s="5">
        <v>4112</v>
      </c>
      <c r="B4173" s="138">
        <f>'Short-Term Long-Term Debt 24'!H49</f>
        <v>875240</v>
      </c>
      <c r="C4173" s="2" t="s">
        <v>594</v>
      </c>
      <c r="D4173" s="2" t="str">
        <f t="shared" si="64"/>
        <v>Error?</v>
      </c>
    </row>
    <row r="4174" spans="1:4" x14ac:dyDescent="0.2">
      <c r="A4174" s="10">
        <v>4113</v>
      </c>
      <c r="C4174" s="2" t="s">
        <v>594</v>
      </c>
      <c r="D4174" s="2" t="str">
        <f t="shared" si="64"/>
        <v>OK</v>
      </c>
    </row>
    <row r="4175" spans="1:4" x14ac:dyDescent="0.2">
      <c r="A4175" s="5">
        <v>4114</v>
      </c>
      <c r="B4175" s="138">
        <f>'Acct Summary 7-8'!E18</f>
        <v>0</v>
      </c>
      <c r="C4175" s="2" t="s">
        <v>594</v>
      </c>
      <c r="D4175" s="2" t="str">
        <f t="shared" si="64"/>
        <v>Error?</v>
      </c>
    </row>
    <row r="4176" spans="1:4" x14ac:dyDescent="0.2">
      <c r="A4176" s="5">
        <v>4115</v>
      </c>
      <c r="B4176" s="138">
        <f>'Acct Summary 7-8'!G18</f>
        <v>0</v>
      </c>
      <c r="C4176" s="2" t="s">
        <v>594</v>
      </c>
      <c r="D4176" s="2" t="str">
        <f t="shared" si="64"/>
        <v>Error?</v>
      </c>
    </row>
    <row r="4177" spans="1:4" x14ac:dyDescent="0.2">
      <c r="A4177" s="5">
        <v>4116</v>
      </c>
      <c r="B4177" s="138">
        <f>'Short-Term Long-Term Debt 24'!G49</f>
        <v>0</v>
      </c>
      <c r="D4177" s="2" t="str">
        <f t="shared" si="64"/>
        <v>Error?</v>
      </c>
    </row>
    <row r="4178" spans="1:4" x14ac:dyDescent="0.2">
      <c r="A4178" s="10">
        <v>4117</v>
      </c>
      <c r="C4178" s="2" t="s">
        <v>594</v>
      </c>
      <c r="D4178" s="2" t="str">
        <f t="shared" si="64"/>
        <v>OK</v>
      </c>
    </row>
    <row r="4179" spans="1:4" x14ac:dyDescent="0.2">
      <c r="A4179" s="5">
        <v>4118</v>
      </c>
      <c r="B4179" s="138">
        <f>'Revenues 9-14'!D164</f>
        <v>0</v>
      </c>
      <c r="D4179" s="2" t="str">
        <f t="shared" si="64"/>
        <v>Error?</v>
      </c>
    </row>
    <row r="4180" spans="1:4" x14ac:dyDescent="0.2">
      <c r="A4180" s="5">
        <v>4119</v>
      </c>
      <c r="B4180" s="138">
        <f>'Revenues 9-14'!F164</f>
        <v>0</v>
      </c>
      <c r="D4180" s="2" t="str">
        <f t="shared" si="64"/>
        <v>Error?</v>
      </c>
    </row>
    <row r="4181" spans="1:4" x14ac:dyDescent="0.2">
      <c r="A4181" s="5">
        <v>4120</v>
      </c>
      <c r="B4181" s="138">
        <f>'Revenues 9-14'!G164</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9-14'!C269</f>
        <v>0</v>
      </c>
      <c r="D4189" s="2" t="str">
        <f t="shared" si="64"/>
        <v>Error?</v>
      </c>
    </row>
    <row r="4190" spans="1:4" x14ac:dyDescent="0.2">
      <c r="A4190" s="5">
        <v>4129</v>
      </c>
      <c r="B4190" s="138">
        <f>'Revenues 9-14'!D269</f>
        <v>0</v>
      </c>
      <c r="D4190" s="2" t="str">
        <f t="shared" si="64"/>
        <v>Error?</v>
      </c>
    </row>
    <row r="4191" spans="1:4" x14ac:dyDescent="0.2">
      <c r="A4191" s="5">
        <v>4130</v>
      </c>
      <c r="B4191" s="138">
        <f>'Revenues 9-14'!F269</f>
        <v>0</v>
      </c>
      <c r="D4191" s="2" t="str">
        <f t="shared" si="64"/>
        <v>Error?</v>
      </c>
    </row>
    <row r="4192" spans="1:4" x14ac:dyDescent="0.2">
      <c r="A4192" s="5">
        <v>4131</v>
      </c>
      <c r="B4192" s="138">
        <f>'Revenues 9-14'!G269</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594</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594</v>
      </c>
      <c r="D4202" s="2" t="str">
        <f t="shared" si="64"/>
        <v>Error?</v>
      </c>
    </row>
    <row r="4203" spans="1:4" x14ac:dyDescent="0.2">
      <c r="A4203" s="5">
        <v>4142</v>
      </c>
      <c r="B4203" s="138">
        <f>'Expenditures 15-22'!E139</f>
        <v>0</v>
      </c>
      <c r="C4203" s="2" t="s">
        <v>594</v>
      </c>
      <c r="D4203" s="2" t="str">
        <f t="shared" si="64"/>
        <v>Error?</v>
      </c>
    </row>
    <row r="4204" spans="1:4" x14ac:dyDescent="0.2">
      <c r="A4204" s="10">
        <v>4143</v>
      </c>
      <c r="D4204" s="2" t="str">
        <f t="shared" si="64"/>
        <v>OK</v>
      </c>
    </row>
    <row r="4205" spans="1:4" x14ac:dyDescent="0.2">
      <c r="A4205" s="10">
        <v>4144</v>
      </c>
      <c r="C4205" s="2" t="s">
        <v>594</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0</v>
      </c>
      <c r="D4210" s="2" t="str">
        <f t="shared" si="64"/>
        <v>Error?</v>
      </c>
    </row>
    <row r="4211" spans="1:4" x14ac:dyDescent="0.2">
      <c r="A4211" s="5">
        <v>4150</v>
      </c>
      <c r="B4211" s="138">
        <f>'Expenditures 15-22'!K206</f>
        <v>0</v>
      </c>
      <c r="C4211" s="2" t="s">
        <v>594</v>
      </c>
      <c r="D4211" s="2" t="str">
        <f t="shared" si="64"/>
        <v>Error?</v>
      </c>
    </row>
    <row r="4212" spans="1:4" x14ac:dyDescent="0.2">
      <c r="A4212" s="10">
        <v>4151</v>
      </c>
      <c r="D4212" s="2" t="str">
        <f t="shared" si="64"/>
        <v>OK</v>
      </c>
    </row>
    <row r="4213" spans="1:4" x14ac:dyDescent="0.2">
      <c r="A4213" s="10">
        <v>4152</v>
      </c>
      <c r="C4213" s="2" t="s">
        <v>594</v>
      </c>
      <c r="D4213" s="2" t="str">
        <f t="shared" si="64"/>
        <v>OK</v>
      </c>
    </row>
    <row r="4214" spans="1:4" x14ac:dyDescent="0.2">
      <c r="A4214" s="10">
        <v>4153</v>
      </c>
      <c r="C4214" s="2" t="s">
        <v>594</v>
      </c>
      <c r="D4214" s="2" t="str">
        <f t="shared" si="64"/>
        <v>OK</v>
      </c>
    </row>
    <row r="4215" spans="1:4" x14ac:dyDescent="0.2">
      <c r="A4215" s="5">
        <v>4154</v>
      </c>
      <c r="B4215" s="138">
        <f>'Revenues 9-14'!I171</f>
        <v>0</v>
      </c>
      <c r="D4215" s="2" t="str">
        <f t="shared" si="64"/>
        <v>Error?</v>
      </c>
    </row>
    <row r="4216" spans="1:4" x14ac:dyDescent="0.2">
      <c r="A4216" s="5">
        <v>4155</v>
      </c>
      <c r="B4216" s="138">
        <f>'Revenues 9-14'!I173</f>
        <v>0</v>
      </c>
      <c r="C4216" s="2" t="s">
        <v>594</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4" x14ac:dyDescent="0.2">
      <c r="A4225" s="10">
        <v>4164</v>
      </c>
      <c r="D4225" s="2" t="str">
        <f t="shared" si="65"/>
        <v>OK</v>
      </c>
    </row>
    <row r="4226" spans="1:4" x14ac:dyDescent="0.2">
      <c r="A4226" s="10">
        <v>4165</v>
      </c>
      <c r="D4226" s="2" t="str">
        <f t="shared" si="65"/>
        <v>OK</v>
      </c>
    </row>
    <row r="4227" spans="1:4" x14ac:dyDescent="0.2">
      <c r="A4227" s="5">
        <v>4166</v>
      </c>
      <c r="B4227" s="138">
        <f>'Revenues 9-14'!C139</f>
        <v>0</v>
      </c>
      <c r="D4227" s="2" t="str">
        <f t="shared" si="65"/>
        <v>Error?</v>
      </c>
    </row>
    <row r="4228" spans="1:4" x14ac:dyDescent="0.2">
      <c r="A4228" s="5">
        <v>4167</v>
      </c>
      <c r="B4228" s="138">
        <f>'Revenues 9-14'!D139</f>
        <v>0</v>
      </c>
      <c r="D4228" s="2" t="str">
        <f t="shared" si="65"/>
        <v>Error?</v>
      </c>
    </row>
    <row r="4229" spans="1:4" x14ac:dyDescent="0.2">
      <c r="A4229" s="10">
        <v>4168</v>
      </c>
      <c r="D4229" s="2" t="str">
        <f t="shared" si="65"/>
        <v>OK</v>
      </c>
    </row>
    <row r="4230" spans="1:4" x14ac:dyDescent="0.2">
      <c r="A4230" s="5">
        <v>4169</v>
      </c>
      <c r="B4230" s="138">
        <f>'Revenues 9-14'!G139</f>
        <v>0</v>
      </c>
      <c r="D4230" s="2" t="str">
        <f t="shared" si="65"/>
        <v>Error?</v>
      </c>
    </row>
    <row r="4231" spans="1:4" x14ac:dyDescent="0.2">
      <c r="A4231" s="10">
        <v>4170</v>
      </c>
      <c r="D4231" s="2" t="str">
        <f t="shared" si="65"/>
        <v>OK</v>
      </c>
    </row>
    <row r="4232" spans="1:4" x14ac:dyDescent="0.2">
      <c r="A4232" s="10">
        <v>4171</v>
      </c>
      <c r="D4232" s="2" t="str">
        <f t="shared" si="65"/>
        <v>OK</v>
      </c>
    </row>
    <row r="4233" spans="1:4" x14ac:dyDescent="0.2">
      <c r="A4233" s="10">
        <v>4172</v>
      </c>
      <c r="D4233" s="2" t="str">
        <f t="shared" si="65"/>
        <v>OK</v>
      </c>
    </row>
    <row r="4234" spans="1:4" x14ac:dyDescent="0.2">
      <c r="A4234" s="10">
        <v>4173</v>
      </c>
      <c r="D4234" s="2" t="str">
        <f t="shared" si="65"/>
        <v>OK</v>
      </c>
    </row>
    <row r="4235" spans="1:4" x14ac:dyDescent="0.2">
      <c r="A4235" s="5">
        <v>4174</v>
      </c>
      <c r="B4235" s="138">
        <f>'Revenues 9-14'!C205</f>
        <v>0</v>
      </c>
      <c r="D4235" s="2" t="str">
        <f t="shared" si="65"/>
        <v>Error?</v>
      </c>
    </row>
    <row r="4236" spans="1:4" x14ac:dyDescent="0.2">
      <c r="A4236" s="5">
        <v>4175</v>
      </c>
      <c r="B4236" s="138">
        <f>'Revenues 9-14'!D205</f>
        <v>0</v>
      </c>
      <c r="D4236" s="2" t="str">
        <f t="shared" si="65"/>
        <v>Error?</v>
      </c>
    </row>
    <row r="4237" spans="1:4" x14ac:dyDescent="0.2">
      <c r="A4237" s="5">
        <v>4176</v>
      </c>
      <c r="B4237" s="138">
        <f>'Revenues 9-14'!F205</f>
        <v>0</v>
      </c>
      <c r="D4237" s="2" t="str">
        <f t="shared" si="65"/>
        <v>Error?</v>
      </c>
    </row>
    <row r="4238" spans="1:4" x14ac:dyDescent="0.2">
      <c r="A4238" s="5">
        <v>4177</v>
      </c>
      <c r="B4238" s="138">
        <f>'Revenues 9-14'!G205</f>
        <v>0</v>
      </c>
      <c r="D4238" s="2" t="str">
        <f t="shared" si="65"/>
        <v>Error?</v>
      </c>
    </row>
    <row r="4239" spans="1:4" x14ac:dyDescent="0.2">
      <c r="A4239" s="10">
        <v>4178</v>
      </c>
      <c r="D4239" s="2" t="str">
        <f t="shared" si="65"/>
        <v>OK</v>
      </c>
    </row>
    <row r="4240" spans="1:4"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3121.9</v>
      </c>
      <c r="C4265" s="2" t="s">
        <v>594</v>
      </c>
      <c r="D4265" s="2" t="str">
        <f t="shared" si="65"/>
        <v>Error?</v>
      </c>
      <c r="E4265" s="128"/>
    </row>
    <row r="4266" spans="1:5" x14ac:dyDescent="0.2">
      <c r="A4266" s="12">
        <v>4205</v>
      </c>
      <c r="B4266" s="138">
        <f>('FP Info 3'!F10)*100000</f>
        <v>290.3</v>
      </c>
      <c r="C4266" s="2" t="s">
        <v>594</v>
      </c>
      <c r="D4266" s="2" t="str">
        <f t="shared" si="65"/>
        <v>Error?</v>
      </c>
      <c r="E4266" s="128"/>
    </row>
    <row r="4267" spans="1:5" x14ac:dyDescent="0.2">
      <c r="A4267" s="12">
        <v>4206</v>
      </c>
      <c r="B4267" s="138">
        <f>('FP Info 3'!H10)*100000</f>
        <v>250.3</v>
      </c>
      <c r="C4267" s="2" t="s">
        <v>594</v>
      </c>
      <c r="D4267" s="2" t="str">
        <f t="shared" si="65"/>
        <v>Error?</v>
      </c>
      <c r="E4267" s="128"/>
    </row>
    <row r="4268" spans="1:5" x14ac:dyDescent="0.2">
      <c r="A4268" s="12">
        <v>4207</v>
      </c>
      <c r="B4268" s="138">
        <f>('FP Info 3'!J10)*100000</f>
        <v>3663.0000000000005</v>
      </c>
      <c r="C4268" s="2" t="s">
        <v>594</v>
      </c>
      <c r="D4268" s="2" t="str">
        <f t="shared" si="65"/>
        <v>Error?</v>
      </c>
    </row>
    <row r="4269" spans="1:5" x14ac:dyDescent="0.2">
      <c r="A4269" s="12">
        <v>4208</v>
      </c>
      <c r="B4269" s="138">
        <f>'FP Info 3'!J16</f>
        <v>10748547</v>
      </c>
      <c r="C4269" s="2" t="s">
        <v>594</v>
      </c>
      <c r="D4269" s="2" t="str">
        <f t="shared" si="65"/>
        <v>Error?</v>
      </c>
    </row>
    <row r="4270" spans="1:5" x14ac:dyDescent="0.2">
      <c r="A4270" s="12">
        <v>4209</v>
      </c>
      <c r="B4270" s="138">
        <f>'FP Info 3'!D24</f>
        <v>0</v>
      </c>
      <c r="D4270" s="2" t="str">
        <f t="shared" si="65"/>
        <v>Error?</v>
      </c>
    </row>
    <row r="4271" spans="1:5" x14ac:dyDescent="0.2">
      <c r="A4271" s="10">
        <v>4210</v>
      </c>
      <c r="C4271" s="2" t="s">
        <v>594</v>
      </c>
      <c r="D4271" s="2" t="str">
        <f t="shared" si="65"/>
        <v>OK</v>
      </c>
    </row>
    <row r="4272" spans="1:5" x14ac:dyDescent="0.2">
      <c r="A4272" s="10">
        <v>4211</v>
      </c>
      <c r="D4272" s="2" t="str">
        <f t="shared" si="65"/>
        <v>OK</v>
      </c>
      <c r="E4272" s="2" t="s">
        <v>884</v>
      </c>
    </row>
    <row r="4273" spans="1:5" x14ac:dyDescent="0.2">
      <c r="A4273" s="10">
        <v>4212</v>
      </c>
      <c r="D4273" s="2" t="str">
        <f t="shared" si="65"/>
        <v>OK</v>
      </c>
      <c r="E4273" s="2" t="s">
        <v>978</v>
      </c>
    </row>
    <row r="4274" spans="1:5" x14ac:dyDescent="0.2">
      <c r="A4274" s="10">
        <v>4213</v>
      </c>
      <c r="C4274" s="2" t="s">
        <v>594</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594</v>
      </c>
      <c r="D4295" s="2" t="str">
        <f t="shared" si="66"/>
        <v>OK</v>
      </c>
    </row>
    <row r="4296" spans="1:4" x14ac:dyDescent="0.2">
      <c r="A4296" s="10">
        <v>4235</v>
      </c>
      <c r="C4296" s="2" t="s">
        <v>594</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9-14'!C130</f>
        <v>0</v>
      </c>
      <c r="D4309" s="2" t="str">
        <f t="shared" si="66"/>
        <v>Error?</v>
      </c>
    </row>
    <row r="4310" spans="1:4" x14ac:dyDescent="0.2">
      <c r="A4310" s="5">
        <v>4249</v>
      </c>
      <c r="B4310" s="138">
        <f>'Revenues 9-14'!D130</f>
        <v>0</v>
      </c>
      <c r="D4310" s="2" t="str">
        <f t="shared" si="66"/>
        <v>Error?</v>
      </c>
    </row>
    <row r="4311" spans="1:4" x14ac:dyDescent="0.2">
      <c r="A4311" s="5">
        <v>4250</v>
      </c>
      <c r="B4311" s="138">
        <f>'Revenues 9-14'!F130</f>
        <v>0</v>
      </c>
      <c r="D4311" s="2" t="str">
        <f t="shared" si="66"/>
        <v>Error?</v>
      </c>
    </row>
    <row r="4312" spans="1:4" x14ac:dyDescent="0.2">
      <c r="A4312" s="5">
        <v>4251</v>
      </c>
      <c r="B4312" s="138">
        <f>'Revenues 9-14'!C149</f>
        <v>0</v>
      </c>
      <c r="D4312" s="2" t="str">
        <f t="shared" si="66"/>
        <v>Error?</v>
      </c>
    </row>
    <row r="4313" spans="1:4" x14ac:dyDescent="0.2">
      <c r="A4313" s="5">
        <v>4252</v>
      </c>
      <c r="B4313" s="138">
        <f>'Revenues 9-14'!D149</f>
        <v>0</v>
      </c>
      <c r="D4313" s="2" t="str">
        <f t="shared" si="66"/>
        <v>Error?</v>
      </c>
    </row>
    <row r="4314" spans="1:4" x14ac:dyDescent="0.2">
      <c r="A4314" s="5">
        <v>4253</v>
      </c>
      <c r="B4314" s="138">
        <f>'Revenues 9-14'!C153</f>
        <v>0</v>
      </c>
      <c r="D4314" s="2" t="str">
        <f t="shared" si="66"/>
        <v>Error?</v>
      </c>
    </row>
    <row r="4315" spans="1:4" x14ac:dyDescent="0.2">
      <c r="A4315" s="5">
        <v>4254</v>
      </c>
      <c r="B4315" s="138">
        <f>'Revenues 9-14'!D153</f>
        <v>0</v>
      </c>
      <c r="D4315" s="2" t="str">
        <f t="shared" si="66"/>
        <v>Error?</v>
      </c>
    </row>
    <row r="4316" spans="1:4" x14ac:dyDescent="0.2">
      <c r="A4316" s="5">
        <v>4255</v>
      </c>
      <c r="B4316" s="138">
        <f>'Revenues 9-14'!F153</f>
        <v>0</v>
      </c>
      <c r="D4316" s="2" t="str">
        <f t="shared" si="66"/>
        <v>Error?</v>
      </c>
    </row>
    <row r="4317" spans="1:4" x14ac:dyDescent="0.2">
      <c r="A4317" s="5">
        <v>4256</v>
      </c>
      <c r="B4317" s="138">
        <f>'Revenues 9-14'!C167</f>
        <v>0</v>
      </c>
      <c r="D4317" s="2" t="str">
        <f t="shared" si="66"/>
        <v>Error?</v>
      </c>
    </row>
    <row r="4318" spans="1:4" x14ac:dyDescent="0.2">
      <c r="A4318" s="5">
        <v>4257</v>
      </c>
      <c r="B4318" s="138">
        <f>'Revenues 9-14'!F167</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9-14'!C168</f>
        <v>0</v>
      </c>
      <c r="D4321" s="2" t="str">
        <f t="shared" si="66"/>
        <v>Error?</v>
      </c>
    </row>
    <row r="4322" spans="1:4" x14ac:dyDescent="0.2">
      <c r="A4322" s="5">
        <v>4261</v>
      </c>
      <c r="B4322" s="138">
        <f>'Revenues 9-14'!F168</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9-14'!D169</f>
        <v>0</v>
      </c>
      <c r="D4327" s="2" t="str">
        <f t="shared" si="66"/>
        <v>Error?</v>
      </c>
    </row>
    <row r="4328" spans="1:4" x14ac:dyDescent="0.2">
      <c r="A4328" s="5">
        <v>4267</v>
      </c>
      <c r="B4328" s="138">
        <f>'Revenues 9-14'!H169</f>
        <v>0</v>
      </c>
      <c r="D4328" s="2" t="str">
        <f t="shared" si="66"/>
        <v>Error?</v>
      </c>
    </row>
    <row r="4329" spans="1:4" x14ac:dyDescent="0.2">
      <c r="A4329" s="5">
        <v>4268</v>
      </c>
      <c r="B4329" s="138">
        <f>'Revenues 9-14'!D170</f>
        <v>0</v>
      </c>
      <c r="D4329" s="2" t="str">
        <f t="shared" si="66"/>
        <v>Error?</v>
      </c>
    </row>
    <row r="4330" spans="1:4" x14ac:dyDescent="0.2">
      <c r="A4330" s="5">
        <v>4269</v>
      </c>
      <c r="B4330" s="138">
        <f>'Revenues 9-14'!K170</f>
        <v>0</v>
      </c>
      <c r="D4330" s="2" t="str">
        <f t="shared" si="66"/>
        <v>Error?</v>
      </c>
    </row>
    <row r="4331" spans="1:4" x14ac:dyDescent="0.2">
      <c r="A4331" s="5">
        <v>4270</v>
      </c>
      <c r="B4331" s="138">
        <f>'Revenues 9-14'!C200</f>
        <v>0</v>
      </c>
      <c r="D4331" s="2" t="str">
        <f t="shared" si="66"/>
        <v>Error?</v>
      </c>
    </row>
    <row r="4332" spans="1:4" x14ac:dyDescent="0.2">
      <c r="A4332" s="5">
        <v>4271</v>
      </c>
      <c r="B4332" s="138">
        <f>'Revenues 9-14'!C210</f>
        <v>0</v>
      </c>
      <c r="D4332" s="2" t="str">
        <f t="shared" si="66"/>
        <v>Error?</v>
      </c>
    </row>
    <row r="4333" spans="1:4" x14ac:dyDescent="0.2">
      <c r="A4333" s="5">
        <v>4272</v>
      </c>
      <c r="B4333" s="138">
        <f>'Revenues 9-14'!D210</f>
        <v>0</v>
      </c>
      <c r="D4333" s="2" t="str">
        <f t="shared" si="66"/>
        <v>Error?</v>
      </c>
    </row>
    <row r="4334" spans="1:4" x14ac:dyDescent="0.2">
      <c r="A4334" s="5">
        <v>4273</v>
      </c>
      <c r="B4334" s="138">
        <f>'Revenues 9-14'!F210</f>
        <v>0</v>
      </c>
      <c r="D4334" s="2" t="str">
        <f t="shared" si="66"/>
        <v>Error?</v>
      </c>
    </row>
    <row r="4335" spans="1:4" x14ac:dyDescent="0.2">
      <c r="A4335" s="5">
        <v>4274</v>
      </c>
      <c r="B4335" s="138">
        <f>'Revenues 9-14'!G210</f>
        <v>0</v>
      </c>
      <c r="D4335" s="2" t="str">
        <f t="shared" si="66"/>
        <v>Error?</v>
      </c>
    </row>
    <row r="4336" spans="1:4" x14ac:dyDescent="0.2">
      <c r="A4336" s="5">
        <v>4275</v>
      </c>
      <c r="B4336" s="138">
        <f>'Revenues 9-14'!C215</f>
        <v>0</v>
      </c>
      <c r="D4336" s="2" t="str">
        <f t="shared" si="66"/>
        <v>Error?</v>
      </c>
    </row>
    <row r="4337" spans="1:4" x14ac:dyDescent="0.2">
      <c r="A4337" s="5">
        <v>4276</v>
      </c>
      <c r="B4337" s="138">
        <f>'Revenues 9-14'!D215</f>
        <v>0</v>
      </c>
      <c r="D4337" s="2" t="str">
        <f t="shared" si="66"/>
        <v>Error?</v>
      </c>
    </row>
    <row r="4338" spans="1:4" x14ac:dyDescent="0.2">
      <c r="A4338" s="5">
        <v>4277</v>
      </c>
      <c r="B4338" s="138">
        <f>'Revenues 9-14'!F215</f>
        <v>0</v>
      </c>
      <c r="D4338" s="2" t="str">
        <f t="shared" si="66"/>
        <v>Error?</v>
      </c>
    </row>
    <row r="4339" spans="1:4" x14ac:dyDescent="0.2">
      <c r="A4339" s="5">
        <v>4278</v>
      </c>
      <c r="B4339" s="138">
        <f>'Revenues 9-14'!G215</f>
        <v>0</v>
      </c>
      <c r="D4339" s="2" t="str">
        <f t="shared" si="66"/>
        <v>Error?</v>
      </c>
    </row>
    <row r="4340" spans="1:4" x14ac:dyDescent="0.2">
      <c r="A4340" s="5">
        <v>4279</v>
      </c>
      <c r="B4340" s="138">
        <f>'Revenues 9-14'!C223</f>
        <v>0</v>
      </c>
      <c r="D4340" s="2" t="str">
        <f t="shared" si="66"/>
        <v>Error?</v>
      </c>
    </row>
    <row r="4341" spans="1:4" x14ac:dyDescent="0.2">
      <c r="A4341" s="5">
        <v>4280</v>
      </c>
      <c r="B4341" s="138">
        <f>'Revenues 9-14'!D223</f>
        <v>0</v>
      </c>
      <c r="D4341" s="2" t="str">
        <f t="shared" si="66"/>
        <v>Error?</v>
      </c>
    </row>
    <row r="4342" spans="1:4" x14ac:dyDescent="0.2">
      <c r="A4342" s="5">
        <v>4281</v>
      </c>
      <c r="B4342" s="138">
        <f>'Revenues 9-14'!F223</f>
        <v>0</v>
      </c>
      <c r="D4342" s="2" t="str">
        <f t="shared" si="66"/>
        <v>Error?</v>
      </c>
    </row>
    <row r="4343" spans="1:4" x14ac:dyDescent="0.2">
      <c r="A4343" s="5">
        <v>4282</v>
      </c>
      <c r="B4343" s="138">
        <f>'Revenues 9-14'!G223</f>
        <v>0</v>
      </c>
      <c r="D4343" s="2" t="str">
        <f t="shared" si="66"/>
        <v>Error?</v>
      </c>
    </row>
    <row r="4344" spans="1:4" x14ac:dyDescent="0.2">
      <c r="A4344" s="5">
        <v>4283</v>
      </c>
      <c r="B4344" s="138">
        <f>'Revenues 9-14'!C227</f>
        <v>0</v>
      </c>
      <c r="D4344" s="2" t="str">
        <f t="shared" si="66"/>
        <v>Error?</v>
      </c>
    </row>
    <row r="4345" spans="1:4" x14ac:dyDescent="0.2">
      <c r="A4345" s="5">
        <v>4284</v>
      </c>
      <c r="B4345" s="138">
        <f>'Revenues 9-14'!D227</f>
        <v>0</v>
      </c>
      <c r="D4345" s="2" t="str">
        <f t="shared" si="66"/>
        <v>Error?</v>
      </c>
    </row>
    <row r="4346" spans="1:4" x14ac:dyDescent="0.2">
      <c r="A4346" s="5">
        <v>4285</v>
      </c>
      <c r="B4346" s="138">
        <f>'Revenues 9-14'!G227</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9-14'!C146</f>
        <v>0</v>
      </c>
      <c r="D4351" s="2" t="str">
        <f t="shared" ref="D4351:D4414" si="67">IF(ISBLANK(B4351),"OK",IF(A4351-B4351=0,"OK","Error?"))</f>
        <v>Error?</v>
      </c>
    </row>
    <row r="4352" spans="1:4" x14ac:dyDescent="0.2">
      <c r="A4352" s="5">
        <v>4291</v>
      </c>
      <c r="B4352" s="138">
        <f>'Revenues 9-14'!D146</f>
        <v>0</v>
      </c>
      <c r="D4352" s="2" t="str">
        <f t="shared" si="67"/>
        <v>Error?</v>
      </c>
    </row>
    <row r="4353" spans="1:4" x14ac:dyDescent="0.2">
      <c r="A4353" s="5">
        <v>4292</v>
      </c>
      <c r="B4353" s="138">
        <f>'Revenues 9-14'!G146</f>
        <v>0</v>
      </c>
      <c r="D4353" s="2" t="str">
        <f t="shared" si="67"/>
        <v>Error?</v>
      </c>
    </row>
    <row r="4354" spans="1:4" x14ac:dyDescent="0.2">
      <c r="A4354" s="5">
        <v>4293</v>
      </c>
      <c r="B4354" s="138">
        <f>'Revenues 9-14'!F149</f>
        <v>0</v>
      </c>
      <c r="D4354" s="2" t="str">
        <f t="shared" si="67"/>
        <v>Error?</v>
      </c>
    </row>
    <row r="4355" spans="1:4" x14ac:dyDescent="0.2">
      <c r="A4355" s="5">
        <v>4294</v>
      </c>
      <c r="B4355" s="138">
        <f>'Revenues 9-14'!G149</f>
        <v>0</v>
      </c>
      <c r="D4355" s="2" t="str">
        <f t="shared" si="67"/>
        <v>Error?</v>
      </c>
    </row>
    <row r="4356" spans="1:4" x14ac:dyDescent="0.2">
      <c r="A4356" s="5">
        <v>4295</v>
      </c>
      <c r="B4356" s="138">
        <f>'Revenues 9-14'!G153</f>
        <v>0</v>
      </c>
      <c r="D4356" s="2" t="str">
        <f t="shared" si="67"/>
        <v>Error?</v>
      </c>
    </row>
    <row r="4357" spans="1:4" x14ac:dyDescent="0.2">
      <c r="A4357" s="5">
        <v>4296</v>
      </c>
      <c r="B4357" s="138">
        <f>'Revenues 9-14'!G154</f>
        <v>0</v>
      </c>
      <c r="C4357" s="2" t="s">
        <v>594</v>
      </c>
      <c r="D4357" s="2" t="str">
        <f t="shared" si="67"/>
        <v>Error?</v>
      </c>
    </row>
    <row r="4358" spans="1:4" x14ac:dyDescent="0.2">
      <c r="A4358" s="5">
        <v>4297</v>
      </c>
      <c r="B4358" s="138">
        <f>'Revenues 9-14'!C270</f>
        <v>54981</v>
      </c>
      <c r="D4358" s="2" t="str">
        <f t="shared" si="67"/>
        <v>Error?</v>
      </c>
    </row>
    <row r="4359" spans="1:4" x14ac:dyDescent="0.2">
      <c r="A4359" s="5">
        <v>4298</v>
      </c>
      <c r="B4359" s="138">
        <f>'Revenues 9-14'!D270</f>
        <v>0</v>
      </c>
      <c r="D4359" s="2" t="str">
        <f t="shared" si="67"/>
        <v>Error?</v>
      </c>
    </row>
    <row r="4360" spans="1:4" x14ac:dyDescent="0.2">
      <c r="A4360" s="5">
        <v>4299</v>
      </c>
      <c r="B4360" s="138">
        <f>'Revenues 9-14'!F270</f>
        <v>0</v>
      </c>
      <c r="D4360" s="2" t="str">
        <f t="shared" si="67"/>
        <v>Error?</v>
      </c>
    </row>
    <row r="4361" spans="1:4" x14ac:dyDescent="0.2">
      <c r="A4361" s="5">
        <v>4300</v>
      </c>
      <c r="B4361" s="138">
        <f>'Revenues 9-14'!G270</f>
        <v>0</v>
      </c>
      <c r="D4361" s="2" t="str">
        <f t="shared" si="67"/>
        <v>Error?</v>
      </c>
    </row>
    <row r="4362" spans="1:4" x14ac:dyDescent="0.2">
      <c r="A4362" s="5">
        <v>4301</v>
      </c>
      <c r="B4362" s="138">
        <f>'Revenues 9-14'!C271</f>
        <v>126214</v>
      </c>
      <c r="D4362" s="2" t="str">
        <f t="shared" si="67"/>
        <v>Error?</v>
      </c>
    </row>
    <row r="4363" spans="1:4" x14ac:dyDescent="0.2">
      <c r="A4363" s="5">
        <v>4302</v>
      </c>
      <c r="B4363" s="138">
        <f>'Revenues 9-14'!I172</f>
        <v>0</v>
      </c>
      <c r="C4363" s="2" t="s">
        <v>594</v>
      </c>
      <c r="D4363" s="2" t="str">
        <f t="shared" si="67"/>
        <v>Error?</v>
      </c>
    </row>
    <row r="4364" spans="1:4" x14ac:dyDescent="0.2">
      <c r="A4364" s="5">
        <v>4303</v>
      </c>
      <c r="B4364" s="138">
        <f>'Revenues 9-14'!E176</f>
        <v>0</v>
      </c>
      <c r="D4364" s="2" t="str">
        <f t="shared" si="67"/>
        <v>Error?</v>
      </c>
    </row>
    <row r="4365" spans="1:4" x14ac:dyDescent="0.2">
      <c r="A4365" s="5">
        <v>4304</v>
      </c>
      <c r="B4365" s="138">
        <f>'Revenues 9-14'!H176</f>
        <v>0</v>
      </c>
      <c r="D4365" s="2" t="str">
        <f t="shared" si="67"/>
        <v>Error?</v>
      </c>
    </row>
    <row r="4366" spans="1:4" x14ac:dyDescent="0.2">
      <c r="A4366" s="5">
        <v>4305</v>
      </c>
      <c r="B4366" s="138">
        <f>'Revenues 9-14'!I176</f>
        <v>0</v>
      </c>
      <c r="D4366" s="2" t="str">
        <f t="shared" si="67"/>
        <v>Error?</v>
      </c>
    </row>
    <row r="4367" spans="1:4" x14ac:dyDescent="0.2">
      <c r="A4367" s="10">
        <v>4306</v>
      </c>
      <c r="D4367" s="2" t="str">
        <f t="shared" si="67"/>
        <v>OK</v>
      </c>
    </row>
    <row r="4368" spans="1:4" x14ac:dyDescent="0.2">
      <c r="A4368" s="5">
        <v>4307</v>
      </c>
      <c r="B4368" s="138">
        <f>'Revenues 9-14'!K176</f>
        <v>0</v>
      </c>
      <c r="D4368" s="2" t="str">
        <f t="shared" si="67"/>
        <v>Error?</v>
      </c>
    </row>
    <row r="4369" spans="1:4" x14ac:dyDescent="0.2">
      <c r="A4369" s="5">
        <v>4308</v>
      </c>
      <c r="B4369" s="138">
        <f>'Revenues 9-14'!E177</f>
        <v>0</v>
      </c>
      <c r="D4369" s="2" t="str">
        <f t="shared" si="67"/>
        <v>Error?</v>
      </c>
    </row>
    <row r="4370" spans="1:4" x14ac:dyDescent="0.2">
      <c r="A4370" s="5">
        <v>4309</v>
      </c>
      <c r="B4370" s="138">
        <f>'Revenues 9-14'!I177</f>
        <v>0</v>
      </c>
      <c r="D4370" s="2" t="str">
        <f t="shared" si="67"/>
        <v>Error?</v>
      </c>
    </row>
    <row r="4371" spans="1:4" x14ac:dyDescent="0.2">
      <c r="A4371" s="10">
        <v>4310</v>
      </c>
      <c r="D4371" s="2" t="str">
        <f t="shared" si="67"/>
        <v>OK</v>
      </c>
    </row>
    <row r="4372" spans="1:4" x14ac:dyDescent="0.2">
      <c r="A4372" s="5">
        <v>4311</v>
      </c>
      <c r="B4372" s="138">
        <f>'Revenues 9-14'!E178</f>
        <v>0</v>
      </c>
      <c r="C4372" s="2" t="s">
        <v>594</v>
      </c>
      <c r="D4372" s="2" t="str">
        <f t="shared" si="67"/>
        <v>Error?</v>
      </c>
    </row>
    <row r="4373" spans="1:4" x14ac:dyDescent="0.2">
      <c r="A4373" s="5">
        <v>4312</v>
      </c>
      <c r="B4373" s="138">
        <f>'Revenues 9-14'!I178</f>
        <v>0</v>
      </c>
      <c r="C4373" s="2" t="s">
        <v>594</v>
      </c>
      <c r="D4373" s="2" t="str">
        <f t="shared" si="67"/>
        <v>Error?</v>
      </c>
    </row>
    <row r="4374" spans="1:4" x14ac:dyDescent="0.2">
      <c r="A4374" s="10">
        <v>4313</v>
      </c>
      <c r="C4374" s="2" t="s">
        <v>594</v>
      </c>
      <c r="D4374" s="2" t="str">
        <f t="shared" si="67"/>
        <v>OK</v>
      </c>
    </row>
    <row r="4375" spans="1:4" x14ac:dyDescent="0.2">
      <c r="A4375" s="5">
        <v>4314</v>
      </c>
      <c r="B4375" s="138">
        <f>'Revenues 9-14'!C188</f>
        <v>0</v>
      </c>
      <c r="D4375" s="2" t="str">
        <f t="shared" si="67"/>
        <v>Error?</v>
      </c>
    </row>
    <row r="4376" spans="1:4" x14ac:dyDescent="0.2">
      <c r="A4376" s="5">
        <v>4315</v>
      </c>
      <c r="B4376" s="138">
        <f>'Revenues 9-14'!D188</f>
        <v>0</v>
      </c>
      <c r="D4376" s="2" t="str">
        <f t="shared" si="67"/>
        <v>Error?</v>
      </c>
    </row>
    <row r="4377" spans="1:4" x14ac:dyDescent="0.2">
      <c r="A4377" s="5">
        <v>4316</v>
      </c>
      <c r="B4377" s="138">
        <f>'Revenues 9-14'!F188</f>
        <v>0</v>
      </c>
      <c r="D4377" s="2" t="str">
        <f t="shared" si="67"/>
        <v>Error?</v>
      </c>
    </row>
    <row r="4378" spans="1:4" x14ac:dyDescent="0.2">
      <c r="A4378" s="5">
        <v>4317</v>
      </c>
      <c r="B4378" s="138">
        <f>'Revenues 9-14'!G188</f>
        <v>0</v>
      </c>
      <c r="D4378" s="2" t="str">
        <f t="shared" si="67"/>
        <v>Error?</v>
      </c>
    </row>
    <row r="4379" spans="1:4" x14ac:dyDescent="0.2">
      <c r="A4379" s="5">
        <v>4318</v>
      </c>
      <c r="B4379" s="138">
        <f>'Revenues 9-14'!C189</f>
        <v>0</v>
      </c>
      <c r="D4379" s="2" t="str">
        <f t="shared" si="67"/>
        <v>Error?</v>
      </c>
    </row>
    <row r="4380" spans="1:4" x14ac:dyDescent="0.2">
      <c r="A4380" s="5">
        <v>4319</v>
      </c>
      <c r="B4380" s="138">
        <f>'Revenues 9-14'!D189</f>
        <v>0</v>
      </c>
      <c r="D4380" s="2" t="str">
        <f t="shared" si="67"/>
        <v>Error?</v>
      </c>
    </row>
    <row r="4381" spans="1:4" x14ac:dyDescent="0.2">
      <c r="A4381" s="5">
        <v>4320</v>
      </c>
      <c r="B4381" s="138">
        <f>'Revenues 9-14'!F189</f>
        <v>0</v>
      </c>
      <c r="D4381" s="2" t="str">
        <f t="shared" si="67"/>
        <v>Error?</v>
      </c>
    </row>
    <row r="4382" spans="1:4" x14ac:dyDescent="0.2">
      <c r="A4382" s="5">
        <v>4321</v>
      </c>
      <c r="B4382" s="138">
        <f>'Revenues 9-14'!G189</f>
        <v>0</v>
      </c>
      <c r="D4382" s="2" t="str">
        <f t="shared" si="67"/>
        <v>Error?</v>
      </c>
    </row>
    <row r="4383" spans="1:4" x14ac:dyDescent="0.2">
      <c r="A4383" s="10">
        <v>4322</v>
      </c>
      <c r="D4383" s="2" t="str">
        <f t="shared" si="67"/>
        <v>OK</v>
      </c>
    </row>
    <row r="4384" spans="1:4" x14ac:dyDescent="0.2">
      <c r="A4384" s="10">
        <v>4323</v>
      </c>
      <c r="D4384" s="2" t="str">
        <f t="shared" si="67"/>
        <v>OK</v>
      </c>
    </row>
    <row r="4385" spans="1:4" x14ac:dyDescent="0.2">
      <c r="A4385" s="10">
        <v>4324</v>
      </c>
      <c r="D4385" s="2" t="str">
        <f t="shared" si="67"/>
        <v>OK</v>
      </c>
    </row>
    <row r="4386" spans="1:4" x14ac:dyDescent="0.2">
      <c r="A4386" s="10">
        <v>4325</v>
      </c>
      <c r="D4386" s="2" t="str">
        <f t="shared" si="67"/>
        <v>OK</v>
      </c>
    </row>
    <row r="4387" spans="1:4" x14ac:dyDescent="0.2">
      <c r="A4387" s="10">
        <v>4326</v>
      </c>
      <c r="D4387" s="2" t="str">
        <f t="shared" si="67"/>
        <v>OK</v>
      </c>
    </row>
    <row r="4388" spans="1:4" x14ac:dyDescent="0.2">
      <c r="A4388" s="10">
        <v>4327</v>
      </c>
      <c r="D4388" s="2" t="str">
        <f t="shared" si="67"/>
        <v>OK</v>
      </c>
    </row>
    <row r="4389" spans="1:4" x14ac:dyDescent="0.2">
      <c r="A4389" s="10">
        <v>4328</v>
      </c>
      <c r="D4389" s="2" t="str">
        <f t="shared" si="67"/>
        <v>OK</v>
      </c>
    </row>
    <row r="4390" spans="1:4" x14ac:dyDescent="0.2">
      <c r="A4390" s="10">
        <v>4329</v>
      </c>
      <c r="D4390" s="2" t="str">
        <f t="shared" si="67"/>
        <v>OK</v>
      </c>
    </row>
    <row r="4391" spans="1:4" x14ac:dyDescent="0.2">
      <c r="A4391" s="5">
        <v>4330</v>
      </c>
      <c r="B4391" s="138">
        <f>'Revenues 9-14'!C190</f>
        <v>0</v>
      </c>
      <c r="D4391" s="2" t="str">
        <f t="shared" si="67"/>
        <v>Error?</v>
      </c>
    </row>
    <row r="4392" spans="1:4" x14ac:dyDescent="0.2">
      <c r="A4392" s="5">
        <v>4331</v>
      </c>
      <c r="B4392" s="138">
        <f>'Revenues 9-14'!D190</f>
        <v>0</v>
      </c>
      <c r="D4392" s="2" t="str">
        <f t="shared" si="67"/>
        <v>Error?</v>
      </c>
    </row>
    <row r="4393" spans="1:4" x14ac:dyDescent="0.2">
      <c r="A4393" s="5">
        <v>4332</v>
      </c>
      <c r="B4393" s="138">
        <f>'Revenues 9-14'!F190</f>
        <v>0</v>
      </c>
      <c r="D4393" s="2" t="str">
        <f t="shared" si="67"/>
        <v>Error?</v>
      </c>
    </row>
    <row r="4394" spans="1:4" x14ac:dyDescent="0.2">
      <c r="A4394" s="5">
        <v>4333</v>
      </c>
      <c r="B4394" s="138">
        <f>'Revenues 9-14'!G190</f>
        <v>0</v>
      </c>
      <c r="D4394" s="2" t="str">
        <f t="shared" si="67"/>
        <v>Error?</v>
      </c>
    </row>
    <row r="4395" spans="1:4" x14ac:dyDescent="0.2">
      <c r="A4395" s="5">
        <v>4334</v>
      </c>
      <c r="B4395" s="138">
        <f>'Revenues 9-14'!C191</f>
        <v>0</v>
      </c>
      <c r="C4395" s="2" t="s">
        <v>594</v>
      </c>
      <c r="D4395" s="2" t="str">
        <f t="shared" si="67"/>
        <v>Error?</v>
      </c>
    </row>
    <row r="4396" spans="1:4" x14ac:dyDescent="0.2">
      <c r="A4396" s="5">
        <v>4335</v>
      </c>
      <c r="B4396" s="138">
        <f>'Revenues 9-14'!D191</f>
        <v>0</v>
      </c>
      <c r="C4396" s="2" t="s">
        <v>594</v>
      </c>
      <c r="D4396" s="2" t="str">
        <f t="shared" si="67"/>
        <v>Error?</v>
      </c>
    </row>
    <row r="4397" spans="1:4" x14ac:dyDescent="0.2">
      <c r="A4397" s="5">
        <v>4336</v>
      </c>
      <c r="B4397" s="138">
        <f>'Revenues 9-14'!F191</f>
        <v>0</v>
      </c>
      <c r="C4397" s="2" t="s">
        <v>594</v>
      </c>
      <c r="D4397" s="2" t="str">
        <f t="shared" si="67"/>
        <v>Error?</v>
      </c>
    </row>
    <row r="4398" spans="1:4" x14ac:dyDescent="0.2">
      <c r="A4398" s="5">
        <v>4337</v>
      </c>
      <c r="B4398" s="138">
        <f>'Revenues 9-14'!G191</f>
        <v>0</v>
      </c>
      <c r="C4398" s="2" t="s">
        <v>594</v>
      </c>
      <c r="D4398" s="2" t="str">
        <f t="shared" si="67"/>
        <v>Error?</v>
      </c>
    </row>
    <row r="4399" spans="1:4" x14ac:dyDescent="0.2">
      <c r="A4399" s="5">
        <v>4338</v>
      </c>
      <c r="B4399" s="138">
        <f>'Revenues 9-14'!C206</f>
        <v>0</v>
      </c>
      <c r="D4399" s="2" t="str">
        <f t="shared" si="67"/>
        <v>Error?</v>
      </c>
    </row>
    <row r="4400" spans="1:4" x14ac:dyDescent="0.2">
      <c r="A4400" s="5">
        <v>4339</v>
      </c>
      <c r="B4400" s="138">
        <f>'Revenues 9-14'!D206</f>
        <v>0</v>
      </c>
      <c r="D4400" s="2" t="str">
        <f t="shared" si="67"/>
        <v>Error?</v>
      </c>
    </row>
    <row r="4401" spans="1:4" x14ac:dyDescent="0.2">
      <c r="A4401" s="5">
        <v>4340</v>
      </c>
      <c r="B4401" s="138">
        <f>'Revenues 9-14'!F206</f>
        <v>0</v>
      </c>
      <c r="D4401" s="2" t="str">
        <f t="shared" si="67"/>
        <v>Error?</v>
      </c>
    </row>
    <row r="4402" spans="1:4" x14ac:dyDescent="0.2">
      <c r="A4402" s="5">
        <v>4341</v>
      </c>
      <c r="B4402" s="138">
        <f>'Revenues 9-14'!G206</f>
        <v>0</v>
      </c>
      <c r="D4402" s="2" t="str">
        <f t="shared" si="67"/>
        <v>Error?</v>
      </c>
    </row>
    <row r="4403" spans="1:4" x14ac:dyDescent="0.2">
      <c r="A4403" s="10">
        <v>4342</v>
      </c>
      <c r="D4403" s="2" t="str">
        <f t="shared" si="67"/>
        <v>OK</v>
      </c>
    </row>
    <row r="4404" spans="1:4" x14ac:dyDescent="0.2">
      <c r="A4404" s="10">
        <v>4343</v>
      </c>
      <c r="D4404" s="2" t="str">
        <f t="shared" si="67"/>
        <v>OK</v>
      </c>
    </row>
    <row r="4405" spans="1:4" x14ac:dyDescent="0.2">
      <c r="A4405" s="10">
        <v>4344</v>
      </c>
      <c r="D4405" s="2" t="str">
        <f t="shared" si="67"/>
        <v>OK</v>
      </c>
    </row>
    <row r="4406" spans="1:4" x14ac:dyDescent="0.2">
      <c r="A4406" s="10">
        <v>4345</v>
      </c>
      <c r="D4406" s="2" t="str">
        <f t="shared" si="67"/>
        <v>OK</v>
      </c>
    </row>
    <row r="4407" spans="1:4" x14ac:dyDescent="0.2">
      <c r="A4407" s="5">
        <v>4346</v>
      </c>
      <c r="B4407" s="138">
        <f>'Revenues 9-14'!C214</f>
        <v>0</v>
      </c>
      <c r="D4407" s="2" t="str">
        <f t="shared" si="67"/>
        <v>Error?</v>
      </c>
    </row>
    <row r="4408" spans="1:4" x14ac:dyDescent="0.2">
      <c r="A4408" s="5">
        <v>4347</v>
      </c>
      <c r="B4408" s="138">
        <f>'Revenues 9-14'!D214</f>
        <v>0</v>
      </c>
      <c r="D4408" s="2" t="str">
        <f t="shared" si="67"/>
        <v>Error?</v>
      </c>
    </row>
    <row r="4409" spans="1:4" x14ac:dyDescent="0.2">
      <c r="A4409" s="5">
        <v>4348</v>
      </c>
      <c r="B4409" s="138">
        <f>'Revenues 9-14'!F214</f>
        <v>0</v>
      </c>
      <c r="D4409" s="2" t="str">
        <f t="shared" si="67"/>
        <v>Error?</v>
      </c>
    </row>
    <row r="4410" spans="1:4" x14ac:dyDescent="0.2">
      <c r="A4410" s="5">
        <v>4349</v>
      </c>
      <c r="B4410" s="138">
        <f>'Revenues 9-14'!G214</f>
        <v>0</v>
      </c>
      <c r="D4410" s="2" t="str">
        <f t="shared" si="67"/>
        <v>Error?</v>
      </c>
    </row>
    <row r="4411" spans="1:4" x14ac:dyDescent="0.2">
      <c r="A4411" s="5">
        <v>4350</v>
      </c>
      <c r="B4411" s="138">
        <f>'Revenues 9-14'!C216</f>
        <v>0</v>
      </c>
      <c r="C4411" s="2" t="s">
        <v>594</v>
      </c>
      <c r="D4411" s="2" t="str">
        <f t="shared" si="67"/>
        <v>Error?</v>
      </c>
    </row>
    <row r="4412" spans="1:4" x14ac:dyDescent="0.2">
      <c r="A4412" s="5">
        <v>4351</v>
      </c>
      <c r="B4412" s="138">
        <f>'Revenues 9-14'!D216</f>
        <v>0</v>
      </c>
      <c r="C4412" s="2" t="s">
        <v>594</v>
      </c>
      <c r="D4412" s="2" t="str">
        <f t="shared" si="67"/>
        <v>Error?</v>
      </c>
    </row>
    <row r="4413" spans="1:4" x14ac:dyDescent="0.2">
      <c r="A4413" s="5">
        <v>4352</v>
      </c>
      <c r="B4413" s="138">
        <f>'Revenues 9-14'!F216</f>
        <v>0</v>
      </c>
      <c r="C4413" s="2" t="s">
        <v>594</v>
      </c>
      <c r="D4413" s="2" t="str">
        <f t="shared" si="67"/>
        <v>Error?</v>
      </c>
    </row>
    <row r="4414" spans="1:4" x14ac:dyDescent="0.2">
      <c r="A4414" s="5">
        <v>4353</v>
      </c>
      <c r="B4414" s="138">
        <f>'Revenues 9-14'!G216</f>
        <v>0</v>
      </c>
      <c r="C4414" s="2" t="s">
        <v>594</v>
      </c>
      <c r="D4414" s="2" t="str">
        <f t="shared" si="67"/>
        <v>Error?</v>
      </c>
    </row>
    <row r="4415" spans="1:4" x14ac:dyDescent="0.2">
      <c r="A4415" s="5">
        <v>4354</v>
      </c>
      <c r="B4415" s="138">
        <f>'Revenues 9-14'!C264</f>
        <v>16066</v>
      </c>
      <c r="D4415" s="2" t="str">
        <f t="shared" ref="D4415:D4478" si="68">IF(ISBLANK(B4415),"OK",IF(A4415-B4415=0,"OK","Error?"))</f>
        <v>Error?</v>
      </c>
    </row>
    <row r="4416" spans="1:4" x14ac:dyDescent="0.2">
      <c r="A4416" s="5">
        <v>4355</v>
      </c>
      <c r="B4416" s="138">
        <f>'Revenues 9-14'!F264</f>
        <v>0</v>
      </c>
      <c r="D4416" s="2" t="str">
        <f t="shared" si="68"/>
        <v>Error?</v>
      </c>
    </row>
    <row r="4417" spans="1:4" x14ac:dyDescent="0.2">
      <c r="A4417" s="5">
        <v>4356</v>
      </c>
      <c r="B4417" s="138">
        <f>'Revenues 9-14'!G264</f>
        <v>0</v>
      </c>
      <c r="D4417" s="2" t="str">
        <f t="shared" si="68"/>
        <v>Error?</v>
      </c>
    </row>
    <row r="4418" spans="1:4" x14ac:dyDescent="0.2">
      <c r="A4418" s="5">
        <v>4357</v>
      </c>
      <c r="B4418" s="138">
        <f>'Revenues 9-14'!C268</f>
        <v>80087</v>
      </c>
      <c r="D4418" s="2" t="str">
        <f t="shared" si="68"/>
        <v>Error?</v>
      </c>
    </row>
    <row r="4419" spans="1:4" x14ac:dyDescent="0.2">
      <c r="A4419" s="5">
        <v>4358</v>
      </c>
      <c r="B4419" s="138">
        <f>'Revenues 9-14'!D268</f>
        <v>0</v>
      </c>
      <c r="D4419" s="2" t="str">
        <f t="shared" si="68"/>
        <v>Error?</v>
      </c>
    </row>
    <row r="4420" spans="1:4" x14ac:dyDescent="0.2">
      <c r="A4420" s="5">
        <v>4359</v>
      </c>
      <c r="B4420" s="138">
        <f>'Revenues 9-14'!F268</f>
        <v>0</v>
      </c>
      <c r="D4420" s="2" t="str">
        <f t="shared" si="68"/>
        <v>Error?</v>
      </c>
    </row>
    <row r="4421" spans="1:4" x14ac:dyDescent="0.2">
      <c r="A4421" s="5">
        <v>4360</v>
      </c>
      <c r="B4421" s="138">
        <f>'Revenues 9-14'!G268</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9-14'!E274</f>
        <v>773693</v>
      </c>
      <c r="C4434" s="2" t="s">
        <v>594</v>
      </c>
      <c r="D4434" s="2" t="str">
        <f t="shared" si="68"/>
        <v>Error?</v>
      </c>
    </row>
    <row r="4435" spans="1:5" x14ac:dyDescent="0.2">
      <c r="A4435" s="5">
        <v>4374</v>
      </c>
      <c r="B4435" s="138">
        <f>'Revenues 9-14'!I274</f>
        <v>0</v>
      </c>
      <c r="C4435" s="2" t="s">
        <v>594</v>
      </c>
      <c r="D4435" s="2" t="str">
        <f t="shared" si="68"/>
        <v>Error?</v>
      </c>
    </row>
    <row r="4436" spans="1:5" x14ac:dyDescent="0.2">
      <c r="A4436" s="10">
        <v>4375</v>
      </c>
      <c r="C4436" s="2" t="s">
        <v>594</v>
      </c>
      <c r="D4436" s="2" t="str">
        <f t="shared" si="68"/>
        <v>OK</v>
      </c>
      <c r="E4436" s="128"/>
    </row>
    <row r="4437" spans="1:5" x14ac:dyDescent="0.2">
      <c r="A4437" s="12">
        <v>4376</v>
      </c>
      <c r="B4437" s="138">
        <f>('FP Info 3'!L10)*100000</f>
        <v>10.6</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9-14'!H273</f>
        <v>0</v>
      </c>
      <c r="C4441" s="2" t="s">
        <v>594</v>
      </c>
      <c r="D4441" s="2" t="str">
        <f t="shared" si="68"/>
        <v>Error?</v>
      </c>
    </row>
    <row r="4442" spans="1:5" x14ac:dyDescent="0.2">
      <c r="A4442" s="5">
        <v>4381</v>
      </c>
      <c r="B4442" s="138">
        <f>'Revenues 9-14'!K273</f>
        <v>0</v>
      </c>
      <c r="C4442" s="2" t="s">
        <v>594</v>
      </c>
      <c r="D4442" s="2" t="str">
        <f t="shared" si="68"/>
        <v>Error?</v>
      </c>
    </row>
    <row r="4443" spans="1:5" x14ac:dyDescent="0.2">
      <c r="A4443" s="5">
        <v>4382</v>
      </c>
      <c r="B4443" s="138">
        <f>'Acct Summary 7-8'!E7</f>
        <v>773693</v>
      </c>
      <c r="C4443" s="2" t="s">
        <v>594</v>
      </c>
      <c r="D4443" s="2" t="str">
        <f t="shared" si="68"/>
        <v>Error?</v>
      </c>
    </row>
    <row r="4444" spans="1:5" x14ac:dyDescent="0.2">
      <c r="A4444" s="5">
        <v>4383</v>
      </c>
      <c r="B4444" s="138">
        <f>'Acct Summary 7-8'!I7</f>
        <v>0</v>
      </c>
      <c r="C4444" s="2" t="s">
        <v>594</v>
      </c>
      <c r="D4444" s="2" t="str">
        <f t="shared" si="68"/>
        <v>Error?</v>
      </c>
    </row>
    <row r="4445" spans="1:5" x14ac:dyDescent="0.2">
      <c r="A4445" s="10">
        <v>4384</v>
      </c>
      <c r="C4445" s="2" t="s">
        <v>594</v>
      </c>
      <c r="D4445" s="2" t="str">
        <f t="shared" si="68"/>
        <v>OK</v>
      </c>
    </row>
    <row r="4446" spans="1:5" x14ac:dyDescent="0.2">
      <c r="A4446" s="5">
        <v>4385</v>
      </c>
      <c r="B4446" s="138">
        <f>'Revenues 9-14'!D271</f>
        <v>0</v>
      </c>
      <c r="D4446" s="2" t="str">
        <f t="shared" si="68"/>
        <v>Error?</v>
      </c>
    </row>
    <row r="4447" spans="1:5" x14ac:dyDescent="0.2">
      <c r="A4447" s="5">
        <v>4386</v>
      </c>
      <c r="B4447" s="138">
        <f>'Revenues 9-14'!F271</f>
        <v>0</v>
      </c>
      <c r="D4447" s="2" t="str">
        <f t="shared" si="68"/>
        <v>Error?</v>
      </c>
    </row>
    <row r="4448" spans="1:5" x14ac:dyDescent="0.2">
      <c r="A4448" s="5">
        <v>4387</v>
      </c>
      <c r="B4448" s="138">
        <f>'Revenues 9-14'!G271</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594</v>
      </c>
      <c r="D4769" s="2" t="str">
        <f t="shared" si="73"/>
        <v>OK</v>
      </c>
    </row>
    <row r="4770" spans="1:4" x14ac:dyDescent="0.2">
      <c r="A4770" s="10">
        <v>4709</v>
      </c>
      <c r="D4770" s="2" t="str">
        <f t="shared" si="73"/>
        <v>OK</v>
      </c>
    </row>
    <row r="4771" spans="1:4" x14ac:dyDescent="0.2">
      <c r="A4771" s="5">
        <v>4710</v>
      </c>
      <c r="B4771" s="138">
        <f>'Revenues 9-14'!G135</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9-14'!C171</f>
        <v>41445</v>
      </c>
      <c r="D4792" s="2" t="str">
        <f t="shared" si="73"/>
        <v>Error?</v>
      </c>
    </row>
    <row r="4793" spans="1:4" x14ac:dyDescent="0.2">
      <c r="A4793" s="5">
        <v>4732</v>
      </c>
      <c r="B4793" s="138">
        <f>'Revenues 9-14'!D171</f>
        <v>0</v>
      </c>
      <c r="D4793" s="2" t="str">
        <f t="shared" si="73"/>
        <v>Error?</v>
      </c>
    </row>
    <row r="4794" spans="1:4" x14ac:dyDescent="0.2">
      <c r="A4794" s="5">
        <v>4733</v>
      </c>
      <c r="B4794" s="138">
        <f>'Revenues 9-14'!E171</f>
        <v>0</v>
      </c>
      <c r="D4794" s="2" t="str">
        <f t="shared" si="73"/>
        <v>Error?</v>
      </c>
    </row>
    <row r="4795" spans="1:4" x14ac:dyDescent="0.2">
      <c r="A4795" s="5">
        <v>4734</v>
      </c>
      <c r="B4795" s="138">
        <f>'Revenues 9-14'!F171</f>
        <v>0</v>
      </c>
      <c r="D4795" s="2" t="str">
        <f t="shared" si="73"/>
        <v>Error?</v>
      </c>
    </row>
    <row r="4796" spans="1:4" x14ac:dyDescent="0.2">
      <c r="A4796" s="5">
        <v>4735</v>
      </c>
      <c r="B4796" s="138">
        <f>'Revenues 9-14'!G171</f>
        <v>0</v>
      </c>
      <c r="D4796" s="2" t="str">
        <f t="shared" si="73"/>
        <v>Error?</v>
      </c>
    </row>
    <row r="4797" spans="1:4" x14ac:dyDescent="0.2">
      <c r="A4797" s="5">
        <v>4736</v>
      </c>
      <c r="B4797" s="138">
        <f>'Revenues 9-14'!H171</f>
        <v>0</v>
      </c>
      <c r="D4797" s="2" t="str">
        <f t="shared" si="73"/>
        <v>Error?</v>
      </c>
    </row>
    <row r="4798" spans="1:4" x14ac:dyDescent="0.2">
      <c r="A4798" s="10">
        <v>4737</v>
      </c>
      <c r="D4798" s="2" t="str">
        <f t="shared" si="73"/>
        <v>OK</v>
      </c>
    </row>
    <row r="4799" spans="1:4" x14ac:dyDescent="0.2">
      <c r="A4799" s="5">
        <v>4738</v>
      </c>
      <c r="B4799" s="138">
        <f>'Revenues 9-14'!K171</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9-14'!C182</f>
        <v>0</v>
      </c>
      <c r="D4801" s="2" t="str">
        <f t="shared" si="74"/>
        <v>Error?</v>
      </c>
    </row>
    <row r="4802" spans="1:4" x14ac:dyDescent="0.2">
      <c r="A4802" s="5">
        <v>4741</v>
      </c>
      <c r="B4802" s="138">
        <f>'Revenues 9-14'!D182</f>
        <v>0</v>
      </c>
      <c r="D4802" s="2" t="str">
        <f t="shared" si="74"/>
        <v>Error?</v>
      </c>
    </row>
    <row r="4803" spans="1:4" x14ac:dyDescent="0.2">
      <c r="A4803" s="10">
        <v>4742</v>
      </c>
      <c r="D4803" s="2" t="str">
        <f t="shared" si="74"/>
        <v>OK</v>
      </c>
    </row>
    <row r="4804" spans="1:4" x14ac:dyDescent="0.2">
      <c r="A4804" s="5">
        <v>4743</v>
      </c>
      <c r="B4804" s="138">
        <f>'Revenues 9-14'!F182</f>
        <v>0</v>
      </c>
      <c r="D4804" s="2" t="str">
        <f t="shared" si="74"/>
        <v>Error?</v>
      </c>
    </row>
    <row r="4805" spans="1:4" x14ac:dyDescent="0.2">
      <c r="A4805" s="5">
        <v>4744</v>
      </c>
      <c r="B4805" s="138">
        <f>'Revenues 9-14'!C183</f>
        <v>0</v>
      </c>
      <c r="D4805" s="2" t="str">
        <f t="shared" si="74"/>
        <v>Error?</v>
      </c>
    </row>
    <row r="4806" spans="1:4" x14ac:dyDescent="0.2">
      <c r="A4806" s="5">
        <v>4745</v>
      </c>
      <c r="B4806" s="138">
        <f>'Revenues 9-14'!D183</f>
        <v>0</v>
      </c>
      <c r="D4806" s="2" t="str">
        <f t="shared" si="74"/>
        <v>Error?</v>
      </c>
    </row>
    <row r="4807" spans="1:4" x14ac:dyDescent="0.2">
      <c r="A4807" s="10">
        <v>4746</v>
      </c>
      <c r="D4807" s="2" t="str">
        <f t="shared" si="74"/>
        <v>OK</v>
      </c>
    </row>
    <row r="4808" spans="1:4" x14ac:dyDescent="0.2">
      <c r="A4808" s="12">
        <v>4747</v>
      </c>
      <c r="B4808" s="138">
        <f>'Revenues 9-14'!F183</f>
        <v>0</v>
      </c>
      <c r="D4808" s="2" t="str">
        <f t="shared" si="74"/>
        <v>Error?</v>
      </c>
    </row>
    <row r="4809" spans="1:4" x14ac:dyDescent="0.2">
      <c r="A4809" s="5">
        <v>4748</v>
      </c>
      <c r="D4809" s="2" t="str">
        <f t="shared" si="74"/>
        <v>OK</v>
      </c>
    </row>
    <row r="4810" spans="1:4" x14ac:dyDescent="0.2">
      <c r="A4810" s="5">
        <v>4749</v>
      </c>
      <c r="B4810" s="138">
        <f>'Revenues 9-14'!G182</f>
        <v>0</v>
      </c>
      <c r="D4810" s="2" t="str">
        <f t="shared" si="74"/>
        <v>Error?</v>
      </c>
    </row>
    <row r="4811" spans="1:4" x14ac:dyDescent="0.2">
      <c r="A4811" s="5">
        <v>4750</v>
      </c>
      <c r="B4811" s="138">
        <f>'Revenues 9-14'!H182</f>
        <v>0</v>
      </c>
      <c r="D4811" s="2" t="str">
        <f t="shared" si="74"/>
        <v>Error?</v>
      </c>
    </row>
    <row r="4812" spans="1:4" x14ac:dyDescent="0.2">
      <c r="A4812" s="10">
        <v>4751</v>
      </c>
      <c r="D4812" s="2" t="str">
        <f t="shared" si="74"/>
        <v>OK</v>
      </c>
    </row>
    <row r="4813" spans="1:4" x14ac:dyDescent="0.2">
      <c r="A4813" s="5">
        <v>4752</v>
      </c>
      <c r="B4813" s="138">
        <f>'Revenues 9-14'!G183</f>
        <v>0</v>
      </c>
      <c r="D4813" s="2" t="str">
        <f t="shared" si="74"/>
        <v>Error?</v>
      </c>
    </row>
    <row r="4814" spans="1:4" x14ac:dyDescent="0.2">
      <c r="A4814" s="5">
        <v>4753</v>
      </c>
      <c r="B4814" s="138">
        <f>'Revenues 9-14'!H183</f>
        <v>0</v>
      </c>
      <c r="D4814" s="2" t="str">
        <f t="shared" si="74"/>
        <v>Error?</v>
      </c>
    </row>
    <row r="4815" spans="1:4" x14ac:dyDescent="0.2">
      <c r="A4815" s="10">
        <v>4754</v>
      </c>
      <c r="D4815" s="2" t="str">
        <f t="shared" si="74"/>
        <v>OK</v>
      </c>
    </row>
    <row r="4816" spans="1:4" x14ac:dyDescent="0.2">
      <c r="A4816" s="5">
        <v>4755</v>
      </c>
      <c r="B4816" s="138">
        <f>'Revenues 9-14'!K183</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9-14'!C272</f>
        <v>51083</v>
      </c>
      <c r="D4852" s="2" t="str">
        <f t="shared" si="74"/>
        <v>Error?</v>
      </c>
    </row>
    <row r="4853" spans="1:4" x14ac:dyDescent="0.2">
      <c r="A4853" s="5">
        <v>4792</v>
      </c>
      <c r="B4853" s="138">
        <f>'Revenues 9-14'!D272</f>
        <v>0</v>
      </c>
      <c r="D4853" s="2" t="str">
        <f t="shared" si="74"/>
        <v>Error?</v>
      </c>
    </row>
    <row r="4854" spans="1:4" x14ac:dyDescent="0.2">
      <c r="A4854" s="10">
        <v>4793</v>
      </c>
      <c r="D4854" s="2" t="str">
        <f t="shared" si="74"/>
        <v>OK</v>
      </c>
    </row>
    <row r="4855" spans="1:4" x14ac:dyDescent="0.2">
      <c r="A4855" s="5">
        <v>4794</v>
      </c>
      <c r="B4855" s="138">
        <f>'Revenues 9-14'!F272</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9-14'!G272</f>
        <v>0</v>
      </c>
      <c r="D4864" s="2" t="str">
        <f t="shared" si="75"/>
        <v>Error?</v>
      </c>
    </row>
    <row r="4865" spans="1:4" x14ac:dyDescent="0.2">
      <c r="A4865" s="5">
        <v>4804</v>
      </c>
      <c r="B4865" s="138">
        <f>'Revenues 9-14'!H272</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9-14'!K272</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9-14'!C120</f>
        <v>0</v>
      </c>
      <c r="D4882" s="2" t="str">
        <f t="shared" si="75"/>
        <v>Error?</v>
      </c>
    </row>
    <row r="4883" spans="1:4" x14ac:dyDescent="0.2">
      <c r="A4883" s="5">
        <v>4822</v>
      </c>
      <c r="B4883" s="138">
        <f>'Revenues 9-14'!D120</f>
        <v>0</v>
      </c>
      <c r="D4883" s="2" t="str">
        <f t="shared" si="75"/>
        <v>Error?</v>
      </c>
    </row>
    <row r="4884" spans="1:4" x14ac:dyDescent="0.2">
      <c r="A4884" s="5">
        <v>4823</v>
      </c>
      <c r="B4884" s="138">
        <f>'Revenues 9-14'!E120</f>
        <v>0</v>
      </c>
      <c r="D4884" s="2" t="str">
        <f t="shared" si="75"/>
        <v>Error?</v>
      </c>
    </row>
    <row r="4885" spans="1:4" x14ac:dyDescent="0.2">
      <c r="A4885" s="5">
        <v>4824</v>
      </c>
      <c r="B4885" s="138">
        <f>'Revenues 9-14'!F120</f>
        <v>0</v>
      </c>
      <c r="D4885" s="2" t="str">
        <f t="shared" si="75"/>
        <v>Error?</v>
      </c>
    </row>
    <row r="4886" spans="1:4" x14ac:dyDescent="0.2">
      <c r="A4886" s="5">
        <v>4825</v>
      </c>
      <c r="B4886" s="138">
        <f>'Revenues 9-14'!G120</f>
        <v>0</v>
      </c>
      <c r="D4886" s="2" t="str">
        <f t="shared" si="75"/>
        <v>Error?</v>
      </c>
    </row>
    <row r="4887" spans="1:4" x14ac:dyDescent="0.2">
      <c r="A4887" s="5">
        <v>4826</v>
      </c>
      <c r="B4887" s="138">
        <f>'Revenues 9-14'!H120</f>
        <v>0</v>
      </c>
      <c r="D4887" s="2" t="str">
        <f t="shared" si="75"/>
        <v>Error?</v>
      </c>
    </row>
    <row r="4888" spans="1:4" x14ac:dyDescent="0.2">
      <c r="A4888" s="10">
        <v>4827</v>
      </c>
      <c r="D4888" s="2" t="str">
        <f t="shared" si="75"/>
        <v>OK</v>
      </c>
    </row>
    <row r="4889" spans="1:4" x14ac:dyDescent="0.2">
      <c r="A4889" s="5">
        <v>4828</v>
      </c>
      <c r="B4889" s="138">
        <f>'Revenues 9-14'!K120</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9-14'!C165</f>
        <v>0</v>
      </c>
      <c r="D4915" s="2" t="str">
        <f t="shared" si="75"/>
        <v>Error?</v>
      </c>
    </row>
    <row r="4916" spans="1:4" x14ac:dyDescent="0.2">
      <c r="A4916" s="5">
        <v>4855</v>
      </c>
      <c r="B4916" s="138">
        <f>'Revenues 9-14'!D165</f>
        <v>0</v>
      </c>
      <c r="D4916" s="2" t="str">
        <f t="shared" si="75"/>
        <v>Error?</v>
      </c>
    </row>
    <row r="4917" spans="1:4" x14ac:dyDescent="0.2">
      <c r="A4917" s="5">
        <v>4856</v>
      </c>
      <c r="B4917" s="138">
        <f>'Revenues 9-14'!E165</f>
        <v>0</v>
      </c>
      <c r="D4917" s="2" t="str">
        <f t="shared" si="75"/>
        <v>Error?</v>
      </c>
    </row>
    <row r="4918" spans="1:4" x14ac:dyDescent="0.2">
      <c r="A4918" s="5">
        <v>4857</v>
      </c>
      <c r="B4918" s="138">
        <f>'Revenues 9-14'!F165</f>
        <v>0</v>
      </c>
      <c r="D4918" s="2" t="str">
        <f t="shared" si="75"/>
        <v>Error?</v>
      </c>
    </row>
    <row r="4919" spans="1:4" x14ac:dyDescent="0.2">
      <c r="A4919" s="5">
        <v>4858</v>
      </c>
      <c r="B4919" s="138">
        <f>'Revenues 9-14'!G165</f>
        <v>0</v>
      </c>
      <c r="D4919" s="2" t="str">
        <f t="shared" si="75"/>
        <v>Error?</v>
      </c>
    </row>
    <row r="4920" spans="1:4" x14ac:dyDescent="0.2">
      <c r="A4920" s="5">
        <v>4859</v>
      </c>
      <c r="B4920" s="138">
        <f>'Revenues 9-14'!H165</f>
        <v>0</v>
      </c>
      <c r="D4920" s="2" t="str">
        <f t="shared" si="75"/>
        <v>Error?</v>
      </c>
    </row>
    <row r="4921" spans="1:4" x14ac:dyDescent="0.2">
      <c r="A4921" s="10">
        <v>4860</v>
      </c>
      <c r="D4921" s="2" t="str">
        <f t="shared" si="75"/>
        <v>OK</v>
      </c>
    </row>
    <row r="4922" spans="1:4" x14ac:dyDescent="0.2">
      <c r="A4922" s="5">
        <v>4861</v>
      </c>
      <c r="B4922" s="138">
        <f>'Revenues 9-14'!K165</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9-14'!C177</f>
        <v>0</v>
      </c>
      <c r="D4944" s="2" t="str">
        <f t="shared" si="76"/>
        <v>Error?</v>
      </c>
    </row>
    <row r="4945" spans="1:4" x14ac:dyDescent="0.2">
      <c r="A4945" s="5">
        <v>4884</v>
      </c>
      <c r="B4945" s="138">
        <f>'Revenues 9-14'!D177</f>
        <v>0</v>
      </c>
      <c r="D4945" s="2" t="str">
        <f t="shared" si="76"/>
        <v>Error?</v>
      </c>
    </row>
    <row r="4946" spans="1:4" x14ac:dyDescent="0.2">
      <c r="A4946" s="5">
        <v>4885</v>
      </c>
      <c r="B4946" s="138">
        <f>'Revenues 9-14'!F177</f>
        <v>0</v>
      </c>
      <c r="D4946" s="2" t="str">
        <f t="shared" si="76"/>
        <v>Error?</v>
      </c>
    </row>
    <row r="4947" spans="1:4" x14ac:dyDescent="0.2">
      <c r="A4947" s="5">
        <v>4886</v>
      </c>
      <c r="B4947" s="138">
        <f>'Revenues 9-14'!G177</f>
        <v>0</v>
      </c>
      <c r="D4947" s="2" t="str">
        <f t="shared" si="76"/>
        <v>Error?</v>
      </c>
    </row>
    <row r="4948" spans="1:4" x14ac:dyDescent="0.2">
      <c r="A4948" s="5">
        <v>4887</v>
      </c>
      <c r="B4948" s="138">
        <f>'Revenues 9-14'!H177</f>
        <v>0</v>
      </c>
      <c r="D4948" s="2" t="str">
        <f t="shared" si="76"/>
        <v>Error?</v>
      </c>
    </row>
    <row r="4949" spans="1:4" x14ac:dyDescent="0.2">
      <c r="A4949" s="5">
        <v>4888</v>
      </c>
      <c r="B4949" s="138">
        <f>'Revenues 9-14'!K177</f>
        <v>0</v>
      </c>
      <c r="D4949" s="2" t="str">
        <f t="shared" si="76"/>
        <v>Error?</v>
      </c>
    </row>
    <row r="4950" spans="1:4" x14ac:dyDescent="0.2">
      <c r="A4950" s="5">
        <v>4889</v>
      </c>
      <c r="B4950" s="138">
        <f>'Revenues 9-14'!H178</f>
        <v>0</v>
      </c>
      <c r="C4950" s="2" t="s">
        <v>594</v>
      </c>
      <c r="D4950" s="2" t="str">
        <f t="shared" si="76"/>
        <v>Error?</v>
      </c>
    </row>
    <row r="4951" spans="1:4" x14ac:dyDescent="0.2">
      <c r="A4951" s="5">
        <v>4890</v>
      </c>
      <c r="B4951" s="138">
        <f>'Revenues 9-14'!K178</f>
        <v>0</v>
      </c>
      <c r="C4951" s="2" t="s">
        <v>594</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97569744</v>
      </c>
      <c r="D4995" s="2" t="str">
        <f t="shared" si="77"/>
        <v>Error?</v>
      </c>
    </row>
    <row r="4996" spans="1:4" x14ac:dyDescent="0.2">
      <c r="A4996" s="12">
        <v>4935</v>
      </c>
      <c r="B4996" s="138">
        <f>'FP Info 3'!H31</f>
        <v>6732312.3360000001</v>
      </c>
      <c r="D4996" s="2" t="str">
        <f t="shared" si="77"/>
        <v>Error?</v>
      </c>
    </row>
    <row r="4997" spans="1:4" x14ac:dyDescent="0.2">
      <c r="A4997" s="12">
        <v>4936</v>
      </c>
      <c r="B4997" s="138">
        <f>'FP Info 3'!H37</f>
        <v>20320909</v>
      </c>
      <c r="D4997" s="2" t="str">
        <f t="shared" si="77"/>
        <v>Error?</v>
      </c>
    </row>
    <row r="4998" spans="1:4" x14ac:dyDescent="0.2">
      <c r="A4998" s="10">
        <v>4937</v>
      </c>
      <c r="D4998" s="2" t="str">
        <f t="shared" si="77"/>
        <v>OK</v>
      </c>
    </row>
    <row r="4999" spans="1:4" x14ac:dyDescent="0.2">
      <c r="A4999" s="10">
        <v>4938</v>
      </c>
      <c r="C4999" s="2" t="s">
        <v>594</v>
      </c>
      <c r="D4999" s="2" t="str">
        <f t="shared" si="77"/>
        <v>OK</v>
      </c>
    </row>
    <row r="5000" spans="1:4" x14ac:dyDescent="0.2">
      <c r="A5000" s="5">
        <v>4939</v>
      </c>
      <c r="B5000" s="138">
        <f>'Revenues 9-14'!K172</f>
        <v>0</v>
      </c>
      <c r="C5000" s="2" t="s">
        <v>594</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594</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594</v>
      </c>
      <c r="D5009" s="2" t="str">
        <f t="shared" si="77"/>
        <v>OK</v>
      </c>
    </row>
    <row r="5010" spans="1:4" x14ac:dyDescent="0.2">
      <c r="A5010" s="10">
        <v>4949</v>
      </c>
      <c r="C5010" s="2" t="s">
        <v>594</v>
      </c>
      <c r="D5010" s="2" t="str">
        <f t="shared" si="77"/>
        <v>OK</v>
      </c>
    </row>
    <row r="5011" spans="1:4" x14ac:dyDescent="0.2">
      <c r="A5011" s="5">
        <v>4950</v>
      </c>
      <c r="B5011" s="138">
        <f>'Acct Summary 7-8'!I6</f>
        <v>0</v>
      </c>
      <c r="C5011" s="2" t="s">
        <v>594</v>
      </c>
      <c r="D5011" s="2" t="str">
        <f t="shared" si="77"/>
        <v>Error?</v>
      </c>
    </row>
    <row r="5012" spans="1:4" x14ac:dyDescent="0.2">
      <c r="A5012" s="5">
        <v>4951</v>
      </c>
      <c r="B5012" s="138">
        <f>'Acct Summary 7-8'!C27</f>
        <v>0</v>
      </c>
      <c r="C5012" s="2" t="s">
        <v>594</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594</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594</v>
      </c>
      <c r="D5025" s="2" t="str">
        <f t="shared" si="77"/>
        <v>OK</v>
      </c>
    </row>
    <row r="5026" spans="1:4" x14ac:dyDescent="0.2">
      <c r="A5026" s="5">
        <v>4965</v>
      </c>
      <c r="B5026" s="138">
        <f>'Revenues 9-14'!C6</f>
        <v>0</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9-14'!C163</f>
        <v>0</v>
      </c>
      <c r="D5056" s="2" t="str">
        <f t="shared" si="78"/>
        <v>Error?</v>
      </c>
    </row>
    <row r="5057" spans="1:4" x14ac:dyDescent="0.2">
      <c r="A5057" s="5">
        <v>4996</v>
      </c>
      <c r="B5057" s="138">
        <f>'Revenues 9-14'!D163</f>
        <v>0</v>
      </c>
      <c r="D5057" s="2" t="str">
        <f t="shared" si="78"/>
        <v>Error?</v>
      </c>
    </row>
    <row r="5058" spans="1:4" x14ac:dyDescent="0.2">
      <c r="A5058" s="5">
        <v>4997</v>
      </c>
      <c r="B5058" s="138">
        <f>'Revenues 9-14'!F163</f>
        <v>0</v>
      </c>
      <c r="D5058" s="2" t="str">
        <f t="shared" si="78"/>
        <v>Error?</v>
      </c>
    </row>
    <row r="5059" spans="1:4" x14ac:dyDescent="0.2">
      <c r="A5059" s="5">
        <v>4998</v>
      </c>
      <c r="B5059" s="138">
        <f>'Revenues 9-14'!G163</f>
        <v>0</v>
      </c>
      <c r="D5059" s="2" t="str">
        <f t="shared" si="78"/>
        <v>Error?</v>
      </c>
    </row>
    <row r="5060" spans="1:4" x14ac:dyDescent="0.2">
      <c r="A5060" s="5">
        <v>4999</v>
      </c>
      <c r="B5060" s="138">
        <f>'Revenues 9-14'!C164</f>
        <v>0</v>
      </c>
      <c r="D5060" s="2" t="str">
        <f t="shared" si="78"/>
        <v>Error?</v>
      </c>
    </row>
    <row r="5061" spans="1:4" x14ac:dyDescent="0.2">
      <c r="A5061" s="5">
        <v>5000</v>
      </c>
      <c r="B5061" s="138">
        <f>'Revenues 9-14'!C5</f>
        <v>2920733</v>
      </c>
      <c r="D5061" s="2" t="str">
        <f t="shared" si="78"/>
        <v>Error?</v>
      </c>
    </row>
    <row r="5062" spans="1:4" x14ac:dyDescent="0.2">
      <c r="A5062" s="10">
        <v>5001</v>
      </c>
      <c r="D5062" s="2" t="str">
        <f t="shared" si="78"/>
        <v>OK</v>
      </c>
    </row>
    <row r="5063" spans="1:4" x14ac:dyDescent="0.2">
      <c r="A5063" s="5">
        <v>5002</v>
      </c>
      <c r="B5063" s="138">
        <f>'Revenues 9-14'!C7</f>
        <v>300151</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3220884</v>
      </c>
      <c r="C5066" s="2" t="s">
        <v>594</v>
      </c>
      <c r="D5066" s="2" t="str">
        <f t="shared" si="78"/>
        <v>Error?</v>
      </c>
    </row>
    <row r="5067" spans="1:4" x14ac:dyDescent="0.2">
      <c r="A5067" s="5">
        <v>5006</v>
      </c>
      <c r="B5067" s="138">
        <f>'Revenues 9-14'!C14</f>
        <v>6816</v>
      </c>
      <c r="D5067" s="2" t="str">
        <f t="shared" si="78"/>
        <v>Error?</v>
      </c>
    </row>
    <row r="5068" spans="1:4" x14ac:dyDescent="0.2">
      <c r="A5068" s="5">
        <v>5007</v>
      </c>
      <c r="B5068" s="138">
        <f>'Revenues 9-14'!C15</f>
        <v>8966</v>
      </c>
      <c r="D5068" s="2" t="str">
        <f t="shared" si="78"/>
        <v>Error?</v>
      </c>
    </row>
    <row r="5069" spans="1:4" x14ac:dyDescent="0.2">
      <c r="A5069" s="5">
        <v>5008</v>
      </c>
      <c r="B5069" s="138">
        <f>'Revenues 9-14'!C16</f>
        <v>191236</v>
      </c>
      <c r="D5069" s="2" t="str">
        <f t="shared" si="78"/>
        <v>Error?</v>
      </c>
    </row>
    <row r="5070" spans="1:4" x14ac:dyDescent="0.2">
      <c r="A5070" s="5">
        <v>5009</v>
      </c>
      <c r="B5070" s="138">
        <f>'Revenues 9-14'!C17</f>
        <v>0</v>
      </c>
      <c r="D5070" s="2" t="str">
        <f t="shared" si="78"/>
        <v>Error?</v>
      </c>
    </row>
    <row r="5071" spans="1:4" x14ac:dyDescent="0.2">
      <c r="A5071" s="5">
        <v>5010</v>
      </c>
      <c r="B5071" s="138">
        <f>'Revenues 9-14'!C18</f>
        <v>207018</v>
      </c>
      <c r="C5071" s="2" t="s">
        <v>594</v>
      </c>
      <c r="D5071" s="2" t="str">
        <f t="shared" si="78"/>
        <v>Error?</v>
      </c>
    </row>
    <row r="5072" spans="1:4" x14ac:dyDescent="0.2">
      <c r="A5072" s="5">
        <v>5011</v>
      </c>
      <c r="B5072" s="138">
        <f>'Revenues 9-14'!C20</f>
        <v>0</v>
      </c>
      <c r="D5072" s="2" t="str">
        <f t="shared" si="78"/>
        <v>Error?</v>
      </c>
    </row>
    <row r="5073" spans="1:4" x14ac:dyDescent="0.2">
      <c r="A5073" s="5">
        <v>5012</v>
      </c>
      <c r="B5073" s="138">
        <f>'Revenues 9-14'!C21</f>
        <v>42877</v>
      </c>
      <c r="D5073" s="2" t="str">
        <f t="shared" si="78"/>
        <v>Error?</v>
      </c>
    </row>
    <row r="5074" spans="1:4" x14ac:dyDescent="0.2">
      <c r="A5074" s="5">
        <v>5013</v>
      </c>
      <c r="B5074" s="138">
        <f>'Revenues 9-14'!C22</f>
        <v>0</v>
      </c>
      <c r="D5074" s="2" t="str">
        <f t="shared" si="78"/>
        <v>Error?</v>
      </c>
    </row>
    <row r="5075" spans="1:4" x14ac:dyDescent="0.2">
      <c r="A5075" s="5">
        <v>5014</v>
      </c>
      <c r="B5075" s="138">
        <f>'Revenues 9-14'!C24</f>
        <v>0</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0</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42877</v>
      </c>
      <c r="C5087" s="2" t="s">
        <v>594</v>
      </c>
      <c r="D5087" s="2" t="str">
        <f t="shared" si="78"/>
        <v>Error?</v>
      </c>
    </row>
    <row r="5088" spans="1:4" x14ac:dyDescent="0.2">
      <c r="A5088" s="5">
        <v>5027</v>
      </c>
      <c r="B5088" s="138">
        <f>'Revenues 9-14'!C65</f>
        <v>8294</v>
      </c>
      <c r="D5088" s="2" t="str">
        <f t="shared" si="78"/>
        <v>Error?</v>
      </c>
    </row>
    <row r="5089" spans="1:4" x14ac:dyDescent="0.2">
      <c r="A5089" s="5">
        <v>5028</v>
      </c>
      <c r="B5089" s="138">
        <f>'Revenues 9-14'!C66</f>
        <v>0</v>
      </c>
      <c r="D5089" s="2" t="str">
        <f t="shared" si="78"/>
        <v>Error?</v>
      </c>
    </row>
    <row r="5090" spans="1:4" x14ac:dyDescent="0.2">
      <c r="A5090" s="5">
        <v>5029</v>
      </c>
      <c r="B5090" s="138">
        <f>'Revenues 9-14'!C67</f>
        <v>8294</v>
      </c>
      <c r="C5090" s="2" t="s">
        <v>594</v>
      </c>
      <c r="D5090" s="2" t="str">
        <f t="shared" si="78"/>
        <v>Error?</v>
      </c>
    </row>
    <row r="5091" spans="1:4" x14ac:dyDescent="0.2">
      <c r="A5091" s="5">
        <v>5030</v>
      </c>
      <c r="B5091" s="138">
        <f>'Revenues 9-14'!C70</f>
        <v>0</v>
      </c>
      <c r="D5091" s="2" t="str">
        <f t="shared" si="78"/>
        <v>Error?</v>
      </c>
    </row>
    <row r="5092" spans="1:4" x14ac:dyDescent="0.2">
      <c r="A5092" s="5">
        <v>5031</v>
      </c>
      <c r="B5092" s="138">
        <f>'Revenues 9-14'!C71</f>
        <v>213</v>
      </c>
      <c r="D5092" s="2" t="str">
        <f t="shared" si="78"/>
        <v>Error?</v>
      </c>
    </row>
    <row r="5093" spans="1:4" x14ac:dyDescent="0.2">
      <c r="A5093" s="5">
        <v>5032</v>
      </c>
      <c r="B5093" s="138">
        <f>'Revenues 9-14'!C72</f>
        <v>0</v>
      </c>
      <c r="D5093" s="2" t="str">
        <f t="shared" si="78"/>
        <v>Error?</v>
      </c>
    </row>
    <row r="5094" spans="1:4" x14ac:dyDescent="0.2">
      <c r="A5094" s="5">
        <v>5033</v>
      </c>
      <c r="B5094" s="138">
        <f>'Revenues 9-14'!C73</f>
        <v>2093</v>
      </c>
      <c r="D5094" s="2" t="str">
        <f t="shared" si="78"/>
        <v>Error?</v>
      </c>
    </row>
    <row r="5095" spans="1:4" x14ac:dyDescent="0.2">
      <c r="A5095" s="5">
        <v>5034</v>
      </c>
      <c r="B5095" s="138">
        <f>'Revenues 9-14'!C74</f>
        <v>1860</v>
      </c>
      <c r="D5095" s="2" t="str">
        <f t="shared" si="78"/>
        <v>Error?</v>
      </c>
    </row>
    <row r="5096" spans="1:4" x14ac:dyDescent="0.2">
      <c r="A5096" s="5">
        <v>5035</v>
      </c>
      <c r="B5096" s="138">
        <f>'Revenues 9-14'!C75</f>
        <v>4166</v>
      </c>
      <c r="C5096" s="2" t="s">
        <v>594</v>
      </c>
      <c r="D5096" s="2" t="str">
        <f t="shared" si="78"/>
        <v>Error?</v>
      </c>
    </row>
    <row r="5097" spans="1:4" x14ac:dyDescent="0.2">
      <c r="A5097" s="5">
        <v>5036</v>
      </c>
      <c r="B5097" s="138">
        <f>'Revenues 9-14'!C77</f>
        <v>14196</v>
      </c>
      <c r="D5097" s="2" t="str">
        <f t="shared" si="78"/>
        <v>Error?</v>
      </c>
    </row>
    <row r="5098" spans="1:4" x14ac:dyDescent="0.2">
      <c r="A5098" s="5">
        <v>5037</v>
      </c>
      <c r="B5098" s="138">
        <f>'Revenues 9-14'!C78</f>
        <v>472</v>
      </c>
      <c r="D5098" s="2" t="str">
        <f t="shared" si="78"/>
        <v>Error?</v>
      </c>
    </row>
    <row r="5099" spans="1:4" x14ac:dyDescent="0.2">
      <c r="A5099" s="5">
        <v>5038</v>
      </c>
      <c r="B5099" s="138">
        <f>'Revenues 9-14'!C79</f>
        <v>2848</v>
      </c>
      <c r="D5099" s="2" t="str">
        <f t="shared" si="78"/>
        <v>Error?</v>
      </c>
    </row>
    <row r="5100" spans="1:4" x14ac:dyDescent="0.2">
      <c r="A5100" s="5">
        <v>5039</v>
      </c>
      <c r="B5100" s="138">
        <f>'Revenues 9-14'!C80</f>
        <v>0</v>
      </c>
      <c r="D5100" s="2" t="str">
        <f t="shared" si="78"/>
        <v>Error?</v>
      </c>
    </row>
    <row r="5101" spans="1:4" x14ac:dyDescent="0.2">
      <c r="A5101" s="5">
        <v>5040</v>
      </c>
      <c r="B5101" s="138">
        <f>'Revenues 9-14'!C81</f>
        <v>0</v>
      </c>
      <c r="D5101" s="2" t="str">
        <f t="shared" si="78"/>
        <v>Error?</v>
      </c>
    </row>
    <row r="5102" spans="1:4" x14ac:dyDescent="0.2">
      <c r="A5102" s="5">
        <v>5041</v>
      </c>
      <c r="B5102" s="138">
        <f>'Revenues 9-14'!C82</f>
        <v>17516</v>
      </c>
      <c r="C5102" s="2" t="s">
        <v>594</v>
      </c>
      <c r="D5102" s="2" t="str">
        <f t="shared" si="78"/>
        <v>Error?</v>
      </c>
    </row>
    <row r="5103" spans="1:4" x14ac:dyDescent="0.2">
      <c r="A5103" s="5">
        <v>5042</v>
      </c>
      <c r="B5103" s="138">
        <f>'Revenues 9-14'!C84</f>
        <v>13016</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0</v>
      </c>
      <c r="D5111" s="2" t="str">
        <f t="shared" si="78"/>
        <v>Error?</v>
      </c>
    </row>
    <row r="5112" spans="1:4" x14ac:dyDescent="0.2">
      <c r="A5112" s="5">
        <v>5051</v>
      </c>
      <c r="B5112" s="138">
        <f>'Revenues 9-14'!C93</f>
        <v>13016</v>
      </c>
      <c r="C5112" s="2" t="s">
        <v>594</v>
      </c>
      <c r="D5112" s="2" t="str">
        <f t="shared" si="78"/>
        <v>Error?</v>
      </c>
    </row>
    <row r="5113" spans="1:4" x14ac:dyDescent="0.2">
      <c r="A5113" s="5">
        <v>5052</v>
      </c>
      <c r="B5113" s="138">
        <f>'Revenues 9-14'!C95</f>
        <v>730</v>
      </c>
      <c r="D5113" s="2" t="str">
        <f t="shared" si="78"/>
        <v>Error?</v>
      </c>
    </row>
    <row r="5114" spans="1:4" x14ac:dyDescent="0.2">
      <c r="A5114" s="5">
        <v>5053</v>
      </c>
      <c r="B5114" s="138">
        <f>'Revenues 9-14'!C96</f>
        <v>8743</v>
      </c>
      <c r="D5114" s="2" t="str">
        <f t="shared" si="78"/>
        <v>Error?</v>
      </c>
    </row>
    <row r="5115" spans="1:4" x14ac:dyDescent="0.2">
      <c r="A5115" s="5">
        <v>5054</v>
      </c>
      <c r="B5115" s="138">
        <f>'Revenues 9-14'!C98</f>
        <v>0</v>
      </c>
      <c r="D5115" s="2" t="str">
        <f t="shared" si="78"/>
        <v>Error?</v>
      </c>
    </row>
    <row r="5116" spans="1:4" x14ac:dyDescent="0.2">
      <c r="A5116" s="5">
        <v>5055</v>
      </c>
      <c r="B5116" s="138">
        <f>'Revenues 9-14'!C99</f>
        <v>18888</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0</v>
      </c>
      <c r="D5118" s="2" t="str">
        <f t="shared" si="78"/>
        <v>Error?</v>
      </c>
    </row>
    <row r="5119" spans="1:4" x14ac:dyDescent="0.2">
      <c r="A5119" s="5">
        <v>5058</v>
      </c>
      <c r="B5119" s="138">
        <f>'Revenues 9-14'!C107</f>
        <v>72361</v>
      </c>
      <c r="D5119" s="2" t="str">
        <f t="shared" ref="D5119:D5182" si="79">IF(ISBLANK(B5119),"OK",IF(A5119-B5119=0,"OK","Error?"))</f>
        <v>Error?</v>
      </c>
    </row>
    <row r="5120" spans="1:4" x14ac:dyDescent="0.2">
      <c r="A5120" s="5">
        <v>5059</v>
      </c>
      <c r="B5120" s="138">
        <f>'Revenues 9-14'!C108</f>
        <v>100722</v>
      </c>
      <c r="C5120" s="2" t="s">
        <v>594</v>
      </c>
      <c r="D5120" s="2" t="str">
        <f t="shared" si="79"/>
        <v>Error?</v>
      </c>
    </row>
    <row r="5121" spans="1:4" x14ac:dyDescent="0.2">
      <c r="A5121" s="5">
        <v>5060</v>
      </c>
      <c r="B5121" s="138">
        <f>'Revenues 9-14'!C109</f>
        <v>3614493</v>
      </c>
      <c r="C5121" s="2" t="s">
        <v>594</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594</v>
      </c>
      <c r="D5125" s="2" t="str">
        <f t="shared" si="79"/>
        <v>Error?</v>
      </c>
    </row>
    <row r="5126" spans="1:4" x14ac:dyDescent="0.2">
      <c r="A5126" s="5">
        <v>5065</v>
      </c>
      <c r="B5126" s="138">
        <f>'Revenues 9-14'!C117</f>
        <v>10070798</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9-14'!C121</f>
        <v>10070798</v>
      </c>
      <c r="C5132" s="2" t="s">
        <v>594</v>
      </c>
      <c r="D5132" s="2" t="str">
        <f t="shared" si="79"/>
        <v>Error?</v>
      </c>
    </row>
    <row r="5133" spans="1:4" x14ac:dyDescent="0.2">
      <c r="A5133" s="5">
        <v>5072</v>
      </c>
      <c r="B5133" s="138">
        <f>'Revenues 9-14'!C124</f>
        <v>300123</v>
      </c>
      <c r="D5133" s="2" t="str">
        <f t="shared" si="79"/>
        <v>Error?</v>
      </c>
    </row>
    <row r="5134" spans="1:4" x14ac:dyDescent="0.2">
      <c r="A5134" s="5">
        <v>5073</v>
      </c>
      <c r="B5134" s="138">
        <f>'Revenues 9-14'!C125</f>
        <v>122299</v>
      </c>
      <c r="D5134" s="2" t="str">
        <f t="shared" si="79"/>
        <v>Error?</v>
      </c>
    </row>
    <row r="5135" spans="1:4" x14ac:dyDescent="0.2">
      <c r="A5135" s="5">
        <v>5074</v>
      </c>
      <c r="B5135" s="138">
        <f>'Revenues 9-14'!C126</f>
        <v>221146</v>
      </c>
      <c r="D5135" s="2" t="str">
        <f t="shared" si="79"/>
        <v>Error?</v>
      </c>
    </row>
    <row r="5136" spans="1:4" x14ac:dyDescent="0.2">
      <c r="A5136" s="10">
        <v>5075</v>
      </c>
      <c r="D5136" s="2" t="str">
        <f t="shared" si="79"/>
        <v>OK</v>
      </c>
    </row>
    <row r="5137" spans="1:4" x14ac:dyDescent="0.2">
      <c r="A5137" s="5">
        <v>5076</v>
      </c>
      <c r="B5137" s="138">
        <f>'Revenues 9-14'!C127</f>
        <v>28505</v>
      </c>
      <c r="D5137" s="2" t="str">
        <f t="shared" si="79"/>
        <v>Error?</v>
      </c>
    </row>
    <row r="5138" spans="1:4" x14ac:dyDescent="0.2">
      <c r="A5138" s="10">
        <v>5077</v>
      </c>
      <c r="D5138" s="2" t="str">
        <f t="shared" si="79"/>
        <v>OK</v>
      </c>
    </row>
    <row r="5139" spans="1:4" x14ac:dyDescent="0.2">
      <c r="A5139" s="5">
        <v>5078</v>
      </c>
      <c r="B5139" s="138">
        <f>'Revenues 9-14'!C128</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9-14'!C129</f>
        <v>5317</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9-14'!C131</f>
        <v>677390</v>
      </c>
      <c r="C5147" s="2" t="s">
        <v>594</v>
      </c>
      <c r="D5147" s="2" t="str">
        <f t="shared" si="79"/>
        <v>Error?</v>
      </c>
    </row>
    <row r="5148" spans="1:4" x14ac:dyDescent="0.2">
      <c r="A5148" s="5">
        <v>5087</v>
      </c>
      <c r="B5148" s="138">
        <f>'Revenues 9-14'!C133</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9-14'!C134</f>
        <v>0</v>
      </c>
      <c r="D5152" s="2" t="str">
        <f t="shared" si="79"/>
        <v>Error?</v>
      </c>
    </row>
    <row r="5153" spans="1:4" x14ac:dyDescent="0.2">
      <c r="A5153" s="5">
        <v>5092</v>
      </c>
      <c r="B5153" s="138">
        <f>'Revenues 9-14'!C135</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9-14'!C140</f>
        <v>0</v>
      </c>
      <c r="C5161" s="2" t="s">
        <v>594</v>
      </c>
      <c r="D5161" s="2" t="str">
        <f t="shared" si="79"/>
        <v>Error?</v>
      </c>
    </row>
    <row r="5162" spans="1:4" x14ac:dyDescent="0.2">
      <c r="A5162" s="10">
        <v>5101</v>
      </c>
      <c r="D5162" s="2" t="str">
        <f t="shared" si="79"/>
        <v>OK</v>
      </c>
    </row>
    <row r="5163" spans="1:4" x14ac:dyDescent="0.2">
      <c r="A5163" s="5">
        <v>5102</v>
      </c>
      <c r="B5163" s="138">
        <f>'Revenues 9-14'!C142</f>
        <v>94901</v>
      </c>
      <c r="D5163" s="2" t="str">
        <f t="shared" si="79"/>
        <v>Error?</v>
      </c>
    </row>
    <row r="5164" spans="1:4" x14ac:dyDescent="0.2">
      <c r="A5164" s="5">
        <v>5103</v>
      </c>
      <c r="B5164" s="138">
        <f>'Revenues 9-14'!C143</f>
        <v>0</v>
      </c>
      <c r="D5164" s="2" t="str">
        <f t="shared" si="79"/>
        <v>Error?</v>
      </c>
    </row>
    <row r="5165" spans="1:4" x14ac:dyDescent="0.2">
      <c r="A5165" s="5">
        <v>5104</v>
      </c>
      <c r="B5165" s="138">
        <f>'Revenues 9-14'!C144</f>
        <v>94901</v>
      </c>
      <c r="C5165" s="2" t="s">
        <v>594</v>
      </c>
      <c r="D5165" s="2" t="str">
        <f t="shared" si="79"/>
        <v>Error?</v>
      </c>
    </row>
    <row r="5166" spans="1:4" x14ac:dyDescent="0.2">
      <c r="A5166" s="10">
        <v>5105</v>
      </c>
      <c r="D5166" s="2" t="str">
        <f t="shared" si="79"/>
        <v>OK</v>
      </c>
    </row>
    <row r="5167" spans="1:4" x14ac:dyDescent="0.2">
      <c r="A5167" s="5">
        <v>5106</v>
      </c>
      <c r="B5167" s="138">
        <f>'Revenues 9-14'!C145</f>
        <v>17913</v>
      </c>
      <c r="D5167" s="2" t="str">
        <f t="shared" si="79"/>
        <v>Error?</v>
      </c>
    </row>
    <row r="5168" spans="1:4" x14ac:dyDescent="0.2">
      <c r="A5168" s="5">
        <v>5107</v>
      </c>
      <c r="B5168" s="138">
        <f>'Revenues 9-14'!C147</f>
        <v>0</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9-14'!C148</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9-14'!C151</f>
        <v>0</v>
      </c>
      <c r="D5175" s="2" t="str">
        <f t="shared" si="79"/>
        <v>Error?</v>
      </c>
    </row>
    <row r="5176" spans="1:4" x14ac:dyDescent="0.2">
      <c r="A5176" s="10">
        <v>5115</v>
      </c>
      <c r="D5176" s="2" t="str">
        <f t="shared" si="79"/>
        <v>OK</v>
      </c>
    </row>
    <row r="5177" spans="1:4" x14ac:dyDescent="0.2">
      <c r="A5177" s="5">
        <v>5116</v>
      </c>
      <c r="B5177" s="138">
        <f>'Revenues 9-14'!C152</f>
        <v>0</v>
      </c>
      <c r="D5177" s="2" t="str">
        <f t="shared" si="79"/>
        <v>Error?</v>
      </c>
    </row>
    <row r="5178" spans="1:4" x14ac:dyDescent="0.2">
      <c r="A5178" s="5">
        <v>5117</v>
      </c>
      <c r="B5178" s="138">
        <f>'Revenues 9-14'!C154</f>
        <v>0</v>
      </c>
      <c r="C5178" s="2" t="s">
        <v>594</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9-14'!C155</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4" x14ac:dyDescent="0.2">
      <c r="A5185" s="10">
        <v>5124</v>
      </c>
      <c r="D5185" s="2" t="str">
        <f t="shared" si="80"/>
        <v>OK</v>
      </c>
    </row>
    <row r="5186" spans="1:4" x14ac:dyDescent="0.2">
      <c r="A5186" s="10">
        <v>5125</v>
      </c>
      <c r="D5186" s="2" t="str">
        <f t="shared" si="80"/>
        <v>OK</v>
      </c>
    </row>
    <row r="5187" spans="1:4" x14ac:dyDescent="0.2">
      <c r="A5187" s="5">
        <v>5126</v>
      </c>
      <c r="B5187" s="138">
        <f>'Revenues 9-14'!C156</f>
        <v>0</v>
      </c>
      <c r="D5187" s="2" t="str">
        <f t="shared" si="80"/>
        <v>Error?</v>
      </c>
    </row>
    <row r="5188" spans="1:4" x14ac:dyDescent="0.2">
      <c r="A5188" s="10">
        <v>5127</v>
      </c>
      <c r="D5188" s="2" t="str">
        <f t="shared" si="80"/>
        <v>OK</v>
      </c>
    </row>
    <row r="5189" spans="1:4" x14ac:dyDescent="0.2">
      <c r="A5189" s="10">
        <v>5128</v>
      </c>
      <c r="D5189" s="2" t="str">
        <f t="shared" si="80"/>
        <v>OK</v>
      </c>
    </row>
    <row r="5190" spans="1:4" x14ac:dyDescent="0.2">
      <c r="A5190" s="10">
        <v>5129</v>
      </c>
      <c r="D5190" s="2" t="str">
        <f t="shared" si="80"/>
        <v>OK</v>
      </c>
    </row>
    <row r="5191" spans="1:4" x14ac:dyDescent="0.2">
      <c r="A5191" s="10">
        <v>5130</v>
      </c>
      <c r="D5191" s="2" t="str">
        <f t="shared" si="80"/>
        <v>OK</v>
      </c>
    </row>
    <row r="5192" spans="1:4" x14ac:dyDescent="0.2">
      <c r="A5192" s="10">
        <v>5131</v>
      </c>
      <c r="D5192" s="2" t="str">
        <f t="shared" si="80"/>
        <v>OK</v>
      </c>
    </row>
    <row r="5193" spans="1:4" x14ac:dyDescent="0.2">
      <c r="A5193" s="10">
        <v>5132</v>
      </c>
      <c r="D5193" s="2" t="str">
        <f t="shared" si="80"/>
        <v>OK</v>
      </c>
    </row>
    <row r="5194" spans="1:4" x14ac:dyDescent="0.2">
      <c r="A5194" s="5">
        <v>5133</v>
      </c>
      <c r="B5194" s="138">
        <f>'Revenues 9-14'!C157</f>
        <v>0</v>
      </c>
      <c r="D5194" s="2" t="str">
        <f t="shared" si="80"/>
        <v>Error?</v>
      </c>
    </row>
    <row r="5195" spans="1:4" x14ac:dyDescent="0.2">
      <c r="A5195" s="10">
        <v>5134</v>
      </c>
      <c r="D5195" s="2" t="str">
        <f t="shared" si="80"/>
        <v>OK</v>
      </c>
    </row>
    <row r="5196" spans="1:4" x14ac:dyDescent="0.2">
      <c r="A5196" s="5">
        <v>5135</v>
      </c>
      <c r="B5196" s="138">
        <f>'Revenues 9-14'!C158</f>
        <v>0</v>
      </c>
      <c r="D5196" s="2" t="str">
        <f t="shared" si="80"/>
        <v>Error?</v>
      </c>
    </row>
    <row r="5197" spans="1:4" x14ac:dyDescent="0.2">
      <c r="A5197" s="10">
        <v>5136</v>
      </c>
      <c r="D5197" s="2" t="str">
        <f t="shared" si="80"/>
        <v>OK</v>
      </c>
    </row>
    <row r="5198" spans="1:4" x14ac:dyDescent="0.2">
      <c r="A5198" s="10">
        <v>5137</v>
      </c>
      <c r="D5198" s="2" t="str">
        <f t="shared" si="80"/>
        <v>OK</v>
      </c>
    </row>
    <row r="5199" spans="1:4" x14ac:dyDescent="0.2">
      <c r="A5199" s="5">
        <v>5138</v>
      </c>
      <c r="B5199" s="138">
        <f>'Revenues 9-14'!C159</f>
        <v>0</v>
      </c>
      <c r="D5199" s="2" t="str">
        <f t="shared" si="80"/>
        <v>Error?</v>
      </c>
    </row>
    <row r="5200" spans="1:4" x14ac:dyDescent="0.2">
      <c r="A5200" s="5">
        <v>5139</v>
      </c>
      <c r="B5200" s="138">
        <f>'Revenues 9-14'!C160</f>
        <v>0</v>
      </c>
      <c r="D5200" s="2" t="str">
        <f t="shared" si="80"/>
        <v>Error?</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9-14'!C172</f>
        <v>831649</v>
      </c>
      <c r="C5214" s="2" t="s">
        <v>594</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9-14'!C173</f>
        <v>10902447</v>
      </c>
      <c r="C5223" s="2" t="s">
        <v>594</v>
      </c>
      <c r="D5223" s="2" t="str">
        <f t="shared" si="80"/>
        <v>Error?</v>
      </c>
    </row>
    <row r="5224" spans="1:4" x14ac:dyDescent="0.2">
      <c r="A5224" s="5">
        <v>5163</v>
      </c>
      <c r="B5224" s="138">
        <f>'Revenues 9-14'!C176</f>
        <v>0</v>
      </c>
      <c r="D5224" s="2" t="str">
        <f t="shared" si="80"/>
        <v>Error?</v>
      </c>
    </row>
    <row r="5225" spans="1:4" x14ac:dyDescent="0.2">
      <c r="A5225" s="5">
        <v>5164</v>
      </c>
      <c r="B5225" s="138">
        <f>'Revenues 9-14'!C178</f>
        <v>0</v>
      </c>
      <c r="C5225" s="2" t="s">
        <v>594</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9-14'!C180</f>
        <v>0</v>
      </c>
      <c r="D5230" s="2" t="str">
        <f t="shared" si="80"/>
        <v>Error?</v>
      </c>
    </row>
    <row r="5231" spans="1:4" x14ac:dyDescent="0.2">
      <c r="A5231" s="5">
        <v>5170</v>
      </c>
      <c r="B5231" s="138">
        <f>'Revenues 9-14'!C181</f>
        <v>0</v>
      </c>
      <c r="D5231" s="2" t="str">
        <f t="shared" si="80"/>
        <v>Error?</v>
      </c>
    </row>
    <row r="5232" spans="1:4" x14ac:dyDescent="0.2">
      <c r="A5232" s="5">
        <v>5171</v>
      </c>
      <c r="B5232" s="138">
        <f>'Revenues 9-14'!C184</f>
        <v>0</v>
      </c>
      <c r="C5232" s="2" t="s">
        <v>594</v>
      </c>
      <c r="D5232" s="2" t="str">
        <f t="shared" si="80"/>
        <v>Error?</v>
      </c>
    </row>
    <row r="5233" spans="1:4" x14ac:dyDescent="0.2">
      <c r="A5233" s="5">
        <v>5172</v>
      </c>
      <c r="B5233" s="138">
        <f>'Revenues 9-14'!C187</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9-14'!C194</f>
        <v>726749</v>
      </c>
      <c r="D5239" s="2" t="str">
        <f t="shared" si="80"/>
        <v>Error?</v>
      </c>
    </row>
    <row r="5240" spans="1:4" x14ac:dyDescent="0.2">
      <c r="A5240" s="5">
        <v>5179</v>
      </c>
      <c r="B5240" s="138">
        <f>'Revenues 9-14'!C195</f>
        <v>0</v>
      </c>
      <c r="D5240" s="2" t="str">
        <f t="shared" si="80"/>
        <v>Error?</v>
      </c>
    </row>
    <row r="5241" spans="1:4" x14ac:dyDescent="0.2">
      <c r="A5241" s="5">
        <v>5180</v>
      </c>
      <c r="B5241" s="138">
        <f>'Revenues 9-14'!C196</f>
        <v>263354</v>
      </c>
      <c r="D5241" s="2" t="str">
        <f t="shared" si="80"/>
        <v>Error?</v>
      </c>
    </row>
    <row r="5242" spans="1:4" x14ac:dyDescent="0.2">
      <c r="A5242" s="5">
        <v>5181</v>
      </c>
      <c r="B5242" s="138">
        <f>'Revenues 9-14'!C197</f>
        <v>0</v>
      </c>
      <c r="D5242" s="2" t="str">
        <f t="shared" si="80"/>
        <v>Error?</v>
      </c>
    </row>
    <row r="5243" spans="1:4" x14ac:dyDescent="0.2">
      <c r="A5243" s="5">
        <v>5182</v>
      </c>
      <c r="B5243" s="138">
        <f>'Revenues 9-14'!C198</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9-14'!C201</f>
        <v>990103</v>
      </c>
      <c r="C5246" s="2" t="s">
        <v>594</v>
      </c>
      <c r="D5246" s="2" t="str">
        <f t="shared" si="80"/>
        <v>Error?</v>
      </c>
    </row>
    <row r="5247" spans="1:4" x14ac:dyDescent="0.2">
      <c r="A5247" s="5">
        <v>5186</v>
      </c>
      <c r="B5247" s="138">
        <f>'Revenues 9-14'!C203</f>
        <v>1060784</v>
      </c>
      <c r="D5247" s="2" t="str">
        <f t="shared" ref="D5247:D5310" si="81">IF(ISBLANK(B5247),"OK",IF(A5247-B5247=0,"OK","Error?"))</f>
        <v>Error?</v>
      </c>
    </row>
    <row r="5248" spans="1:4" x14ac:dyDescent="0.2">
      <c r="A5248" s="5">
        <v>5187</v>
      </c>
      <c r="B5248" s="138">
        <f>'Revenues 9-14'!C204</f>
        <v>0</v>
      </c>
      <c r="D5248" s="2" t="str">
        <f t="shared" si="81"/>
        <v>Error?</v>
      </c>
    </row>
    <row r="5249" spans="1:4" x14ac:dyDescent="0.2">
      <c r="A5249" s="10">
        <v>5188</v>
      </c>
      <c r="D5249" s="2" t="str">
        <f t="shared" si="81"/>
        <v>OK</v>
      </c>
    </row>
    <row r="5250" spans="1:4" x14ac:dyDescent="0.2">
      <c r="A5250" s="10">
        <v>5189</v>
      </c>
      <c r="D5250" s="2" t="str">
        <f t="shared" si="81"/>
        <v>OK</v>
      </c>
    </row>
    <row r="5251" spans="1:4" x14ac:dyDescent="0.2">
      <c r="A5251" s="10">
        <v>5190</v>
      </c>
      <c r="D5251" s="2" t="str">
        <f t="shared" si="81"/>
        <v>OK</v>
      </c>
    </row>
    <row r="5252" spans="1:4" x14ac:dyDescent="0.2">
      <c r="A5252" s="10">
        <v>5191</v>
      </c>
      <c r="D5252" s="2" t="str">
        <f t="shared" si="81"/>
        <v>OK</v>
      </c>
    </row>
    <row r="5253" spans="1:4" x14ac:dyDescent="0.2">
      <c r="A5253" s="10">
        <v>5192</v>
      </c>
      <c r="D5253" s="2" t="str">
        <f t="shared" si="81"/>
        <v>OK</v>
      </c>
    </row>
    <row r="5254" spans="1:4" x14ac:dyDescent="0.2">
      <c r="A5254" s="5">
        <v>5193</v>
      </c>
      <c r="B5254" s="138">
        <f>'Revenues 9-14'!C207</f>
        <v>0</v>
      </c>
      <c r="D5254" s="2" t="str">
        <f t="shared" si="81"/>
        <v>Error?</v>
      </c>
    </row>
    <row r="5255" spans="1:4" x14ac:dyDescent="0.2">
      <c r="A5255" s="5">
        <v>5194</v>
      </c>
      <c r="B5255" s="138">
        <f>'Revenues 9-14'!C209</f>
        <v>0</v>
      </c>
      <c r="D5255" s="2" t="str">
        <f t="shared" si="81"/>
        <v>Error?</v>
      </c>
    </row>
    <row r="5256" spans="1:4" x14ac:dyDescent="0.2">
      <c r="A5256" s="5">
        <v>5195</v>
      </c>
      <c r="B5256" s="138">
        <f>'Revenues 9-14'!C213</f>
        <v>0</v>
      </c>
      <c r="D5256" s="2" t="str">
        <f t="shared" si="81"/>
        <v>Error?</v>
      </c>
    </row>
    <row r="5257" spans="1:4" x14ac:dyDescent="0.2">
      <c r="A5257" s="10">
        <v>5196</v>
      </c>
      <c r="D5257" s="2" t="str">
        <f t="shared" si="81"/>
        <v>OK</v>
      </c>
    </row>
    <row r="5258" spans="1:4" x14ac:dyDescent="0.2">
      <c r="A5258" s="10">
        <v>5197</v>
      </c>
      <c r="D5258" s="2" t="str">
        <f t="shared" si="81"/>
        <v>OK</v>
      </c>
    </row>
    <row r="5259" spans="1:4" x14ac:dyDescent="0.2">
      <c r="A5259" s="10">
        <v>5198</v>
      </c>
      <c r="D5259" s="2" t="str">
        <f t="shared" si="81"/>
        <v>OK</v>
      </c>
    </row>
    <row r="5260" spans="1:4" x14ac:dyDescent="0.2">
      <c r="A5260" s="5">
        <v>5199</v>
      </c>
      <c r="B5260" s="138">
        <f>'Revenues 9-14'!C211</f>
        <v>1060784</v>
      </c>
      <c r="C5260" s="2" t="s">
        <v>594</v>
      </c>
      <c r="D5260" s="2" t="str">
        <f t="shared" si="81"/>
        <v>Error?</v>
      </c>
    </row>
    <row r="5261" spans="1:4" x14ac:dyDescent="0.2">
      <c r="A5261" s="10">
        <v>5200</v>
      </c>
      <c r="D5261" s="2" t="str">
        <f t="shared" si="81"/>
        <v>OK</v>
      </c>
    </row>
    <row r="5262" spans="1:4" x14ac:dyDescent="0.2">
      <c r="A5262" s="10">
        <v>5201</v>
      </c>
      <c r="D5262" s="2" t="str">
        <f t="shared" si="81"/>
        <v>OK</v>
      </c>
    </row>
    <row r="5263" spans="1:4" x14ac:dyDescent="0.2">
      <c r="A5263" s="10">
        <v>5202</v>
      </c>
      <c r="D5263" s="2" t="str">
        <f t="shared" si="81"/>
        <v>OK</v>
      </c>
    </row>
    <row r="5264" spans="1:4"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9-14'!C218</f>
        <v>22184</v>
      </c>
      <c r="D5274" s="2" t="str">
        <f t="shared" si="81"/>
        <v>Error?</v>
      </c>
    </row>
    <row r="5275" spans="1:4" x14ac:dyDescent="0.2">
      <c r="A5275" s="5">
        <v>5214</v>
      </c>
      <c r="B5275" s="138">
        <f>'Revenues 9-14'!C219</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9-14'!C220</f>
        <v>580793</v>
      </c>
      <c r="D5278" s="2" t="str">
        <f t="shared" si="81"/>
        <v>Error?</v>
      </c>
    </row>
    <row r="5279" spans="1:4" x14ac:dyDescent="0.2">
      <c r="A5279" s="5">
        <v>5218</v>
      </c>
      <c r="B5279" s="138">
        <f>'Revenues 9-14'!C221</f>
        <v>3377</v>
      </c>
      <c r="D5279" s="2" t="str">
        <f t="shared" si="81"/>
        <v>Error?</v>
      </c>
    </row>
    <row r="5280" spans="1:4" x14ac:dyDescent="0.2">
      <c r="A5280" s="5">
        <v>5219</v>
      </c>
      <c r="B5280" s="138">
        <f>'Revenues 9-14'!C222</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9-14'!C224</f>
        <v>606354</v>
      </c>
      <c r="C5286" s="2" t="s">
        <v>594</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9-14'!C226</f>
        <v>0</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9-14'!C228</f>
        <v>0</v>
      </c>
      <c r="C5304" s="2" t="s">
        <v>594</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9-14'!C229</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9-14'!C263</f>
        <v>0</v>
      </c>
      <c r="D5312" s="2" t="str">
        <f t="shared" si="82"/>
        <v>Error?</v>
      </c>
    </row>
    <row r="5313" spans="1:4" x14ac:dyDescent="0.2">
      <c r="A5313" s="5">
        <v>5252</v>
      </c>
      <c r="B5313" s="138">
        <f>'Revenues 9-14'!C265</f>
        <v>0</v>
      </c>
      <c r="D5313" s="2" t="str">
        <f t="shared" si="82"/>
        <v>Error?</v>
      </c>
    </row>
    <row r="5314" spans="1:4" x14ac:dyDescent="0.2">
      <c r="A5314" s="10">
        <v>5253</v>
      </c>
      <c r="D5314" s="2" t="str">
        <f t="shared" si="82"/>
        <v>OK</v>
      </c>
    </row>
    <row r="5315" spans="1:4" x14ac:dyDescent="0.2">
      <c r="A5315" s="5">
        <v>5254</v>
      </c>
      <c r="B5315" s="138">
        <f>'Revenues 9-14'!C266</f>
        <v>0</v>
      </c>
      <c r="D5315" s="2" t="str">
        <f t="shared" si="82"/>
        <v>Error?</v>
      </c>
    </row>
    <row r="5316" spans="1:4" x14ac:dyDescent="0.2">
      <c r="A5316" s="10">
        <v>5255</v>
      </c>
      <c r="D5316" s="2" t="str">
        <f t="shared" si="82"/>
        <v>OK</v>
      </c>
    </row>
    <row r="5317" spans="1:4" x14ac:dyDescent="0.2">
      <c r="A5317" s="5">
        <v>5256</v>
      </c>
      <c r="B5317" s="138">
        <f>'Revenues 9-14'!C267</f>
        <v>0</v>
      </c>
      <c r="D5317" s="2" t="str">
        <f t="shared" si="82"/>
        <v>Error?</v>
      </c>
    </row>
    <row r="5318" spans="1:4" x14ac:dyDescent="0.2">
      <c r="A5318" s="10">
        <v>5257</v>
      </c>
      <c r="D5318" s="2" t="str">
        <f t="shared" si="82"/>
        <v>OK</v>
      </c>
    </row>
    <row r="5319" spans="1:4" x14ac:dyDescent="0.2">
      <c r="A5319" s="10">
        <v>5258</v>
      </c>
      <c r="D5319" s="2" t="str">
        <f t="shared" si="82"/>
        <v>OK</v>
      </c>
    </row>
    <row r="5320" spans="1:4" x14ac:dyDescent="0.2">
      <c r="A5320" s="5">
        <v>5259</v>
      </c>
      <c r="B5320" s="138">
        <f>'Revenues 9-14'!C273</f>
        <v>2985672</v>
      </c>
      <c r="C5320" s="2" t="s">
        <v>594</v>
      </c>
      <c r="D5320" s="2" t="str">
        <f t="shared" si="82"/>
        <v>Error?</v>
      </c>
    </row>
    <row r="5321" spans="1:4" x14ac:dyDescent="0.2">
      <c r="A5321" s="10">
        <v>5260</v>
      </c>
      <c r="D5321" s="2" t="str">
        <f t="shared" si="82"/>
        <v>OK</v>
      </c>
    </row>
    <row r="5322" spans="1:4" x14ac:dyDescent="0.2">
      <c r="A5322" s="10">
        <v>5261</v>
      </c>
      <c r="D5322" s="2" t="str">
        <f t="shared" si="82"/>
        <v>OK</v>
      </c>
    </row>
    <row r="5323" spans="1:4" x14ac:dyDescent="0.2">
      <c r="A5323" s="10">
        <v>5262</v>
      </c>
      <c r="D5323" s="2" t="str">
        <f t="shared" si="82"/>
        <v>OK</v>
      </c>
    </row>
    <row r="5324" spans="1:4" x14ac:dyDescent="0.2">
      <c r="A5324" s="10">
        <v>5263</v>
      </c>
      <c r="D5324" s="2" t="str">
        <f t="shared" si="82"/>
        <v>OK</v>
      </c>
    </row>
    <row r="5325" spans="1:4" x14ac:dyDescent="0.2">
      <c r="A5325" s="10">
        <v>5264</v>
      </c>
      <c r="D5325" s="2" t="str">
        <f t="shared" si="82"/>
        <v>OK</v>
      </c>
    </row>
    <row r="5326" spans="1:4" x14ac:dyDescent="0.2">
      <c r="A5326" s="5">
        <v>5265</v>
      </c>
      <c r="B5326" s="138">
        <f>'Revenues 9-14'!C274</f>
        <v>2985672</v>
      </c>
      <c r="C5326" s="2" t="s">
        <v>594</v>
      </c>
      <c r="D5326" s="2" t="str">
        <f t="shared" si="82"/>
        <v>Error?</v>
      </c>
    </row>
    <row r="5327" spans="1:4" x14ac:dyDescent="0.2">
      <c r="A5327" s="5">
        <v>5266</v>
      </c>
      <c r="B5327" s="138">
        <f>'Revenues 9-14'!C275</f>
        <v>17502612</v>
      </c>
      <c r="C5327" s="2" t="s">
        <v>594</v>
      </c>
      <c r="D5327" s="2" t="str">
        <f t="shared" si="82"/>
        <v>Error?</v>
      </c>
    </row>
    <row r="5328" spans="1:4" x14ac:dyDescent="0.2">
      <c r="A5328" s="5">
        <v>5267</v>
      </c>
      <c r="B5328" s="138">
        <f>'Revenues 9-14'!D5</f>
        <v>277169</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277169</v>
      </c>
      <c r="C5334" s="2" t="s">
        <v>594</v>
      </c>
      <c r="D5334" s="2" t="str">
        <f t="shared" si="82"/>
        <v>Error?</v>
      </c>
    </row>
    <row r="5335" spans="1:4" x14ac:dyDescent="0.2">
      <c r="A5335" s="5">
        <v>5274</v>
      </c>
      <c r="B5335" s="138">
        <f>'Revenues 9-14'!D14</f>
        <v>600</v>
      </c>
      <c r="D5335" s="2" t="str">
        <f t="shared" si="82"/>
        <v>Error?</v>
      </c>
    </row>
    <row r="5336" spans="1:4" x14ac:dyDescent="0.2">
      <c r="A5336" s="5">
        <v>5275</v>
      </c>
      <c r="B5336" s="138">
        <f>'Revenues 9-14'!D15</f>
        <v>789</v>
      </c>
      <c r="D5336" s="2" t="str">
        <f t="shared" si="82"/>
        <v>Error?</v>
      </c>
    </row>
    <row r="5337" spans="1:4" x14ac:dyDescent="0.2">
      <c r="A5337" s="5">
        <v>5276</v>
      </c>
      <c r="B5337" s="138">
        <f>'Revenues 9-14'!D16</f>
        <v>0</v>
      </c>
      <c r="D5337" s="2" t="str">
        <f t="shared" si="82"/>
        <v>Error?</v>
      </c>
    </row>
    <row r="5338" spans="1:4" x14ac:dyDescent="0.2">
      <c r="A5338" s="5">
        <v>5277</v>
      </c>
      <c r="B5338" s="138">
        <f>'Revenues 9-14'!D17</f>
        <v>0</v>
      </c>
      <c r="D5338" s="2" t="str">
        <f t="shared" si="82"/>
        <v>Error?</v>
      </c>
    </row>
    <row r="5339" spans="1:4" x14ac:dyDescent="0.2">
      <c r="A5339" s="5">
        <v>5278</v>
      </c>
      <c r="B5339" s="138">
        <f>'Revenues 9-14'!D18</f>
        <v>1389</v>
      </c>
      <c r="C5339" s="2" t="s">
        <v>594</v>
      </c>
      <c r="D5339" s="2" t="str">
        <f t="shared" si="82"/>
        <v>Error?</v>
      </c>
    </row>
    <row r="5340" spans="1:4" x14ac:dyDescent="0.2">
      <c r="A5340" s="5">
        <v>5279</v>
      </c>
      <c r="B5340" s="138">
        <f>'Revenues 9-14'!D65</f>
        <v>327</v>
      </c>
      <c r="D5340" s="2" t="str">
        <f t="shared" si="82"/>
        <v>Error?</v>
      </c>
    </row>
    <row r="5341" spans="1:4" x14ac:dyDescent="0.2">
      <c r="A5341" s="5">
        <v>5280</v>
      </c>
      <c r="B5341" s="138">
        <f>'Revenues 9-14'!D66</f>
        <v>0</v>
      </c>
      <c r="D5341" s="2" t="str">
        <f t="shared" si="82"/>
        <v>Error?</v>
      </c>
    </row>
    <row r="5342" spans="1:4" x14ac:dyDescent="0.2">
      <c r="A5342" s="5">
        <v>5281</v>
      </c>
      <c r="B5342" s="138">
        <f>'Revenues 9-14'!D67</f>
        <v>327</v>
      </c>
      <c r="C5342" s="2" t="s">
        <v>594</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594</v>
      </c>
      <c r="D5348" s="2" t="str">
        <f t="shared" si="82"/>
        <v>Error?</v>
      </c>
    </row>
    <row r="5349" spans="1:4" x14ac:dyDescent="0.2">
      <c r="A5349" s="5">
        <v>5288</v>
      </c>
      <c r="B5349" s="138">
        <f>'Revenues 9-14'!D95</f>
        <v>0</v>
      </c>
      <c r="D5349" s="2" t="str">
        <f t="shared" si="82"/>
        <v>Error?</v>
      </c>
    </row>
    <row r="5350" spans="1:4" x14ac:dyDescent="0.2">
      <c r="A5350" s="5">
        <v>5289</v>
      </c>
      <c r="B5350" s="138">
        <f>'Revenues 9-14'!D96</f>
        <v>545</v>
      </c>
      <c r="D5350" s="2" t="str">
        <f t="shared" si="82"/>
        <v>Error?</v>
      </c>
    </row>
    <row r="5351" spans="1:4" x14ac:dyDescent="0.2">
      <c r="A5351" s="5">
        <v>5290</v>
      </c>
      <c r="B5351" s="138">
        <f>'Revenues 9-14'!D98</f>
        <v>0</v>
      </c>
      <c r="D5351" s="2" t="str">
        <f t="shared" si="82"/>
        <v>Error?</v>
      </c>
    </row>
    <row r="5352" spans="1:4" x14ac:dyDescent="0.2">
      <c r="A5352" s="5">
        <v>5291</v>
      </c>
      <c r="B5352" s="138">
        <f>'Revenues 9-14'!D99</f>
        <v>0</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350</v>
      </c>
      <c r="D5354" s="2" t="str">
        <f t="shared" si="82"/>
        <v>Error?</v>
      </c>
    </row>
    <row r="5355" spans="1:4" x14ac:dyDescent="0.2">
      <c r="A5355" s="5">
        <v>5294</v>
      </c>
      <c r="B5355" s="138">
        <f>'Revenues 9-14'!D108</f>
        <v>294189</v>
      </c>
      <c r="C5355" s="2" t="s">
        <v>594</v>
      </c>
      <c r="D5355" s="2" t="str">
        <f t="shared" si="82"/>
        <v>Error?</v>
      </c>
    </row>
    <row r="5356" spans="1:4" x14ac:dyDescent="0.2">
      <c r="A5356" s="5">
        <v>5295</v>
      </c>
      <c r="B5356" s="138">
        <f>'Revenues 9-14'!D109</f>
        <v>573074</v>
      </c>
      <c r="C5356" s="2" t="s">
        <v>594</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594</v>
      </c>
      <c r="D5360" s="2" t="str">
        <f t="shared" si="82"/>
        <v>Error?</v>
      </c>
    </row>
    <row r="5361" spans="1:4" x14ac:dyDescent="0.2">
      <c r="A5361" s="5">
        <v>5300</v>
      </c>
      <c r="B5361" s="138">
        <f>'Revenues 9-14'!D117</f>
        <v>1100000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9-14'!D121</f>
        <v>1100000</v>
      </c>
      <c r="C5367" s="2" t="s">
        <v>594</v>
      </c>
      <c r="D5367" s="2" t="str">
        <f t="shared" si="82"/>
        <v>Error?</v>
      </c>
    </row>
    <row r="5368" spans="1:4" x14ac:dyDescent="0.2">
      <c r="A5368" s="5">
        <v>5307</v>
      </c>
      <c r="B5368" s="138">
        <f>'Revenues 9-14'!D126</f>
        <v>0</v>
      </c>
      <c r="D5368" s="2" t="str">
        <f t="shared" si="82"/>
        <v>Error?</v>
      </c>
    </row>
    <row r="5369" spans="1:4" x14ac:dyDescent="0.2">
      <c r="A5369" s="5">
        <v>5308</v>
      </c>
      <c r="B5369" s="138">
        <f>'Revenues 9-14'!D131</f>
        <v>0</v>
      </c>
      <c r="C5369" s="2" t="s">
        <v>594</v>
      </c>
      <c r="D5369" s="2" t="str">
        <f t="shared" si="82"/>
        <v>Error?</v>
      </c>
    </row>
    <row r="5370" spans="1:4" x14ac:dyDescent="0.2">
      <c r="A5370" s="5">
        <v>5309</v>
      </c>
      <c r="B5370" s="138">
        <f>'Revenues 9-14'!D133</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9-14'!D134</f>
        <v>0</v>
      </c>
      <c r="D5374" s="2" t="str">
        <f t="shared" si="82"/>
        <v>Error?</v>
      </c>
    </row>
    <row r="5375" spans="1:4" x14ac:dyDescent="0.2">
      <c r="A5375" s="5">
        <v>5314</v>
      </c>
      <c r="B5375" s="138">
        <f>'Revenues 9-14'!D135</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9-14'!D140</f>
        <v>0</v>
      </c>
      <c r="C5383" s="2" t="s">
        <v>594</v>
      </c>
      <c r="D5383" s="2" t="str">
        <f t="shared" si="83"/>
        <v>Error?</v>
      </c>
    </row>
    <row r="5384" spans="1:4" x14ac:dyDescent="0.2">
      <c r="A5384" s="5">
        <v>5323</v>
      </c>
      <c r="B5384" s="138">
        <f>'Revenues 9-14'!D147</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9-14'!D148</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9-14'!D151</f>
        <v>0</v>
      </c>
      <c r="D5391" s="2" t="str">
        <f t="shared" si="83"/>
        <v>Error?</v>
      </c>
    </row>
    <row r="5392" spans="1:4" x14ac:dyDescent="0.2">
      <c r="A5392" s="10">
        <v>5331</v>
      </c>
      <c r="D5392" s="2" t="str">
        <f t="shared" si="83"/>
        <v>OK</v>
      </c>
    </row>
    <row r="5393" spans="1:4" x14ac:dyDescent="0.2">
      <c r="A5393" s="5">
        <v>5332</v>
      </c>
      <c r="B5393" s="138">
        <f>'Revenues 9-14'!D152</f>
        <v>0</v>
      </c>
      <c r="D5393" s="2" t="str">
        <f t="shared" si="83"/>
        <v>Error?</v>
      </c>
    </row>
    <row r="5394" spans="1:4" x14ac:dyDescent="0.2">
      <c r="A5394" s="5">
        <v>5333</v>
      </c>
      <c r="B5394" s="138">
        <f>'Revenues 9-14'!D154</f>
        <v>0</v>
      </c>
      <c r="C5394" s="2" t="s">
        <v>594</v>
      </c>
      <c r="D5394" s="2" t="str">
        <f t="shared" si="83"/>
        <v>Error?</v>
      </c>
    </row>
    <row r="5395" spans="1:4" x14ac:dyDescent="0.2">
      <c r="A5395" s="5">
        <v>5334</v>
      </c>
      <c r="B5395" s="138">
        <f>'Revenues 9-14'!D156</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9-14'!D158</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9-14'!D172</f>
        <v>0</v>
      </c>
      <c r="C5412" s="2" t="s">
        <v>594</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9-14'!D173</f>
        <v>1100000</v>
      </c>
      <c r="C5421" s="2" t="s">
        <v>594</v>
      </c>
      <c r="D5421" s="2" t="str">
        <f t="shared" si="83"/>
        <v>Error?</v>
      </c>
    </row>
    <row r="5422" spans="1:4" x14ac:dyDescent="0.2">
      <c r="A5422" s="5">
        <v>5361</v>
      </c>
      <c r="B5422" s="138">
        <f>'Revenues 9-14'!D176</f>
        <v>0</v>
      </c>
      <c r="D5422" s="2" t="str">
        <f t="shared" si="83"/>
        <v>Error?</v>
      </c>
    </row>
    <row r="5423" spans="1:4" x14ac:dyDescent="0.2">
      <c r="A5423" s="5">
        <v>5362</v>
      </c>
      <c r="B5423" s="138">
        <f>'Revenues 9-14'!D178</f>
        <v>0</v>
      </c>
      <c r="C5423" s="2" t="s">
        <v>594</v>
      </c>
      <c r="D5423" s="2" t="str">
        <f t="shared" si="83"/>
        <v>Error?</v>
      </c>
    </row>
    <row r="5424" spans="1:4" x14ac:dyDescent="0.2">
      <c r="A5424" s="5">
        <v>5363</v>
      </c>
      <c r="B5424" s="138">
        <f>'Revenues 9-14'!D181</f>
        <v>0</v>
      </c>
      <c r="D5424" s="2" t="str">
        <f t="shared" si="83"/>
        <v>Error?</v>
      </c>
    </row>
    <row r="5425" spans="1:4" x14ac:dyDescent="0.2">
      <c r="A5425" s="5">
        <v>5364</v>
      </c>
      <c r="B5425" s="138">
        <f>'Revenues 9-14'!D184</f>
        <v>0</v>
      </c>
      <c r="C5425" s="2" t="s">
        <v>594</v>
      </c>
      <c r="D5425" s="2" t="str">
        <f t="shared" si="83"/>
        <v>Error?</v>
      </c>
    </row>
    <row r="5426" spans="1:4" x14ac:dyDescent="0.2">
      <c r="A5426" s="5">
        <v>5365</v>
      </c>
      <c r="B5426" s="138">
        <f>'Revenues 9-14'!D187</f>
        <v>0</v>
      </c>
      <c r="D5426" s="2" t="str">
        <f t="shared" si="83"/>
        <v>Error?</v>
      </c>
    </row>
    <row r="5427" spans="1:4" x14ac:dyDescent="0.2">
      <c r="A5427" s="10">
        <v>5366</v>
      </c>
      <c r="D5427" s="2" t="str">
        <f t="shared" si="83"/>
        <v>OK</v>
      </c>
    </row>
    <row r="5428" spans="1:4" x14ac:dyDescent="0.2">
      <c r="A5428" s="10">
        <v>5367</v>
      </c>
      <c r="D5428" s="2" t="str">
        <f t="shared" si="83"/>
        <v>OK</v>
      </c>
    </row>
    <row r="5429" spans="1:4" x14ac:dyDescent="0.2">
      <c r="A5429" s="10">
        <v>5368</v>
      </c>
      <c r="D5429" s="2" t="str">
        <f t="shared" si="83"/>
        <v>OK</v>
      </c>
    </row>
    <row r="5430" spans="1:4" x14ac:dyDescent="0.2">
      <c r="A5430" s="10">
        <v>5369</v>
      </c>
      <c r="D5430" s="2" t="str">
        <f t="shared" si="83"/>
        <v>OK</v>
      </c>
    </row>
    <row r="5431" spans="1:4" x14ac:dyDescent="0.2">
      <c r="A5431" s="5">
        <v>5370</v>
      </c>
      <c r="B5431" s="138">
        <f>'Revenues 9-14'!D203</f>
        <v>0</v>
      </c>
      <c r="D5431" s="2" t="str">
        <f t="shared" si="83"/>
        <v>Error?</v>
      </c>
    </row>
    <row r="5432" spans="1:4" x14ac:dyDescent="0.2">
      <c r="A5432" s="5">
        <v>5371</v>
      </c>
      <c r="B5432" s="138">
        <f>'Revenues 9-14'!D204</f>
        <v>0</v>
      </c>
      <c r="D5432" s="2" t="str">
        <f t="shared" si="83"/>
        <v>Error?</v>
      </c>
    </row>
    <row r="5433" spans="1:4" x14ac:dyDescent="0.2">
      <c r="A5433" s="10">
        <v>5372</v>
      </c>
      <c r="D5433" s="2" t="str">
        <f t="shared" si="83"/>
        <v>OK</v>
      </c>
    </row>
    <row r="5434" spans="1:4" x14ac:dyDescent="0.2">
      <c r="A5434" s="10">
        <v>5373</v>
      </c>
      <c r="D5434" s="2" t="str">
        <f t="shared" si="83"/>
        <v>OK</v>
      </c>
    </row>
    <row r="5435" spans="1:4" x14ac:dyDescent="0.2">
      <c r="A5435" s="10">
        <v>5374</v>
      </c>
      <c r="D5435" s="2" t="str">
        <f t="shared" si="83"/>
        <v>OK</v>
      </c>
    </row>
    <row r="5436" spans="1:4" x14ac:dyDescent="0.2">
      <c r="A5436" s="10">
        <v>5375</v>
      </c>
      <c r="D5436" s="2" t="str">
        <f t="shared" si="83"/>
        <v>OK</v>
      </c>
    </row>
    <row r="5437" spans="1:4" x14ac:dyDescent="0.2">
      <c r="A5437" s="10">
        <v>5376</v>
      </c>
      <c r="D5437" s="2" t="str">
        <f t="shared" si="83"/>
        <v>OK</v>
      </c>
    </row>
    <row r="5438" spans="1:4" x14ac:dyDescent="0.2">
      <c r="A5438" s="5">
        <v>5377</v>
      </c>
      <c r="B5438" s="138">
        <f>'Revenues 9-14'!D207</f>
        <v>0</v>
      </c>
      <c r="D5438" s="2" t="str">
        <f t="shared" si="83"/>
        <v>Error?</v>
      </c>
    </row>
    <row r="5439" spans="1:4" x14ac:dyDescent="0.2">
      <c r="A5439" s="5">
        <v>5378</v>
      </c>
      <c r="B5439" s="138">
        <f>'Revenues 9-14'!D209</f>
        <v>0</v>
      </c>
      <c r="D5439" s="2" t="str">
        <f t="shared" ref="D5439:D5502" si="84">IF(ISBLANK(B5439),"OK",IF(A5439-B5439=0,"OK","Error?"))</f>
        <v>Error?</v>
      </c>
    </row>
    <row r="5440" spans="1:4" x14ac:dyDescent="0.2">
      <c r="A5440" s="5">
        <v>5379</v>
      </c>
      <c r="B5440" s="138">
        <f>'Revenues 9-14'!D213</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9-14'!D211</f>
        <v>0</v>
      </c>
      <c r="C5444" s="2" t="s">
        <v>594</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9-14'!D218</f>
        <v>0</v>
      </c>
      <c r="D5458" s="2" t="str">
        <f t="shared" si="84"/>
        <v>Error?</v>
      </c>
    </row>
    <row r="5459" spans="1:4" x14ac:dyDescent="0.2">
      <c r="A5459" s="5">
        <v>5398</v>
      </c>
      <c r="B5459" s="138">
        <f>'Revenues 9-14'!D219</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9-14'!D220</f>
        <v>0</v>
      </c>
      <c r="D5462" s="2" t="str">
        <f t="shared" si="84"/>
        <v>Error?</v>
      </c>
    </row>
    <row r="5463" spans="1:4" x14ac:dyDescent="0.2">
      <c r="A5463" s="5">
        <v>5402</v>
      </c>
      <c r="B5463" s="138">
        <f>'Revenues 9-14'!D221</f>
        <v>0</v>
      </c>
      <c r="D5463" s="2" t="str">
        <f t="shared" si="84"/>
        <v>Error?</v>
      </c>
    </row>
    <row r="5464" spans="1:4" x14ac:dyDescent="0.2">
      <c r="A5464" s="5">
        <v>5403</v>
      </c>
      <c r="B5464" s="138">
        <f>'Revenues 9-14'!D222</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9-14'!D224</f>
        <v>0</v>
      </c>
      <c r="C5470" s="2" t="s">
        <v>594</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9-14'!D226</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9-14'!D228</f>
        <v>0</v>
      </c>
      <c r="C5488" s="2" t="s">
        <v>594</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9-14'!D229</f>
        <v>0</v>
      </c>
      <c r="D5494" s="2" t="str">
        <f t="shared" si="84"/>
        <v>Error?</v>
      </c>
    </row>
    <row r="5495" spans="1:4" x14ac:dyDescent="0.2">
      <c r="A5495" s="10">
        <v>5434</v>
      </c>
      <c r="D5495" s="2" t="str">
        <f t="shared" si="84"/>
        <v>OK</v>
      </c>
    </row>
    <row r="5496" spans="1:4" x14ac:dyDescent="0.2">
      <c r="A5496" s="5">
        <v>5435</v>
      </c>
      <c r="B5496" s="138">
        <f>'Revenues 9-14'!D266</f>
        <v>0</v>
      </c>
      <c r="D5496" s="2" t="str">
        <f t="shared" si="84"/>
        <v>Error?</v>
      </c>
    </row>
    <row r="5497" spans="1:4" x14ac:dyDescent="0.2">
      <c r="A5497" s="10">
        <v>5436</v>
      </c>
      <c r="D5497" s="2" t="str">
        <f t="shared" si="84"/>
        <v>OK</v>
      </c>
    </row>
    <row r="5498" spans="1:4" x14ac:dyDescent="0.2">
      <c r="A5498" s="5">
        <v>5437</v>
      </c>
      <c r="B5498" s="138">
        <f>'Revenues 9-14'!D267</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9-14'!D273</f>
        <v>0</v>
      </c>
      <c r="C5501" s="2" t="s">
        <v>594</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9-14'!D274</f>
        <v>0</v>
      </c>
      <c r="C5507" s="2" t="s">
        <v>594</v>
      </c>
      <c r="D5507" s="2" t="str">
        <f t="shared" si="85"/>
        <v>Error?</v>
      </c>
    </row>
    <row r="5508" spans="1:4" x14ac:dyDescent="0.2">
      <c r="A5508" s="5">
        <v>5447</v>
      </c>
      <c r="B5508" s="138">
        <f>'Revenues 9-14'!D275</f>
        <v>1673074</v>
      </c>
      <c r="C5508" s="2" t="s">
        <v>594</v>
      </c>
      <c r="D5508" s="2" t="str">
        <f t="shared" si="85"/>
        <v>Error?</v>
      </c>
    </row>
    <row r="5509" spans="1:4" x14ac:dyDescent="0.2">
      <c r="A5509" s="5">
        <v>5448</v>
      </c>
      <c r="B5509" s="138">
        <f>'Revenues 9-14'!E5</f>
        <v>0</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0</v>
      </c>
      <c r="C5513" s="2" t="s">
        <v>594</v>
      </c>
      <c r="D5513" s="2" t="str">
        <f t="shared" si="85"/>
        <v>Error?</v>
      </c>
    </row>
    <row r="5514" spans="1:4" x14ac:dyDescent="0.2">
      <c r="A5514" s="5">
        <v>5453</v>
      </c>
      <c r="B5514" s="138">
        <f>'Revenues 9-14'!E14</f>
        <v>0</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0</v>
      </c>
      <c r="C5518" s="2" t="s">
        <v>594</v>
      </c>
      <c r="D5518" s="2" t="str">
        <f t="shared" si="85"/>
        <v>Error?</v>
      </c>
    </row>
    <row r="5519" spans="1:4" x14ac:dyDescent="0.2">
      <c r="A5519" s="5">
        <v>5458</v>
      </c>
      <c r="B5519" s="138">
        <f>'Revenues 9-14'!E65</f>
        <v>635</v>
      </c>
      <c r="D5519" s="2" t="str">
        <f t="shared" si="85"/>
        <v>Error?</v>
      </c>
    </row>
    <row r="5520" spans="1:4" x14ac:dyDescent="0.2">
      <c r="A5520" s="5">
        <v>5459</v>
      </c>
      <c r="B5520" s="138">
        <f>'Revenues 9-14'!E66</f>
        <v>0</v>
      </c>
      <c r="D5520" s="2" t="str">
        <f t="shared" si="85"/>
        <v>Error?</v>
      </c>
    </row>
    <row r="5521" spans="1:4" x14ac:dyDescent="0.2">
      <c r="A5521" s="5">
        <v>5460</v>
      </c>
      <c r="B5521" s="138">
        <f>'Revenues 9-14'!E67</f>
        <v>635</v>
      </c>
      <c r="C5521" s="2" t="s">
        <v>594</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1072969</v>
      </c>
      <c r="C5526" s="2" t="s">
        <v>594</v>
      </c>
      <c r="D5526" s="2" t="str">
        <f t="shared" si="85"/>
        <v>Error?</v>
      </c>
    </row>
    <row r="5527" spans="1:4" x14ac:dyDescent="0.2">
      <c r="A5527" s="5">
        <v>5466</v>
      </c>
      <c r="B5527" s="138">
        <f>'Revenues 9-14'!E109</f>
        <v>1073604</v>
      </c>
      <c r="C5527" s="2" t="s">
        <v>594</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9-14'!E121</f>
        <v>0</v>
      </c>
      <c r="C5534" s="2" t="s">
        <v>594</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9-14'!E172</f>
        <v>0</v>
      </c>
      <c r="C5537" s="2" t="s">
        <v>594</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9-14'!E173</f>
        <v>0</v>
      </c>
      <c r="C5544" s="2" t="s">
        <v>594</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9-14'!E275</f>
        <v>1847297</v>
      </c>
      <c r="C5552" s="2" t="s">
        <v>594</v>
      </c>
      <c r="D5552" s="2" t="str">
        <f t="shared" si="85"/>
        <v>Error?</v>
      </c>
    </row>
    <row r="5553" spans="1:4" x14ac:dyDescent="0.2">
      <c r="A5553" s="5">
        <v>5492</v>
      </c>
      <c r="B5553" s="138">
        <f>'Revenues 9-14'!F5</f>
        <v>203930</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203930</v>
      </c>
      <c r="C5557" s="2" t="s">
        <v>594</v>
      </c>
      <c r="D5557" s="2" t="str">
        <f t="shared" si="85"/>
        <v>Error?</v>
      </c>
    </row>
    <row r="5558" spans="1:4" x14ac:dyDescent="0.2">
      <c r="A5558" s="5">
        <v>5497</v>
      </c>
      <c r="B5558" s="138">
        <f>'Revenues 9-14'!F14</f>
        <v>360</v>
      </c>
      <c r="D5558" s="2" t="str">
        <f t="shared" si="85"/>
        <v>Error?</v>
      </c>
    </row>
    <row r="5559" spans="1:4" x14ac:dyDescent="0.2">
      <c r="A5559" s="5">
        <v>5498</v>
      </c>
      <c r="B5559" s="138">
        <f>'Revenues 9-14'!F15</f>
        <v>474</v>
      </c>
      <c r="D5559" s="2" t="str">
        <f t="shared" si="85"/>
        <v>Error?</v>
      </c>
    </row>
    <row r="5560" spans="1:4" x14ac:dyDescent="0.2">
      <c r="A5560" s="5">
        <v>5499</v>
      </c>
      <c r="B5560" s="138">
        <f>'Revenues 9-14'!F16</f>
        <v>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834</v>
      </c>
      <c r="C5562" s="2" t="s">
        <v>594</v>
      </c>
      <c r="D5562" s="2" t="str">
        <f t="shared" si="85"/>
        <v>Error?</v>
      </c>
    </row>
    <row r="5563" spans="1:4" x14ac:dyDescent="0.2">
      <c r="A5563" s="5">
        <v>5502</v>
      </c>
      <c r="B5563" s="138">
        <f>'Revenues 9-14'!F42</f>
        <v>0</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0</v>
      </c>
      <c r="C5579" s="2" t="s">
        <v>594</v>
      </c>
      <c r="D5579" s="2" t="str">
        <f t="shared" si="86"/>
        <v>Error?</v>
      </c>
    </row>
    <row r="5580" spans="1:4" x14ac:dyDescent="0.2">
      <c r="A5580" s="5">
        <v>5519</v>
      </c>
      <c r="B5580" s="138">
        <f>'Revenues 9-14'!F65</f>
        <v>243</v>
      </c>
      <c r="D5580" s="2" t="str">
        <f t="shared" si="86"/>
        <v>Error?</v>
      </c>
    </row>
    <row r="5581" spans="1:4" x14ac:dyDescent="0.2">
      <c r="A5581" s="5">
        <v>5520</v>
      </c>
      <c r="B5581" s="138">
        <f>'Revenues 9-14'!F66</f>
        <v>0</v>
      </c>
      <c r="D5581" s="2" t="str">
        <f t="shared" si="86"/>
        <v>Error?</v>
      </c>
    </row>
    <row r="5582" spans="1:4" x14ac:dyDescent="0.2">
      <c r="A5582" s="5">
        <v>5521</v>
      </c>
      <c r="B5582" s="138">
        <f>'Revenues 9-14'!F67</f>
        <v>243</v>
      </c>
      <c r="C5582" s="2" t="s">
        <v>594</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0</v>
      </c>
      <c r="D5586" s="2" t="str">
        <f t="shared" si="86"/>
        <v>Error?</v>
      </c>
    </row>
    <row r="5587" spans="1:4" x14ac:dyDescent="0.2">
      <c r="A5587" s="5">
        <v>5526</v>
      </c>
      <c r="B5587" s="138">
        <f>'Revenues 9-14'!F108</f>
        <v>0</v>
      </c>
      <c r="C5587" s="2" t="s">
        <v>594</v>
      </c>
      <c r="D5587" s="2" t="str">
        <f t="shared" si="86"/>
        <v>Error?</v>
      </c>
    </row>
    <row r="5588" spans="1:4" x14ac:dyDescent="0.2">
      <c r="A5588" s="5">
        <v>5527</v>
      </c>
      <c r="B5588" s="138">
        <f>'Revenues 9-14'!F109</f>
        <v>205007</v>
      </c>
      <c r="C5588" s="2" t="s">
        <v>594</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594</v>
      </c>
      <c r="D5592" s="2" t="str">
        <f t="shared" si="86"/>
        <v>Error?</v>
      </c>
    </row>
    <row r="5593" spans="1:4" x14ac:dyDescent="0.2">
      <c r="A5593" s="5">
        <v>5532</v>
      </c>
      <c r="B5593" s="138">
        <f>'Revenues 9-14'!F117</f>
        <v>330000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9-14'!F121</f>
        <v>330000</v>
      </c>
      <c r="C5599" s="2" t="s">
        <v>594</v>
      </c>
      <c r="D5599" s="2" t="str">
        <f t="shared" si="86"/>
        <v>Error?</v>
      </c>
    </row>
    <row r="5600" spans="1:4" x14ac:dyDescent="0.2">
      <c r="A5600" s="5">
        <v>5539</v>
      </c>
      <c r="B5600" s="138">
        <f>'Revenues 9-14'!F124</f>
        <v>0</v>
      </c>
      <c r="D5600" s="2" t="str">
        <f t="shared" si="86"/>
        <v>Error?</v>
      </c>
    </row>
    <row r="5601" spans="1:4" x14ac:dyDescent="0.2">
      <c r="A5601" s="5">
        <v>5540</v>
      </c>
      <c r="B5601" s="138">
        <f>'Revenues 9-14'!F125</f>
        <v>0</v>
      </c>
      <c r="D5601" s="2" t="str">
        <f t="shared" si="86"/>
        <v>Error?</v>
      </c>
    </row>
    <row r="5602" spans="1:4" x14ac:dyDescent="0.2">
      <c r="A5602" s="5">
        <v>5541</v>
      </c>
      <c r="B5602" s="138">
        <f>'Revenues 9-14'!F126</f>
        <v>0</v>
      </c>
      <c r="D5602" s="2" t="str">
        <f t="shared" si="86"/>
        <v>Error?</v>
      </c>
    </row>
    <row r="5603" spans="1:4" x14ac:dyDescent="0.2">
      <c r="A5603" s="10">
        <v>5542</v>
      </c>
      <c r="D5603" s="2" t="str">
        <f t="shared" si="86"/>
        <v>OK</v>
      </c>
    </row>
    <row r="5604" spans="1:4" x14ac:dyDescent="0.2">
      <c r="A5604" s="5">
        <v>5543</v>
      </c>
      <c r="B5604" s="138">
        <f>'Revenues 9-14'!F127</f>
        <v>0</v>
      </c>
      <c r="D5604" s="2" t="str">
        <f t="shared" si="86"/>
        <v>Error?</v>
      </c>
    </row>
    <row r="5605" spans="1:4" x14ac:dyDescent="0.2">
      <c r="A5605" s="10">
        <v>5544</v>
      </c>
      <c r="D5605" s="2" t="str">
        <f t="shared" si="86"/>
        <v>OK</v>
      </c>
    </row>
    <row r="5606" spans="1:4" x14ac:dyDescent="0.2">
      <c r="A5606" s="5">
        <v>5545</v>
      </c>
      <c r="B5606" s="138">
        <f>'Revenues 9-14'!F128</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9-14'!F129</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9-14'!F131</f>
        <v>0</v>
      </c>
      <c r="C5614" s="2" t="s">
        <v>594</v>
      </c>
      <c r="D5614" s="2" t="str">
        <f t="shared" si="86"/>
        <v>Error?</v>
      </c>
    </row>
    <row r="5615" spans="1:4" x14ac:dyDescent="0.2">
      <c r="A5615" s="5">
        <v>5554</v>
      </c>
      <c r="B5615" s="138">
        <f>'Revenues 9-14'!F151</f>
        <v>126298</v>
      </c>
      <c r="D5615" s="2" t="str">
        <f t="shared" si="86"/>
        <v>Error?</v>
      </c>
    </row>
    <row r="5616" spans="1:4" x14ac:dyDescent="0.2">
      <c r="A5616" s="10">
        <v>5555</v>
      </c>
      <c r="D5616" s="2" t="str">
        <f t="shared" si="86"/>
        <v>OK</v>
      </c>
    </row>
    <row r="5617" spans="1:4" x14ac:dyDescent="0.2">
      <c r="A5617" s="5">
        <v>5556</v>
      </c>
      <c r="B5617" s="138">
        <f>'Revenues 9-14'!F152</f>
        <v>295362</v>
      </c>
      <c r="D5617" s="2" t="str">
        <f t="shared" si="86"/>
        <v>Error?</v>
      </c>
    </row>
    <row r="5618" spans="1:4" x14ac:dyDescent="0.2">
      <c r="A5618" s="5">
        <v>5557</v>
      </c>
      <c r="B5618" s="138">
        <f>'Revenues 9-14'!F154</f>
        <v>421660</v>
      </c>
      <c r="C5618" s="2" t="s">
        <v>594</v>
      </c>
      <c r="D5618" s="2" t="str">
        <f t="shared" si="86"/>
        <v>Error?</v>
      </c>
    </row>
    <row r="5619" spans="1:4" x14ac:dyDescent="0.2">
      <c r="A5619" s="5">
        <v>5558</v>
      </c>
      <c r="B5619" s="138">
        <f>'Revenues 9-14'!F156</f>
        <v>0</v>
      </c>
      <c r="D5619" s="2" t="str">
        <f t="shared" si="86"/>
        <v>Error?</v>
      </c>
    </row>
    <row r="5620" spans="1:4" x14ac:dyDescent="0.2">
      <c r="A5620" s="10">
        <v>5559</v>
      </c>
      <c r="D5620" s="2" t="str">
        <f t="shared" si="86"/>
        <v>OK</v>
      </c>
    </row>
    <row r="5621" spans="1:4" x14ac:dyDescent="0.2">
      <c r="A5621" s="10">
        <v>5560</v>
      </c>
      <c r="D5621" s="2" t="str">
        <f t="shared" si="86"/>
        <v>OK</v>
      </c>
    </row>
    <row r="5622" spans="1:4" x14ac:dyDescent="0.2">
      <c r="A5622" s="10">
        <v>5561</v>
      </c>
      <c r="D5622" s="2" t="str">
        <f t="shared" si="86"/>
        <v>OK</v>
      </c>
    </row>
    <row r="5623" spans="1:4" x14ac:dyDescent="0.2">
      <c r="A5623" s="10">
        <v>5562</v>
      </c>
      <c r="D5623" s="2" t="str">
        <f t="shared" si="86"/>
        <v>OK</v>
      </c>
    </row>
    <row r="5624" spans="1:4" x14ac:dyDescent="0.2">
      <c r="A5624" s="10">
        <v>5563</v>
      </c>
      <c r="D5624" s="2" t="str">
        <f t="shared" si="86"/>
        <v>OK</v>
      </c>
    </row>
    <row r="5625" spans="1:4" x14ac:dyDescent="0.2">
      <c r="A5625" s="5">
        <v>5564</v>
      </c>
      <c r="B5625" s="138">
        <f>'Revenues 9-14'!F157</f>
        <v>0</v>
      </c>
      <c r="D5625" s="2" t="str">
        <f t="shared" si="86"/>
        <v>Error?</v>
      </c>
    </row>
    <row r="5626" spans="1:4" x14ac:dyDescent="0.2">
      <c r="A5626" s="10">
        <v>5565</v>
      </c>
      <c r="D5626" s="2" t="str">
        <f t="shared" si="86"/>
        <v>OK</v>
      </c>
    </row>
    <row r="5627" spans="1:4" x14ac:dyDescent="0.2">
      <c r="A5627" s="5">
        <v>5566</v>
      </c>
      <c r="B5627" s="138">
        <f>'Revenues 9-14'!F158</f>
        <v>0</v>
      </c>
      <c r="D5627" s="2" t="str">
        <f t="shared" si="86"/>
        <v>Error?</v>
      </c>
    </row>
    <row r="5628" spans="1:4" x14ac:dyDescent="0.2">
      <c r="A5628" s="10">
        <v>5567</v>
      </c>
      <c r="D5628" s="2" t="str">
        <f t="shared" si="86"/>
        <v>OK</v>
      </c>
    </row>
    <row r="5629" spans="1:4" x14ac:dyDescent="0.2">
      <c r="A5629" s="10">
        <v>5568</v>
      </c>
      <c r="D5629" s="2" t="str">
        <f t="shared" si="86"/>
        <v>OK</v>
      </c>
    </row>
    <row r="5630" spans="1:4" x14ac:dyDescent="0.2">
      <c r="A5630" s="5">
        <v>5569</v>
      </c>
      <c r="B5630" s="138">
        <f>'Revenues 9-14'!F159</f>
        <v>0</v>
      </c>
      <c r="D5630" s="2" t="str">
        <f t="shared" si="86"/>
        <v>Error?</v>
      </c>
    </row>
    <row r="5631" spans="1:4" x14ac:dyDescent="0.2">
      <c r="A5631" s="5">
        <v>5570</v>
      </c>
      <c r="B5631" s="138">
        <f>'Revenues 9-14'!F160</f>
        <v>0</v>
      </c>
      <c r="D5631" s="2" t="str">
        <f t="shared" ref="D5631:D5694" si="87">IF(ISBLANK(B5631),"OK",IF(A5631-B5631=0,"OK","Error?"))</f>
        <v>Error?</v>
      </c>
    </row>
    <row r="5632" spans="1:4"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9-14'!F172</f>
        <v>421660</v>
      </c>
      <c r="C5644" s="2" t="s">
        <v>594</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9-14'!F173</f>
        <v>751660</v>
      </c>
      <c r="C5653" s="2" t="s">
        <v>594</v>
      </c>
      <c r="D5653" s="2" t="str">
        <f t="shared" si="87"/>
        <v>Error?</v>
      </c>
    </row>
    <row r="5654" spans="1:4" x14ac:dyDescent="0.2">
      <c r="A5654" s="5">
        <v>5593</v>
      </c>
      <c r="B5654" s="138">
        <f>'Revenues 9-14'!F176</f>
        <v>0</v>
      </c>
      <c r="D5654" s="2" t="str">
        <f t="shared" si="87"/>
        <v>Error?</v>
      </c>
    </row>
    <row r="5655" spans="1:4" x14ac:dyDescent="0.2">
      <c r="A5655" s="5">
        <v>5594</v>
      </c>
      <c r="B5655" s="138">
        <f>'Revenues 9-14'!F178</f>
        <v>0</v>
      </c>
      <c r="C5655" s="2" t="s">
        <v>594</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9-14'!F184</f>
        <v>0</v>
      </c>
      <c r="C5658" s="2" t="s">
        <v>594</v>
      </c>
      <c r="D5658" s="2" t="str">
        <f t="shared" si="87"/>
        <v>Error?</v>
      </c>
    </row>
    <row r="5659" spans="1:4" x14ac:dyDescent="0.2">
      <c r="A5659" s="5">
        <v>5598</v>
      </c>
      <c r="B5659" s="138">
        <f>'Revenues 9-14'!F187</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9-14'!F203</f>
        <v>0</v>
      </c>
      <c r="D5664" s="2" t="str">
        <f t="shared" si="87"/>
        <v>Error?</v>
      </c>
    </row>
    <row r="5665" spans="1:4" x14ac:dyDescent="0.2">
      <c r="A5665" s="5">
        <v>5604</v>
      </c>
      <c r="B5665" s="138">
        <f>'Revenues 9-14'!F204</f>
        <v>0</v>
      </c>
      <c r="D5665" s="2" t="str">
        <f t="shared" si="87"/>
        <v>Error?</v>
      </c>
    </row>
    <row r="5666" spans="1:4" x14ac:dyDescent="0.2">
      <c r="A5666" s="10">
        <v>5605</v>
      </c>
      <c r="D5666" s="2" t="str">
        <f t="shared" si="87"/>
        <v>OK</v>
      </c>
    </row>
    <row r="5667" spans="1:4" x14ac:dyDescent="0.2">
      <c r="A5667" s="10">
        <v>5606</v>
      </c>
      <c r="D5667" s="2" t="str">
        <f t="shared" si="87"/>
        <v>OK</v>
      </c>
    </row>
    <row r="5668" spans="1:4" x14ac:dyDescent="0.2">
      <c r="A5668" s="10">
        <v>5607</v>
      </c>
      <c r="D5668" s="2" t="str">
        <f t="shared" si="87"/>
        <v>OK</v>
      </c>
    </row>
    <row r="5669" spans="1:4" x14ac:dyDescent="0.2">
      <c r="A5669" s="10">
        <v>5608</v>
      </c>
      <c r="D5669" s="2" t="str">
        <f t="shared" si="87"/>
        <v>OK</v>
      </c>
    </row>
    <row r="5670" spans="1:4" x14ac:dyDescent="0.2">
      <c r="A5670" s="10">
        <v>5609</v>
      </c>
      <c r="D5670" s="2" t="str">
        <f t="shared" si="87"/>
        <v>OK</v>
      </c>
    </row>
    <row r="5671" spans="1:4" x14ac:dyDescent="0.2">
      <c r="A5671" s="5">
        <v>5610</v>
      </c>
      <c r="B5671" s="138">
        <f>'Revenues 9-14'!F207</f>
        <v>0</v>
      </c>
      <c r="D5671" s="2" t="str">
        <f t="shared" si="87"/>
        <v>Error?</v>
      </c>
    </row>
    <row r="5672" spans="1:4" x14ac:dyDescent="0.2">
      <c r="A5672" s="5">
        <v>5611</v>
      </c>
      <c r="B5672" s="138">
        <f>'Revenues 9-14'!F209</f>
        <v>0</v>
      </c>
      <c r="D5672" s="2" t="str">
        <f t="shared" si="87"/>
        <v>Error?</v>
      </c>
    </row>
    <row r="5673" spans="1:4" x14ac:dyDescent="0.2">
      <c r="A5673" s="5">
        <v>5612</v>
      </c>
      <c r="B5673" s="138">
        <f>'Revenues 9-14'!F213</f>
        <v>0</v>
      </c>
      <c r="D5673" s="2" t="str">
        <f t="shared" si="87"/>
        <v>Error?</v>
      </c>
    </row>
    <row r="5674" spans="1:4" x14ac:dyDescent="0.2">
      <c r="A5674" s="10">
        <v>5613</v>
      </c>
      <c r="D5674" s="2" t="str">
        <f t="shared" si="87"/>
        <v>OK</v>
      </c>
    </row>
    <row r="5675" spans="1:4" x14ac:dyDescent="0.2">
      <c r="A5675" s="10">
        <v>5614</v>
      </c>
      <c r="D5675" s="2" t="str">
        <f t="shared" si="87"/>
        <v>OK</v>
      </c>
    </row>
    <row r="5676" spans="1:4" x14ac:dyDescent="0.2">
      <c r="A5676" s="10">
        <v>5615</v>
      </c>
      <c r="D5676" s="2" t="str">
        <f t="shared" si="87"/>
        <v>OK</v>
      </c>
    </row>
    <row r="5677" spans="1:4" x14ac:dyDescent="0.2">
      <c r="A5677" s="5">
        <v>5616</v>
      </c>
      <c r="B5677" s="138">
        <f>'Revenues 9-14'!F211</f>
        <v>0</v>
      </c>
      <c r="C5677" s="2" t="s">
        <v>594</v>
      </c>
      <c r="D5677" s="2" t="str">
        <f t="shared" si="87"/>
        <v>Error?</v>
      </c>
    </row>
    <row r="5678" spans="1:4" x14ac:dyDescent="0.2">
      <c r="A5678" s="10">
        <v>5617</v>
      </c>
      <c r="D5678" s="2" t="str">
        <f t="shared" si="87"/>
        <v>OK</v>
      </c>
    </row>
    <row r="5679" spans="1:4" x14ac:dyDescent="0.2">
      <c r="A5679" s="10">
        <v>5618</v>
      </c>
      <c r="D5679" s="2" t="str">
        <f t="shared" si="87"/>
        <v>OK</v>
      </c>
    </row>
    <row r="5680" spans="1:4"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9-14'!F218</f>
        <v>0</v>
      </c>
      <c r="D5691" s="2" t="str">
        <f t="shared" si="87"/>
        <v>Error?</v>
      </c>
    </row>
    <row r="5692" spans="1:4" x14ac:dyDescent="0.2">
      <c r="A5692" s="5">
        <v>5631</v>
      </c>
      <c r="B5692" s="138">
        <f>'Revenues 9-14'!F219</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9-14'!F220</f>
        <v>0</v>
      </c>
      <c r="D5695" s="2" t="str">
        <f t="shared" ref="D5695:D5758" si="88">IF(ISBLANK(B5695),"OK",IF(A5695-B5695=0,"OK","Error?"))</f>
        <v>Error?</v>
      </c>
    </row>
    <row r="5696" spans="1:4" x14ac:dyDescent="0.2">
      <c r="A5696" s="5">
        <v>5635</v>
      </c>
      <c r="B5696" s="138">
        <f>'Revenues 9-14'!F221</f>
        <v>0</v>
      </c>
      <c r="D5696" s="2" t="str">
        <f t="shared" si="88"/>
        <v>Error?</v>
      </c>
    </row>
    <row r="5697" spans="1:4" x14ac:dyDescent="0.2">
      <c r="A5697" s="5">
        <v>5636</v>
      </c>
      <c r="B5697" s="138">
        <f>'Revenues 9-14'!F222</f>
        <v>0</v>
      </c>
      <c r="D5697" s="2" t="str">
        <f t="shared" si="88"/>
        <v>Error?</v>
      </c>
    </row>
    <row r="5698" spans="1:4" x14ac:dyDescent="0.2">
      <c r="A5698" s="10">
        <v>5637</v>
      </c>
      <c r="D5698" s="2" t="str">
        <f t="shared" si="88"/>
        <v>OK</v>
      </c>
    </row>
    <row r="5699" spans="1:4" x14ac:dyDescent="0.2">
      <c r="A5699" s="10">
        <v>5638</v>
      </c>
      <c r="D5699" s="2" t="str">
        <f t="shared" si="88"/>
        <v>OK</v>
      </c>
    </row>
    <row r="5700" spans="1:4" x14ac:dyDescent="0.2">
      <c r="A5700" s="10">
        <v>5639</v>
      </c>
      <c r="D5700" s="2" t="str">
        <f t="shared" si="88"/>
        <v>OK</v>
      </c>
    </row>
    <row r="5701" spans="1:4" x14ac:dyDescent="0.2">
      <c r="A5701" s="10">
        <v>5640</v>
      </c>
      <c r="D5701" s="2" t="str">
        <f t="shared" si="88"/>
        <v>OK</v>
      </c>
    </row>
    <row r="5702" spans="1:4" x14ac:dyDescent="0.2">
      <c r="A5702" s="10">
        <v>5641</v>
      </c>
      <c r="D5702" s="2" t="str">
        <f t="shared" si="88"/>
        <v>OK</v>
      </c>
    </row>
    <row r="5703" spans="1:4" x14ac:dyDescent="0.2">
      <c r="A5703" s="5">
        <v>5642</v>
      </c>
      <c r="B5703" s="138">
        <f>'Revenues 9-14'!F224</f>
        <v>0</v>
      </c>
      <c r="C5703" s="2" t="s">
        <v>594</v>
      </c>
      <c r="D5703" s="2" t="str">
        <f t="shared" si="88"/>
        <v>Error?</v>
      </c>
    </row>
    <row r="5704" spans="1:4" x14ac:dyDescent="0.2">
      <c r="A5704" s="10">
        <v>5643</v>
      </c>
      <c r="D5704" s="2" t="str">
        <f t="shared" si="88"/>
        <v>OK</v>
      </c>
    </row>
    <row r="5705" spans="1:4" x14ac:dyDescent="0.2">
      <c r="A5705" s="5">
        <v>5644</v>
      </c>
      <c r="B5705" s="138">
        <f>'Revenues 9-14'!F263</f>
        <v>0</v>
      </c>
      <c r="D5705" s="2" t="str">
        <f t="shared" si="88"/>
        <v>Error?</v>
      </c>
    </row>
    <row r="5706" spans="1:4" x14ac:dyDescent="0.2">
      <c r="A5706" s="5">
        <v>5645</v>
      </c>
      <c r="B5706" s="138">
        <f>'Revenues 9-14'!F265</f>
        <v>0</v>
      </c>
      <c r="D5706" s="2" t="str">
        <f t="shared" si="88"/>
        <v>Error?</v>
      </c>
    </row>
    <row r="5707" spans="1:4" x14ac:dyDescent="0.2">
      <c r="A5707" s="10">
        <v>5646</v>
      </c>
      <c r="D5707" s="2" t="str">
        <f t="shared" si="88"/>
        <v>OK</v>
      </c>
    </row>
    <row r="5708" spans="1:4" x14ac:dyDescent="0.2">
      <c r="A5708" s="5">
        <v>5647</v>
      </c>
      <c r="B5708" s="138">
        <f>'Revenues 9-14'!F266</f>
        <v>0</v>
      </c>
      <c r="D5708" s="2" t="str">
        <f t="shared" si="88"/>
        <v>Error?</v>
      </c>
    </row>
    <row r="5709" spans="1:4" x14ac:dyDescent="0.2">
      <c r="A5709" s="10">
        <v>5648</v>
      </c>
      <c r="D5709" s="2" t="str">
        <f t="shared" si="88"/>
        <v>OK</v>
      </c>
    </row>
    <row r="5710" spans="1:4" x14ac:dyDescent="0.2">
      <c r="A5710" s="5">
        <v>5649</v>
      </c>
      <c r="B5710" s="138">
        <f>'Revenues 9-14'!F267</f>
        <v>0</v>
      </c>
      <c r="D5710" s="2" t="str">
        <f t="shared" si="88"/>
        <v>Error?</v>
      </c>
    </row>
    <row r="5711" spans="1:4" x14ac:dyDescent="0.2">
      <c r="A5711" s="10">
        <v>5650</v>
      </c>
      <c r="D5711" s="2" t="str">
        <f t="shared" si="88"/>
        <v>OK</v>
      </c>
    </row>
    <row r="5712" spans="1:4" x14ac:dyDescent="0.2">
      <c r="A5712" s="10">
        <v>5651</v>
      </c>
      <c r="D5712" s="2" t="str">
        <f t="shared" si="88"/>
        <v>OK</v>
      </c>
    </row>
    <row r="5713" spans="1:4" x14ac:dyDescent="0.2">
      <c r="A5713" s="5">
        <v>5652</v>
      </c>
      <c r="B5713" s="138">
        <f>'Revenues 9-14'!F273</f>
        <v>0</v>
      </c>
      <c r="C5713" s="2" t="s">
        <v>594</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9-14'!F274</f>
        <v>0</v>
      </c>
      <c r="C5719" s="2" t="s">
        <v>594</v>
      </c>
      <c r="D5719" s="2" t="str">
        <f t="shared" si="88"/>
        <v>Error?</v>
      </c>
    </row>
    <row r="5720" spans="1:4" x14ac:dyDescent="0.2">
      <c r="A5720" s="5">
        <v>5659</v>
      </c>
      <c r="B5720" s="138">
        <f>'Revenues 9-14'!F275</f>
        <v>956667</v>
      </c>
      <c r="C5720" s="2" t="s">
        <v>594</v>
      </c>
      <c r="D5720" s="2" t="str">
        <f t="shared" si="88"/>
        <v>Error?</v>
      </c>
    </row>
    <row r="5721" spans="1:4" x14ac:dyDescent="0.2">
      <c r="A5721" s="5">
        <v>5660</v>
      </c>
      <c r="B5721" s="138">
        <f>'Revenues 9-14'!G5</f>
        <v>280435</v>
      </c>
      <c r="D5721" s="2" t="str">
        <f t="shared" si="88"/>
        <v>Error?</v>
      </c>
    </row>
    <row r="5722" spans="1:4" x14ac:dyDescent="0.2">
      <c r="A5722" s="5">
        <v>5661</v>
      </c>
      <c r="B5722" s="138">
        <f>'Revenues 9-14'!G7</f>
        <v>0</v>
      </c>
      <c r="D5722" s="2" t="str">
        <f t="shared" si="88"/>
        <v>Error?</v>
      </c>
    </row>
    <row r="5723" spans="1:4" x14ac:dyDescent="0.2">
      <c r="A5723" s="5">
        <v>5662</v>
      </c>
      <c r="B5723" s="138">
        <f>'Revenues 9-14'!G8</f>
        <v>322988</v>
      </c>
      <c r="D5723" s="2" t="str">
        <f t="shared" si="88"/>
        <v>Error?</v>
      </c>
    </row>
    <row r="5724" spans="1:4" x14ac:dyDescent="0.2">
      <c r="A5724" s="5">
        <v>5663</v>
      </c>
      <c r="B5724" s="138">
        <f>'Revenues 9-14'!G11</f>
        <v>0</v>
      </c>
      <c r="D5724" s="2" t="str">
        <f t="shared" si="88"/>
        <v>Error?</v>
      </c>
    </row>
    <row r="5725" spans="1:4" x14ac:dyDescent="0.2">
      <c r="A5725" s="5">
        <v>5664</v>
      </c>
      <c r="B5725" s="138">
        <f>'Revenues 9-14'!G12</f>
        <v>603423</v>
      </c>
      <c r="C5725" s="2" t="s">
        <v>594</v>
      </c>
      <c r="D5725" s="2" t="str">
        <f t="shared" si="88"/>
        <v>Error?</v>
      </c>
    </row>
    <row r="5726" spans="1:4" x14ac:dyDescent="0.2">
      <c r="A5726" s="5">
        <v>5665</v>
      </c>
      <c r="B5726" s="138">
        <f>'Revenues 9-14'!G14</f>
        <v>1320</v>
      </c>
      <c r="D5726" s="2" t="str">
        <f t="shared" si="88"/>
        <v>Error?</v>
      </c>
    </row>
    <row r="5727" spans="1:4" x14ac:dyDescent="0.2">
      <c r="A5727" s="5">
        <v>5666</v>
      </c>
      <c r="B5727" s="138">
        <f>'Revenues 9-14'!G15</f>
        <v>1735</v>
      </c>
      <c r="D5727" s="2" t="str">
        <f t="shared" si="88"/>
        <v>Error?</v>
      </c>
    </row>
    <row r="5728" spans="1:4" x14ac:dyDescent="0.2">
      <c r="A5728" s="5">
        <v>5667</v>
      </c>
      <c r="B5728" s="138">
        <f>'Revenues 9-14'!G16</f>
        <v>8189</v>
      </c>
      <c r="D5728" s="2" t="str">
        <f t="shared" si="88"/>
        <v>Error?</v>
      </c>
    </row>
    <row r="5729" spans="1:4" x14ac:dyDescent="0.2">
      <c r="A5729" s="5">
        <v>5668</v>
      </c>
      <c r="B5729" s="138">
        <f>'Revenues 9-14'!G17</f>
        <v>0</v>
      </c>
      <c r="D5729" s="2" t="str">
        <f t="shared" si="88"/>
        <v>Error?</v>
      </c>
    </row>
    <row r="5730" spans="1:4" x14ac:dyDescent="0.2">
      <c r="A5730" s="5">
        <v>5669</v>
      </c>
      <c r="B5730" s="138">
        <f>'Revenues 9-14'!G18</f>
        <v>11244</v>
      </c>
      <c r="C5730" s="2" t="s">
        <v>594</v>
      </c>
      <c r="D5730" s="2" t="str">
        <f t="shared" si="88"/>
        <v>Error?</v>
      </c>
    </row>
    <row r="5731" spans="1:4" x14ac:dyDescent="0.2">
      <c r="A5731" s="5">
        <v>5670</v>
      </c>
      <c r="B5731" s="138">
        <f>'Revenues 9-14'!G65</f>
        <v>241</v>
      </c>
      <c r="D5731" s="2" t="str">
        <f t="shared" si="88"/>
        <v>Error?</v>
      </c>
    </row>
    <row r="5732" spans="1:4" x14ac:dyDescent="0.2">
      <c r="A5732" s="5">
        <v>5671</v>
      </c>
      <c r="B5732" s="138">
        <f>'Revenues 9-14'!G66</f>
        <v>0</v>
      </c>
      <c r="D5732" s="2" t="str">
        <f t="shared" si="88"/>
        <v>Error?</v>
      </c>
    </row>
    <row r="5733" spans="1:4" x14ac:dyDescent="0.2">
      <c r="A5733" s="5">
        <v>5672</v>
      </c>
      <c r="B5733" s="138">
        <f>'Revenues 9-14'!G67</f>
        <v>241</v>
      </c>
      <c r="C5733" s="2" t="s">
        <v>594</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594</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594</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9-14'!G121</f>
        <v>0</v>
      </c>
      <c r="C5748" s="2" t="s">
        <v>594</v>
      </c>
      <c r="D5748" s="2" t="str">
        <f t="shared" si="88"/>
        <v>Error?</v>
      </c>
    </row>
    <row r="5749" spans="1:4" x14ac:dyDescent="0.2">
      <c r="A5749" s="5">
        <v>5688</v>
      </c>
      <c r="B5749" s="138">
        <f>'Revenues 9-14'!G133</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9-14'!G140</f>
        <v>0</v>
      </c>
      <c r="C5752" s="2" t="s">
        <v>594</v>
      </c>
      <c r="D5752" s="2" t="str">
        <f t="shared" si="88"/>
        <v>Error?</v>
      </c>
    </row>
    <row r="5753" spans="1:4" x14ac:dyDescent="0.2">
      <c r="A5753" s="10">
        <v>5692</v>
      </c>
      <c r="D5753" s="2" t="str">
        <f t="shared" si="88"/>
        <v>OK</v>
      </c>
    </row>
    <row r="5754" spans="1:4" x14ac:dyDescent="0.2">
      <c r="A5754" s="5">
        <v>5693</v>
      </c>
      <c r="B5754" s="138">
        <f>'Revenues 9-14'!G142</f>
        <v>0</v>
      </c>
      <c r="D5754" s="2" t="str">
        <f t="shared" si="88"/>
        <v>Error?</v>
      </c>
    </row>
    <row r="5755" spans="1:4" x14ac:dyDescent="0.2">
      <c r="A5755" s="5">
        <v>5694</v>
      </c>
      <c r="B5755" s="138">
        <f>'Revenues 9-14'!G143</f>
        <v>0</v>
      </c>
      <c r="D5755" s="2" t="str">
        <f t="shared" si="88"/>
        <v>Error?</v>
      </c>
    </row>
    <row r="5756" spans="1:4" x14ac:dyDescent="0.2">
      <c r="A5756" s="5">
        <v>5695</v>
      </c>
      <c r="B5756" s="138">
        <f>'Revenues 9-14'!G144</f>
        <v>0</v>
      </c>
      <c r="C5756" s="2" t="s">
        <v>594</v>
      </c>
      <c r="D5756" s="2" t="str">
        <f t="shared" si="88"/>
        <v>Error?</v>
      </c>
    </row>
    <row r="5757" spans="1:4" x14ac:dyDescent="0.2">
      <c r="A5757" s="5">
        <v>5696</v>
      </c>
      <c r="B5757" s="138">
        <f>'Revenues 9-14'!G156</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4" x14ac:dyDescent="0.2">
      <c r="A5761" s="10">
        <v>5700</v>
      </c>
      <c r="D5761" s="2" t="str">
        <f t="shared" si="89"/>
        <v>OK</v>
      </c>
    </row>
    <row r="5762" spans="1:4" x14ac:dyDescent="0.2">
      <c r="A5762" s="10">
        <v>5701</v>
      </c>
      <c r="D5762" s="2" t="str">
        <f t="shared" si="89"/>
        <v>OK</v>
      </c>
    </row>
    <row r="5763" spans="1:4" x14ac:dyDescent="0.2">
      <c r="A5763" s="5">
        <v>5702</v>
      </c>
      <c r="B5763" s="138">
        <f>'Revenues 9-14'!G157</f>
        <v>0</v>
      </c>
      <c r="D5763" s="2" t="str">
        <f t="shared" si="89"/>
        <v>Error?</v>
      </c>
    </row>
    <row r="5764" spans="1:4" x14ac:dyDescent="0.2">
      <c r="A5764" s="10">
        <v>5703</v>
      </c>
      <c r="D5764" s="2" t="str">
        <f t="shared" si="89"/>
        <v>OK</v>
      </c>
    </row>
    <row r="5765" spans="1:4" x14ac:dyDescent="0.2">
      <c r="A5765" s="5">
        <v>5704</v>
      </c>
      <c r="B5765" s="138">
        <f>'Revenues 9-14'!G158</f>
        <v>0</v>
      </c>
      <c r="D5765" s="2" t="str">
        <f t="shared" si="89"/>
        <v>Error?</v>
      </c>
    </row>
    <row r="5766" spans="1:4" x14ac:dyDescent="0.2">
      <c r="A5766" s="10">
        <v>5705</v>
      </c>
      <c r="D5766" s="2" t="str">
        <f t="shared" si="89"/>
        <v>OK</v>
      </c>
    </row>
    <row r="5767" spans="1:4" x14ac:dyDescent="0.2">
      <c r="A5767" s="5">
        <v>5706</v>
      </c>
      <c r="B5767" s="138">
        <f>'Revenues 9-14'!G159</f>
        <v>0</v>
      </c>
      <c r="D5767" s="2" t="str">
        <f t="shared" si="89"/>
        <v>Error?</v>
      </c>
    </row>
    <row r="5768" spans="1:4" x14ac:dyDescent="0.2">
      <c r="A5768" s="5">
        <v>5707</v>
      </c>
      <c r="B5768" s="138">
        <f>'Revenues 9-14'!G160</f>
        <v>0</v>
      </c>
      <c r="D5768" s="2" t="str">
        <f t="shared" si="89"/>
        <v>Error?</v>
      </c>
    </row>
    <row r="5769" spans="1:4" x14ac:dyDescent="0.2">
      <c r="A5769" s="10">
        <v>5708</v>
      </c>
      <c r="D5769" s="2" t="str">
        <f t="shared" si="89"/>
        <v>OK</v>
      </c>
    </row>
    <row r="5770" spans="1:4" x14ac:dyDescent="0.2">
      <c r="A5770" s="5">
        <v>5709</v>
      </c>
      <c r="B5770" s="138">
        <f>'Revenues 9-14'!G172</f>
        <v>0</v>
      </c>
      <c r="C5770" s="2" t="s">
        <v>594</v>
      </c>
      <c r="D5770" s="2" t="str">
        <f t="shared" si="89"/>
        <v>Error?</v>
      </c>
    </row>
    <row r="5771" spans="1:4" x14ac:dyDescent="0.2">
      <c r="A5771" s="10">
        <v>5710</v>
      </c>
      <c r="D5771" s="2" t="str">
        <f t="shared" si="89"/>
        <v>OK</v>
      </c>
    </row>
    <row r="5772" spans="1:4" x14ac:dyDescent="0.2">
      <c r="A5772" s="10">
        <v>5711</v>
      </c>
      <c r="D5772" s="2" t="str">
        <f t="shared" si="89"/>
        <v>OK</v>
      </c>
    </row>
    <row r="5773" spans="1:4" x14ac:dyDescent="0.2">
      <c r="A5773" s="10">
        <v>5712</v>
      </c>
      <c r="D5773" s="2" t="str">
        <f t="shared" si="89"/>
        <v>OK</v>
      </c>
    </row>
    <row r="5774" spans="1:4" x14ac:dyDescent="0.2">
      <c r="A5774" s="10">
        <v>5713</v>
      </c>
      <c r="D5774" s="2" t="str">
        <f t="shared" si="89"/>
        <v>OK</v>
      </c>
    </row>
    <row r="5775" spans="1:4" x14ac:dyDescent="0.2">
      <c r="A5775" s="10">
        <v>5714</v>
      </c>
      <c r="D5775" s="2" t="str">
        <f t="shared" si="89"/>
        <v>OK</v>
      </c>
    </row>
    <row r="5776" spans="1:4" x14ac:dyDescent="0.2">
      <c r="A5776" s="10">
        <v>5715</v>
      </c>
      <c r="D5776" s="2" t="str">
        <f t="shared" si="89"/>
        <v>OK</v>
      </c>
    </row>
    <row r="5777" spans="1:4" x14ac:dyDescent="0.2">
      <c r="A5777" s="10">
        <v>5716</v>
      </c>
      <c r="D5777" s="2" t="str">
        <f t="shared" si="89"/>
        <v>OK</v>
      </c>
    </row>
    <row r="5778" spans="1:4" x14ac:dyDescent="0.2">
      <c r="A5778" s="5">
        <v>5717</v>
      </c>
      <c r="B5778" s="138">
        <f>'Revenues 9-14'!G173</f>
        <v>0</v>
      </c>
      <c r="C5778" s="2" t="s">
        <v>594</v>
      </c>
      <c r="D5778" s="2" t="str">
        <f t="shared" si="89"/>
        <v>Error?</v>
      </c>
    </row>
    <row r="5779" spans="1:4" x14ac:dyDescent="0.2">
      <c r="A5779" s="5">
        <v>5718</v>
      </c>
      <c r="B5779" s="138">
        <f>'Revenues 9-14'!G176</f>
        <v>0</v>
      </c>
      <c r="D5779" s="2" t="str">
        <f t="shared" si="89"/>
        <v>Error?</v>
      </c>
    </row>
    <row r="5780" spans="1:4" x14ac:dyDescent="0.2">
      <c r="A5780" s="5">
        <v>5719</v>
      </c>
      <c r="B5780" s="138">
        <f>'Revenues 9-14'!G178</f>
        <v>0</v>
      </c>
      <c r="C5780" s="2" t="s">
        <v>594</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9-14'!G184</f>
        <v>0</v>
      </c>
      <c r="C5784" s="2" t="s">
        <v>594</v>
      </c>
      <c r="D5784" s="2" t="str">
        <f t="shared" si="89"/>
        <v>Error?</v>
      </c>
    </row>
    <row r="5785" spans="1:4" x14ac:dyDescent="0.2">
      <c r="A5785" s="5">
        <v>5724</v>
      </c>
      <c r="B5785" s="138">
        <f>'Revenues 9-14'!G187</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9-14'!G203</f>
        <v>0</v>
      </c>
      <c r="D5790" s="2" t="str">
        <f t="shared" si="89"/>
        <v>Error?</v>
      </c>
    </row>
    <row r="5791" spans="1:4" x14ac:dyDescent="0.2">
      <c r="A5791" s="5">
        <v>5730</v>
      </c>
      <c r="B5791" s="138">
        <f>'Revenues 9-14'!G204</f>
        <v>0</v>
      </c>
      <c r="D5791" s="2" t="str">
        <f t="shared" si="89"/>
        <v>Error?</v>
      </c>
    </row>
    <row r="5792" spans="1:4" x14ac:dyDescent="0.2">
      <c r="A5792" s="10">
        <v>5731</v>
      </c>
      <c r="D5792" s="2" t="str">
        <f t="shared" si="89"/>
        <v>OK</v>
      </c>
    </row>
    <row r="5793" spans="1:4" x14ac:dyDescent="0.2">
      <c r="A5793" s="10">
        <v>5732</v>
      </c>
      <c r="D5793" s="2" t="str">
        <f t="shared" si="89"/>
        <v>OK</v>
      </c>
    </row>
    <row r="5794" spans="1:4" x14ac:dyDescent="0.2">
      <c r="A5794" s="10">
        <v>5733</v>
      </c>
      <c r="D5794" s="2" t="str">
        <f t="shared" si="89"/>
        <v>OK</v>
      </c>
    </row>
    <row r="5795" spans="1:4" x14ac:dyDescent="0.2">
      <c r="A5795" s="10">
        <v>5734</v>
      </c>
      <c r="D5795" s="2" t="str">
        <f t="shared" si="89"/>
        <v>OK</v>
      </c>
    </row>
    <row r="5796" spans="1:4" x14ac:dyDescent="0.2">
      <c r="A5796" s="10">
        <v>5735</v>
      </c>
      <c r="D5796" s="2" t="str">
        <f t="shared" si="89"/>
        <v>OK</v>
      </c>
    </row>
    <row r="5797" spans="1:4" x14ac:dyDescent="0.2">
      <c r="A5797" s="5">
        <v>5736</v>
      </c>
      <c r="B5797" s="138">
        <f>'Revenues 9-14'!G207</f>
        <v>0</v>
      </c>
      <c r="D5797" s="2" t="str">
        <f t="shared" si="89"/>
        <v>Error?</v>
      </c>
    </row>
    <row r="5798" spans="1:4" x14ac:dyDescent="0.2">
      <c r="A5798" s="5">
        <v>5737</v>
      </c>
      <c r="B5798" s="138">
        <f>'Revenues 9-14'!G209</f>
        <v>0</v>
      </c>
      <c r="D5798" s="2" t="str">
        <f t="shared" si="89"/>
        <v>Error?</v>
      </c>
    </row>
    <row r="5799" spans="1:4" x14ac:dyDescent="0.2">
      <c r="A5799" s="5">
        <v>5738</v>
      </c>
      <c r="B5799" s="138">
        <f>'Revenues 9-14'!G213</f>
        <v>0</v>
      </c>
      <c r="D5799" s="2" t="str">
        <f t="shared" si="89"/>
        <v>Error?</v>
      </c>
    </row>
    <row r="5800" spans="1:4" x14ac:dyDescent="0.2">
      <c r="A5800" s="10">
        <v>5739</v>
      </c>
      <c r="D5800" s="2" t="str">
        <f t="shared" si="89"/>
        <v>OK</v>
      </c>
    </row>
    <row r="5801" spans="1:4" x14ac:dyDescent="0.2">
      <c r="A5801" s="10">
        <v>5740</v>
      </c>
      <c r="D5801" s="2" t="str">
        <f t="shared" si="89"/>
        <v>OK</v>
      </c>
    </row>
    <row r="5802" spans="1:4" x14ac:dyDescent="0.2">
      <c r="A5802" s="10">
        <v>5741</v>
      </c>
      <c r="D5802" s="2" t="str">
        <f t="shared" si="89"/>
        <v>OK</v>
      </c>
    </row>
    <row r="5803" spans="1:4" x14ac:dyDescent="0.2">
      <c r="A5803" s="5">
        <v>5742</v>
      </c>
      <c r="B5803" s="138">
        <f>'Revenues 9-14'!G211</f>
        <v>0</v>
      </c>
      <c r="C5803" s="2" t="s">
        <v>594</v>
      </c>
      <c r="D5803" s="2" t="str">
        <f t="shared" si="89"/>
        <v>Error?</v>
      </c>
    </row>
    <row r="5804" spans="1:4" x14ac:dyDescent="0.2">
      <c r="A5804" s="10">
        <v>5743</v>
      </c>
      <c r="D5804" s="2" t="str">
        <f t="shared" si="89"/>
        <v>OK</v>
      </c>
    </row>
    <row r="5805" spans="1:4" x14ac:dyDescent="0.2">
      <c r="A5805" s="10">
        <v>5744</v>
      </c>
      <c r="D5805" s="2" t="str">
        <f t="shared" si="89"/>
        <v>OK</v>
      </c>
    </row>
    <row r="5806" spans="1:4" x14ac:dyDescent="0.2">
      <c r="A5806" s="10">
        <v>5745</v>
      </c>
      <c r="D5806" s="2" t="str">
        <f t="shared" si="89"/>
        <v>OK</v>
      </c>
    </row>
    <row r="5807" spans="1:4" x14ac:dyDescent="0.2">
      <c r="A5807" s="10">
        <v>5746</v>
      </c>
      <c r="D5807" s="2" t="str">
        <f t="shared" si="89"/>
        <v>OK</v>
      </c>
    </row>
    <row r="5808" spans="1:4"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9-14'!G218</f>
        <v>0</v>
      </c>
      <c r="D5817" s="2" t="str">
        <f t="shared" si="89"/>
        <v>Error?</v>
      </c>
    </row>
    <row r="5818" spans="1:4" x14ac:dyDescent="0.2">
      <c r="A5818" s="5">
        <v>5757</v>
      </c>
      <c r="B5818" s="138">
        <f>'Revenues 9-14'!G219</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9-14'!G220</f>
        <v>0</v>
      </c>
      <c r="D5821" s="2" t="str">
        <f t="shared" si="89"/>
        <v>Error?</v>
      </c>
    </row>
    <row r="5822" spans="1:4" x14ac:dyDescent="0.2">
      <c r="A5822" s="5">
        <v>5761</v>
      </c>
      <c r="B5822" s="138">
        <f>'Revenues 9-14'!G221</f>
        <v>0</v>
      </c>
      <c r="D5822" s="2" t="str">
        <f t="shared" si="89"/>
        <v>Error?</v>
      </c>
    </row>
    <row r="5823" spans="1:4" x14ac:dyDescent="0.2">
      <c r="A5823" s="5">
        <v>5762</v>
      </c>
      <c r="B5823" s="138">
        <f>'Revenues 9-14'!G222</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9-14'!G224</f>
        <v>0</v>
      </c>
      <c r="C5829" s="2" t="s">
        <v>594</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4" x14ac:dyDescent="0.2">
      <c r="A5841" s="10">
        <v>5780</v>
      </c>
      <c r="D5841" s="2" t="str">
        <f t="shared" si="90"/>
        <v>OK</v>
      </c>
    </row>
    <row r="5842" spans="1:4" x14ac:dyDescent="0.2">
      <c r="A5842" s="10">
        <v>5781</v>
      </c>
      <c r="D5842" s="2" t="str">
        <f t="shared" si="90"/>
        <v>OK</v>
      </c>
    </row>
    <row r="5843" spans="1:4" x14ac:dyDescent="0.2">
      <c r="A5843" s="10">
        <v>5782</v>
      </c>
      <c r="D5843" s="2" t="str">
        <f t="shared" si="90"/>
        <v>OK</v>
      </c>
    </row>
    <row r="5844" spans="1:4" x14ac:dyDescent="0.2">
      <c r="A5844" s="5">
        <v>5783</v>
      </c>
      <c r="B5844" s="138">
        <f>'Revenues 9-14'!G226</f>
        <v>0</v>
      </c>
      <c r="D5844" s="2" t="str">
        <f t="shared" si="90"/>
        <v>Error?</v>
      </c>
    </row>
    <row r="5845" spans="1:4" x14ac:dyDescent="0.2">
      <c r="A5845" s="10">
        <v>5784</v>
      </c>
      <c r="D5845" s="2" t="str">
        <f t="shared" si="90"/>
        <v>OK</v>
      </c>
    </row>
    <row r="5846" spans="1:4" x14ac:dyDescent="0.2">
      <c r="A5846" s="10">
        <v>5785</v>
      </c>
      <c r="D5846" s="2" t="str">
        <f t="shared" si="90"/>
        <v>OK</v>
      </c>
    </row>
    <row r="5847" spans="1:4" x14ac:dyDescent="0.2">
      <c r="A5847" s="5">
        <v>5786</v>
      </c>
      <c r="B5847" s="138">
        <f>'Revenues 9-14'!G228</f>
        <v>0</v>
      </c>
      <c r="C5847" s="2" t="s">
        <v>594</v>
      </c>
      <c r="D5847" s="2" t="str">
        <f t="shared" si="90"/>
        <v>Error?</v>
      </c>
    </row>
    <row r="5848" spans="1:4" x14ac:dyDescent="0.2">
      <c r="A5848" s="10">
        <v>5787</v>
      </c>
      <c r="D5848" s="2" t="str">
        <f t="shared" si="90"/>
        <v>OK</v>
      </c>
    </row>
    <row r="5849" spans="1:4" x14ac:dyDescent="0.2">
      <c r="A5849" s="10">
        <v>5788</v>
      </c>
      <c r="D5849" s="2" t="str">
        <f t="shared" si="90"/>
        <v>OK</v>
      </c>
    </row>
    <row r="5850" spans="1:4" x14ac:dyDescent="0.2">
      <c r="A5850" s="10">
        <v>5789</v>
      </c>
      <c r="D5850" s="2" t="str">
        <f t="shared" si="90"/>
        <v>OK</v>
      </c>
    </row>
    <row r="5851" spans="1:4" x14ac:dyDescent="0.2">
      <c r="A5851" s="10">
        <v>5790</v>
      </c>
      <c r="D5851" s="2" t="str">
        <f t="shared" si="90"/>
        <v>OK</v>
      </c>
    </row>
    <row r="5852" spans="1:4" x14ac:dyDescent="0.2">
      <c r="A5852" s="10">
        <v>5791</v>
      </c>
      <c r="D5852" s="2" t="str">
        <f t="shared" si="90"/>
        <v>OK</v>
      </c>
    </row>
    <row r="5853" spans="1:4" x14ac:dyDescent="0.2">
      <c r="A5853" s="5">
        <v>5792</v>
      </c>
      <c r="B5853" s="138">
        <f>'Revenues 9-14'!G229</f>
        <v>0</v>
      </c>
      <c r="D5853" s="2" t="str">
        <f t="shared" si="90"/>
        <v>Error?</v>
      </c>
    </row>
    <row r="5854" spans="1:4" x14ac:dyDescent="0.2">
      <c r="A5854" s="10">
        <v>5793</v>
      </c>
      <c r="D5854" s="2" t="str">
        <f t="shared" si="90"/>
        <v>OK</v>
      </c>
    </row>
    <row r="5855" spans="1:4" x14ac:dyDescent="0.2">
      <c r="A5855" s="5">
        <v>5794</v>
      </c>
      <c r="B5855" s="138">
        <f>'Revenues 9-14'!G263</f>
        <v>0</v>
      </c>
      <c r="D5855" s="2" t="str">
        <f t="shared" si="90"/>
        <v>Error?</v>
      </c>
    </row>
    <row r="5856" spans="1:4" x14ac:dyDescent="0.2">
      <c r="A5856" s="5">
        <v>5795</v>
      </c>
      <c r="B5856" s="138">
        <f>'Revenues 9-14'!G265</f>
        <v>0</v>
      </c>
      <c r="D5856" s="2" t="str">
        <f t="shared" si="90"/>
        <v>Error?</v>
      </c>
    </row>
    <row r="5857" spans="1:4" x14ac:dyDescent="0.2">
      <c r="A5857" s="10">
        <v>5796</v>
      </c>
      <c r="D5857" s="2" t="str">
        <f t="shared" si="90"/>
        <v>OK</v>
      </c>
    </row>
    <row r="5858" spans="1:4" x14ac:dyDescent="0.2">
      <c r="A5858" s="5">
        <v>5797</v>
      </c>
      <c r="B5858" s="138">
        <f>'Revenues 9-14'!G266</f>
        <v>0</v>
      </c>
      <c r="D5858" s="2" t="str">
        <f t="shared" si="90"/>
        <v>Error?</v>
      </c>
    </row>
    <row r="5859" spans="1:4" x14ac:dyDescent="0.2">
      <c r="A5859" s="10">
        <v>5798</v>
      </c>
      <c r="D5859" s="2" t="str">
        <f t="shared" si="90"/>
        <v>OK</v>
      </c>
    </row>
    <row r="5860" spans="1:4" x14ac:dyDescent="0.2">
      <c r="A5860" s="5">
        <v>5799</v>
      </c>
      <c r="B5860" s="138">
        <f>'Revenues 9-14'!G267</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9-14'!G273</f>
        <v>0</v>
      </c>
      <c r="C5863" s="2" t="s">
        <v>594</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9-14'!G274</f>
        <v>0</v>
      </c>
      <c r="C5869" s="2" t="s">
        <v>594</v>
      </c>
      <c r="D5869" s="2" t="str">
        <f t="shared" si="90"/>
        <v>Error?</v>
      </c>
    </row>
    <row r="5870" spans="1:4" x14ac:dyDescent="0.2">
      <c r="A5870" s="5">
        <v>5809</v>
      </c>
      <c r="B5870" s="138">
        <f>'Revenues 9-14'!G275</f>
        <v>614908</v>
      </c>
      <c r="C5870" s="2" t="s">
        <v>594</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594</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594</v>
      </c>
      <c r="D5878" s="2" t="str">
        <f t="shared" si="90"/>
        <v>Error?</v>
      </c>
    </row>
    <row r="5879" spans="1:4" x14ac:dyDescent="0.2">
      <c r="A5879" s="5">
        <v>5818</v>
      </c>
      <c r="B5879" s="138">
        <f>'Revenues 9-14'!H65</f>
        <v>25488</v>
      </c>
      <c r="D5879" s="2" t="str">
        <f t="shared" si="90"/>
        <v>Error?</v>
      </c>
    </row>
    <row r="5880" spans="1:4" x14ac:dyDescent="0.2">
      <c r="A5880" s="5">
        <v>5819</v>
      </c>
      <c r="B5880" s="138">
        <f>'Revenues 9-14'!H66</f>
        <v>0</v>
      </c>
      <c r="D5880" s="2" t="str">
        <f t="shared" si="90"/>
        <v>Error?</v>
      </c>
    </row>
    <row r="5881" spans="1:4" x14ac:dyDescent="0.2">
      <c r="A5881" s="5">
        <v>5820</v>
      </c>
      <c r="B5881" s="138">
        <f>'Revenues 9-14'!H67</f>
        <v>25488</v>
      </c>
      <c r="C5881" s="2" t="s">
        <v>594</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200774</v>
      </c>
      <c r="C5886" s="2" t="s">
        <v>594</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9-14'!H121</f>
        <v>0</v>
      </c>
      <c r="C5893" s="2" t="s">
        <v>594</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9-14'!H172</f>
        <v>0</v>
      </c>
      <c r="C5899" s="2" t="s">
        <v>594</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9-14'!H173</f>
        <v>0</v>
      </c>
      <c r="C5906" s="2" t="s">
        <v>594</v>
      </c>
      <c r="D5906" s="2" t="str">
        <f t="shared" si="91"/>
        <v>Error?</v>
      </c>
    </row>
    <row r="5907" spans="1:4" x14ac:dyDescent="0.2">
      <c r="A5907" s="5">
        <v>5846</v>
      </c>
      <c r="B5907" s="138">
        <f>'Revenues 9-14'!H181</f>
        <v>0</v>
      </c>
      <c r="D5907" s="2" t="str">
        <f t="shared" si="91"/>
        <v>Error?</v>
      </c>
    </row>
    <row r="5908" spans="1:4" x14ac:dyDescent="0.2">
      <c r="A5908" s="5">
        <v>5847</v>
      </c>
      <c r="B5908" s="138">
        <f>'Revenues 9-14'!H184</f>
        <v>0</v>
      </c>
      <c r="C5908" s="2" t="s">
        <v>594</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9-14'!H274</f>
        <v>0</v>
      </c>
      <c r="C5914" s="2" t="s">
        <v>594</v>
      </c>
      <c r="D5914" s="2" t="str">
        <f t="shared" si="91"/>
        <v>Error?</v>
      </c>
    </row>
    <row r="5915" spans="1:4" x14ac:dyDescent="0.2">
      <c r="A5915" s="5">
        <v>5854</v>
      </c>
      <c r="B5915" s="138">
        <f>'Revenues 9-14'!H275</f>
        <v>226262</v>
      </c>
      <c r="C5915" s="2" t="s">
        <v>594</v>
      </c>
      <c r="D5915" s="2" t="str">
        <f t="shared" si="91"/>
        <v>Error?</v>
      </c>
    </row>
    <row r="5916" spans="1:4" x14ac:dyDescent="0.2">
      <c r="A5916" s="5">
        <v>5855</v>
      </c>
      <c r="B5916" s="138">
        <f>'Revenues 9-14'!I5</f>
        <v>9973</v>
      </c>
      <c r="D5916" s="2" t="str">
        <f t="shared" si="91"/>
        <v>Error?</v>
      </c>
    </row>
    <row r="5917" spans="1:4" x14ac:dyDescent="0.2">
      <c r="A5917" s="5">
        <v>5856</v>
      </c>
      <c r="B5917" s="138">
        <f>'Revenues 9-14'!I11</f>
        <v>0</v>
      </c>
      <c r="D5917" s="2" t="str">
        <f t="shared" si="91"/>
        <v>Error?</v>
      </c>
    </row>
    <row r="5918" spans="1:4" x14ac:dyDescent="0.2">
      <c r="A5918" s="5">
        <v>5857</v>
      </c>
      <c r="B5918" s="138">
        <f>'Revenues 9-14'!I12</f>
        <v>9973</v>
      </c>
      <c r="C5918" s="2" t="s">
        <v>594</v>
      </c>
      <c r="D5918" s="2" t="str">
        <f t="shared" si="91"/>
        <v>Error?</v>
      </c>
    </row>
    <row r="5919" spans="1:4" x14ac:dyDescent="0.2">
      <c r="A5919" s="5">
        <v>5858</v>
      </c>
      <c r="B5919" s="138">
        <f>'Revenues 9-14'!I14</f>
        <v>21</v>
      </c>
      <c r="D5919" s="2" t="str">
        <f t="shared" si="91"/>
        <v>Error?</v>
      </c>
    </row>
    <row r="5920" spans="1:4" x14ac:dyDescent="0.2">
      <c r="A5920" s="5">
        <v>5859</v>
      </c>
      <c r="B5920" s="138">
        <f>'Revenues 9-14'!I15</f>
        <v>28</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49</v>
      </c>
      <c r="C5923" s="2" t="s">
        <v>594</v>
      </c>
      <c r="D5923" s="2" t="str">
        <f t="shared" si="91"/>
        <v>Error?</v>
      </c>
    </row>
    <row r="5924" spans="1:4" x14ac:dyDescent="0.2">
      <c r="A5924" s="5">
        <v>5863</v>
      </c>
      <c r="B5924" s="138">
        <f>'Revenues 9-14'!I65</f>
        <v>551</v>
      </c>
      <c r="D5924" s="2" t="str">
        <f t="shared" si="91"/>
        <v>Error?</v>
      </c>
    </row>
    <row r="5925" spans="1:4" x14ac:dyDescent="0.2">
      <c r="A5925" s="5">
        <v>5864</v>
      </c>
      <c r="B5925" s="138">
        <f>'Revenues 9-14'!I66</f>
        <v>0</v>
      </c>
      <c r="D5925" s="2" t="str">
        <f t="shared" si="91"/>
        <v>Error?</v>
      </c>
    </row>
    <row r="5926" spans="1:4" x14ac:dyDescent="0.2">
      <c r="A5926" s="5">
        <v>5865</v>
      </c>
      <c r="B5926" s="138">
        <f>'Revenues 9-14'!I67</f>
        <v>551</v>
      </c>
      <c r="C5926" s="2" t="s">
        <v>594</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594</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9-14'!I275</f>
        <v>10573</v>
      </c>
      <c r="C5946" s="2" t="s">
        <v>594</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594</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594</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594</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594</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594</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594</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594</v>
      </c>
      <c r="D5984" s="2" t="str">
        <f t="shared" si="92"/>
        <v>OK</v>
      </c>
    </row>
    <row r="5985" spans="1:4" x14ac:dyDescent="0.2">
      <c r="A5985" s="5">
        <v>5924</v>
      </c>
      <c r="B5985" s="138">
        <f>'Revenues 9-14'!K5</f>
        <v>47128</v>
      </c>
      <c r="D5985" s="2" t="str">
        <f t="shared" si="92"/>
        <v>Error?</v>
      </c>
    </row>
    <row r="5986" spans="1:4" x14ac:dyDescent="0.2">
      <c r="A5986" s="5">
        <v>5925</v>
      </c>
      <c r="B5986" s="138">
        <f>'Revenues 9-14'!K11</f>
        <v>0</v>
      </c>
      <c r="D5986" s="2" t="str">
        <f t="shared" si="92"/>
        <v>Error?</v>
      </c>
    </row>
    <row r="5987" spans="1:4" x14ac:dyDescent="0.2">
      <c r="A5987" s="5">
        <v>5926</v>
      </c>
      <c r="B5987" s="138">
        <f>'Revenues 9-14'!K12</f>
        <v>47128</v>
      </c>
      <c r="C5987" s="2" t="s">
        <v>594</v>
      </c>
      <c r="D5987" s="2" t="str">
        <f t="shared" si="92"/>
        <v>Error?</v>
      </c>
    </row>
    <row r="5988" spans="1:4" x14ac:dyDescent="0.2">
      <c r="A5988" s="5">
        <v>5927</v>
      </c>
      <c r="B5988" s="138">
        <f>'Revenues 9-14'!K14</f>
        <v>100</v>
      </c>
      <c r="D5988" s="2" t="str">
        <f t="shared" si="92"/>
        <v>Error?</v>
      </c>
    </row>
    <row r="5989" spans="1:4" x14ac:dyDescent="0.2">
      <c r="A5989" s="5">
        <v>5928</v>
      </c>
      <c r="B5989" s="138">
        <f>'Revenues 9-14'!K15</f>
        <v>132</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232</v>
      </c>
      <c r="C5992" s="2" t="s">
        <v>594</v>
      </c>
      <c r="D5992" s="2" t="str">
        <f t="shared" si="92"/>
        <v>Error?</v>
      </c>
    </row>
    <row r="5993" spans="1:4" x14ac:dyDescent="0.2">
      <c r="A5993" s="5">
        <v>5932</v>
      </c>
      <c r="B5993" s="138">
        <f>'Revenues 9-14'!K65</f>
        <v>130</v>
      </c>
      <c r="D5993" s="2" t="str">
        <f t="shared" si="92"/>
        <v>Error?</v>
      </c>
    </row>
    <row r="5994" spans="1:4" x14ac:dyDescent="0.2">
      <c r="A5994" s="5">
        <v>5933</v>
      </c>
      <c r="B5994" s="138">
        <f>'Revenues 9-14'!K66</f>
        <v>0</v>
      </c>
      <c r="D5994" s="2" t="str">
        <f t="shared" si="92"/>
        <v>Error?</v>
      </c>
    </row>
    <row r="5995" spans="1:4" x14ac:dyDescent="0.2">
      <c r="A5995" s="5">
        <v>5934</v>
      </c>
      <c r="B5995" s="138">
        <f>'Revenues 9-14'!K67</f>
        <v>130</v>
      </c>
      <c r="C5995" s="2" t="s">
        <v>594</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594</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9-14'!K121</f>
        <v>0</v>
      </c>
      <c r="C6006" s="2" t="s">
        <v>594</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9-14'!K173</f>
        <v>0</v>
      </c>
      <c r="C6014" s="2" t="s">
        <v>594</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9-14'!K184</f>
        <v>0</v>
      </c>
      <c r="C6016" s="2" t="s">
        <v>594</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9-14'!K274</f>
        <v>0</v>
      </c>
      <c r="C6022" s="2" t="s">
        <v>594</v>
      </c>
      <c r="D6022" s="2" t="str">
        <f t="shared" si="93"/>
        <v>Error?</v>
      </c>
    </row>
    <row r="6023" spans="1:5" x14ac:dyDescent="0.2">
      <c r="A6023" s="5">
        <v>5962</v>
      </c>
      <c r="B6023" s="138">
        <f>'Revenues 9-14'!K275</f>
        <v>47490</v>
      </c>
      <c r="C6023" s="2" t="s">
        <v>594</v>
      </c>
      <c r="D6023" s="2" t="str">
        <f t="shared" si="93"/>
        <v>Error?</v>
      </c>
    </row>
    <row r="6024" spans="1:5" x14ac:dyDescent="0.2">
      <c r="A6024" s="5">
        <v>5963</v>
      </c>
      <c r="B6024" s="138">
        <f>'Revenues 9-14'!G109</f>
        <v>614908</v>
      </c>
      <c r="C6024" s="2" t="s">
        <v>594</v>
      </c>
      <c r="D6024" s="2" t="str">
        <f t="shared" si="93"/>
        <v>Error?</v>
      </c>
    </row>
    <row r="6025" spans="1:5" x14ac:dyDescent="0.2">
      <c r="A6025" s="5">
        <v>5964</v>
      </c>
      <c r="B6025" s="138">
        <f>'Revenues 9-14'!H109</f>
        <v>226262</v>
      </c>
      <c r="C6025" s="2" t="s">
        <v>594</v>
      </c>
      <c r="D6025" s="2" t="str">
        <f t="shared" si="93"/>
        <v>Error?</v>
      </c>
    </row>
    <row r="6026" spans="1:5" x14ac:dyDescent="0.2">
      <c r="A6026" s="5">
        <v>5965</v>
      </c>
      <c r="B6026" s="138">
        <f>'Revenues 9-14'!I109</f>
        <v>10573</v>
      </c>
      <c r="C6026" s="2" t="s">
        <v>594</v>
      </c>
      <c r="D6026" s="2" t="str">
        <f t="shared" si="93"/>
        <v>Error?</v>
      </c>
    </row>
    <row r="6027" spans="1:5" x14ac:dyDescent="0.2">
      <c r="A6027" s="10">
        <v>5966</v>
      </c>
      <c r="C6027" s="2" t="s">
        <v>594</v>
      </c>
      <c r="D6027" s="2" t="str">
        <f t="shared" si="93"/>
        <v>OK</v>
      </c>
    </row>
    <row r="6028" spans="1:5" x14ac:dyDescent="0.2">
      <c r="A6028" s="5">
        <v>5967</v>
      </c>
      <c r="B6028" s="138">
        <f>'Revenues 9-14'!K109</f>
        <v>47490</v>
      </c>
      <c r="C6028" s="2" t="s">
        <v>594</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0</v>
      </c>
      <c r="D6031" s="2" t="str">
        <f t="shared" si="93"/>
        <v>Error?</v>
      </c>
    </row>
    <row r="6032" spans="1:5" x14ac:dyDescent="0.2">
      <c r="A6032" s="5">
        <v>5971</v>
      </c>
      <c r="B6032" s="138">
        <f>'Acct Summary 7-8'!G15</f>
        <v>0</v>
      </c>
      <c r="C6032" s="2" t="s">
        <v>594</v>
      </c>
      <c r="D6032" s="2" t="str">
        <f t="shared" si="93"/>
        <v>Error?</v>
      </c>
      <c r="E6032" s="2" t="s">
        <v>104</v>
      </c>
    </row>
    <row r="6033" spans="1:5" x14ac:dyDescent="0.2">
      <c r="A6033" s="10">
        <v>5972</v>
      </c>
      <c r="C6033" s="2" t="s">
        <v>594</v>
      </c>
      <c r="D6033" s="2" t="str">
        <f t="shared" si="93"/>
        <v>OK</v>
      </c>
      <c r="E6033" s="2" t="s">
        <v>104</v>
      </c>
    </row>
    <row r="6034" spans="1:5" x14ac:dyDescent="0.2">
      <c r="A6034" s="35">
        <v>5973</v>
      </c>
      <c r="B6034" s="139"/>
      <c r="C6034" s="2" t="s">
        <v>594</v>
      </c>
      <c r="D6034" s="2" t="str">
        <f t="shared" si="93"/>
        <v>OK</v>
      </c>
      <c r="E6034" s="2" t="s">
        <v>777</v>
      </c>
    </row>
    <row r="6035" spans="1:5" x14ac:dyDescent="0.2">
      <c r="A6035" s="13">
        <v>5974</v>
      </c>
      <c r="B6035" s="139">
        <f>'ICR Computation 30'!E11</f>
        <v>86532</v>
      </c>
      <c r="C6035" s="2" t="s">
        <v>594</v>
      </c>
      <c r="D6035" s="2" t="str">
        <f t="shared" si="93"/>
        <v>Error?</v>
      </c>
      <c r="E6035" s="2" t="s">
        <v>977</v>
      </c>
    </row>
    <row r="6036" spans="1:5" x14ac:dyDescent="0.2">
      <c r="A6036" s="35">
        <v>5975</v>
      </c>
      <c r="B6036" s="139"/>
      <c r="D6036" s="2" t="str">
        <f t="shared" si="93"/>
        <v>OK</v>
      </c>
      <c r="E6036" s="2" t="s">
        <v>977</v>
      </c>
    </row>
    <row r="6037" spans="1:5" x14ac:dyDescent="0.2">
      <c r="A6037" s="35">
        <v>5976</v>
      </c>
      <c r="B6037" s="139"/>
      <c r="D6037" s="2" t="str">
        <f t="shared" si="93"/>
        <v>OK</v>
      </c>
      <c r="E6037" s="2" t="s">
        <v>977</v>
      </c>
    </row>
    <row r="6038" spans="1:5" x14ac:dyDescent="0.2">
      <c r="A6038" s="35">
        <v>5977</v>
      </c>
      <c r="B6038" s="139"/>
      <c r="D6038" s="2" t="str">
        <f t="shared" si="93"/>
        <v>OK</v>
      </c>
      <c r="E6038" s="2" t="s">
        <v>977</v>
      </c>
    </row>
    <row r="6039" spans="1:5" x14ac:dyDescent="0.2">
      <c r="A6039" s="35">
        <v>5978</v>
      </c>
      <c r="B6039" s="139"/>
      <c r="D6039" s="2" t="str">
        <f t="shared" si="93"/>
        <v>OK</v>
      </c>
      <c r="E6039" s="2" t="s">
        <v>977</v>
      </c>
    </row>
    <row r="6040" spans="1:5" x14ac:dyDescent="0.2">
      <c r="A6040" s="35">
        <v>5979</v>
      </c>
      <c r="B6040" s="139"/>
      <c r="D6040" s="2" t="str">
        <f t="shared" si="93"/>
        <v>OK</v>
      </c>
      <c r="E6040" s="2" t="s">
        <v>977</v>
      </c>
    </row>
    <row r="6041" spans="1:5" x14ac:dyDescent="0.2">
      <c r="A6041" s="35">
        <v>5980</v>
      </c>
      <c r="B6041" s="139"/>
      <c r="D6041" s="2" t="str">
        <f t="shared" si="93"/>
        <v>OK</v>
      </c>
      <c r="E6041" s="2" t="s">
        <v>977</v>
      </c>
    </row>
    <row r="6042" spans="1:5" x14ac:dyDescent="0.2">
      <c r="A6042" s="35">
        <v>5981</v>
      </c>
      <c r="B6042" s="139"/>
      <c r="D6042" s="2" t="str">
        <f t="shared" si="93"/>
        <v>OK</v>
      </c>
      <c r="E6042" s="2" t="s">
        <v>977</v>
      </c>
    </row>
    <row r="6043" spans="1:5" x14ac:dyDescent="0.2">
      <c r="A6043" s="35">
        <v>5982</v>
      </c>
      <c r="B6043" s="139"/>
      <c r="D6043" s="2" t="str">
        <f t="shared" si="93"/>
        <v>OK</v>
      </c>
      <c r="E6043" s="2" t="s">
        <v>977</v>
      </c>
    </row>
    <row r="6044" spans="1:5" x14ac:dyDescent="0.2">
      <c r="A6044" s="35">
        <v>5983</v>
      </c>
      <c r="B6044" s="139"/>
      <c r="D6044" s="2" t="str">
        <f t="shared" si="93"/>
        <v>OK</v>
      </c>
      <c r="E6044" s="2" t="s">
        <v>977</v>
      </c>
    </row>
    <row r="6045" spans="1:5" x14ac:dyDescent="0.2">
      <c r="A6045" s="35">
        <v>5984</v>
      </c>
      <c r="B6045" s="139"/>
      <c r="D6045" s="2" t="str">
        <f t="shared" si="93"/>
        <v>OK</v>
      </c>
      <c r="E6045" s="2" t="s">
        <v>977</v>
      </c>
    </row>
    <row r="6046" spans="1:5" x14ac:dyDescent="0.2">
      <c r="A6046" s="35">
        <v>5985</v>
      </c>
      <c r="B6046" s="139"/>
      <c r="D6046" s="2" t="str">
        <f t="shared" si="93"/>
        <v>OK</v>
      </c>
      <c r="E6046" s="2" t="s">
        <v>977</v>
      </c>
    </row>
    <row r="6047" spans="1:5" x14ac:dyDescent="0.2">
      <c r="A6047" s="35">
        <v>5986</v>
      </c>
      <c r="B6047" s="139"/>
      <c r="D6047" s="2" t="str">
        <f t="shared" si="93"/>
        <v>OK</v>
      </c>
      <c r="E6047" s="2" t="s">
        <v>977</v>
      </c>
    </row>
    <row r="6048" spans="1:5" x14ac:dyDescent="0.2">
      <c r="A6048" s="35">
        <v>5987</v>
      </c>
      <c r="B6048" s="139"/>
      <c r="D6048" s="2" t="str">
        <f t="shared" si="93"/>
        <v>OK</v>
      </c>
      <c r="E6048" s="2" t="s">
        <v>977</v>
      </c>
    </row>
    <row r="6049" spans="1:5" x14ac:dyDescent="0.2">
      <c r="A6049" s="35">
        <v>5988</v>
      </c>
      <c r="B6049" s="139"/>
      <c r="D6049" s="2" t="str">
        <f t="shared" si="93"/>
        <v>OK</v>
      </c>
      <c r="E6049" s="2" t="s">
        <v>977</v>
      </c>
    </row>
    <row r="6050" spans="1:5" x14ac:dyDescent="0.2">
      <c r="A6050" s="35">
        <v>5989</v>
      </c>
      <c r="B6050" s="139"/>
      <c r="D6050" s="2" t="str">
        <f t="shared" si="93"/>
        <v>OK</v>
      </c>
      <c r="E6050" s="2" t="s">
        <v>977</v>
      </c>
    </row>
    <row r="6051" spans="1:5" x14ac:dyDescent="0.2">
      <c r="A6051" s="35">
        <v>5990</v>
      </c>
      <c r="B6051" s="139"/>
      <c r="D6051" s="2" t="str">
        <f t="shared" si="93"/>
        <v>OK</v>
      </c>
      <c r="E6051" s="2" t="s">
        <v>977</v>
      </c>
    </row>
    <row r="6052" spans="1:5" x14ac:dyDescent="0.2">
      <c r="A6052" s="35">
        <v>5991</v>
      </c>
      <c r="B6052" s="139"/>
      <c r="D6052" s="2" t="str">
        <f t="shared" si="93"/>
        <v>OK</v>
      </c>
      <c r="E6052" s="2" t="s">
        <v>977</v>
      </c>
    </row>
    <row r="6053" spans="1:5" x14ac:dyDescent="0.2">
      <c r="A6053" s="35">
        <v>5992</v>
      </c>
      <c r="B6053" s="139"/>
      <c r="D6053" s="2" t="str">
        <f t="shared" si="93"/>
        <v>OK</v>
      </c>
      <c r="E6053" s="2" t="s">
        <v>977</v>
      </c>
    </row>
    <row r="6054" spans="1:5" x14ac:dyDescent="0.2">
      <c r="A6054" s="35">
        <v>5993</v>
      </c>
      <c r="B6054" s="139"/>
      <c r="C6054" s="2" t="s">
        <v>594</v>
      </c>
      <c r="D6054" s="2" t="str">
        <f t="shared" si="93"/>
        <v>OK</v>
      </c>
      <c r="E6054" s="2" t="s">
        <v>977</v>
      </c>
    </row>
    <row r="6055" spans="1:5" x14ac:dyDescent="0.2">
      <c r="A6055" s="35">
        <v>5994</v>
      </c>
      <c r="B6055" s="139"/>
      <c r="D6055" s="2" t="str">
        <f t="shared" si="93"/>
        <v>OK</v>
      </c>
      <c r="E6055" s="2" t="s">
        <v>977</v>
      </c>
    </row>
    <row r="6056" spans="1:5" x14ac:dyDescent="0.2">
      <c r="A6056" s="35">
        <v>5995</v>
      </c>
      <c r="B6056" s="139"/>
      <c r="D6056" s="2" t="str">
        <f t="shared" si="93"/>
        <v>OK</v>
      </c>
      <c r="E6056" s="2" t="s">
        <v>977</v>
      </c>
    </row>
    <row r="6057" spans="1:5" x14ac:dyDescent="0.2">
      <c r="A6057" s="35">
        <v>5996</v>
      </c>
      <c r="B6057" s="139"/>
      <c r="D6057" s="2" t="str">
        <f t="shared" si="93"/>
        <v>OK</v>
      </c>
      <c r="E6057" s="2" t="s">
        <v>977</v>
      </c>
    </row>
    <row r="6058" spans="1:5" x14ac:dyDescent="0.2">
      <c r="A6058" s="35">
        <v>5997</v>
      </c>
      <c r="B6058" s="139"/>
      <c r="D6058" s="2" t="str">
        <f t="shared" si="93"/>
        <v>OK</v>
      </c>
      <c r="E6058" s="2" t="s">
        <v>977</v>
      </c>
    </row>
    <row r="6059" spans="1:5" x14ac:dyDescent="0.2">
      <c r="A6059" s="35">
        <v>5998</v>
      </c>
      <c r="B6059" s="139"/>
      <c r="D6059" s="2" t="str">
        <f t="shared" si="93"/>
        <v>OK</v>
      </c>
      <c r="E6059" s="2" t="s">
        <v>977</v>
      </c>
    </row>
    <row r="6060" spans="1:5" x14ac:dyDescent="0.2">
      <c r="A6060" s="35">
        <v>5999</v>
      </c>
      <c r="B6060" s="139"/>
      <c r="D6060" s="2" t="str">
        <f t="shared" si="93"/>
        <v>OK</v>
      </c>
      <c r="E6060" s="2" t="s">
        <v>977</v>
      </c>
    </row>
    <row r="6061" spans="1:5" x14ac:dyDescent="0.2">
      <c r="A6061" s="35">
        <v>6000</v>
      </c>
      <c r="B6061" s="139"/>
      <c r="D6061" s="2" t="str">
        <f t="shared" si="93"/>
        <v>OK</v>
      </c>
      <c r="E6061" s="2" t="s">
        <v>977</v>
      </c>
    </row>
    <row r="6062" spans="1:5" x14ac:dyDescent="0.2">
      <c r="A6062" s="35">
        <v>6001</v>
      </c>
      <c r="B6062" s="139"/>
      <c r="D6062" s="2" t="str">
        <f t="shared" si="93"/>
        <v>OK</v>
      </c>
      <c r="E6062" s="2" t="s">
        <v>977</v>
      </c>
    </row>
    <row r="6063" spans="1:5" x14ac:dyDescent="0.2">
      <c r="A6063" s="35">
        <v>6002</v>
      </c>
      <c r="B6063" s="139"/>
      <c r="D6063" s="2" t="str">
        <f t="shared" si="93"/>
        <v>OK</v>
      </c>
      <c r="E6063" s="2" t="s">
        <v>977</v>
      </c>
    </row>
    <row r="6064" spans="1:5" x14ac:dyDescent="0.2">
      <c r="A6064" s="35">
        <v>6003</v>
      </c>
      <c r="B6064" s="139"/>
      <c r="D6064" s="2" t="str">
        <f t="shared" si="93"/>
        <v>OK</v>
      </c>
      <c r="E6064" s="2" t="s">
        <v>977</v>
      </c>
    </row>
    <row r="6065" spans="1:5" x14ac:dyDescent="0.2">
      <c r="A6065" s="35">
        <v>6004</v>
      </c>
      <c r="B6065" s="139"/>
      <c r="D6065" s="2" t="str">
        <f t="shared" si="93"/>
        <v>OK</v>
      </c>
      <c r="E6065" s="2" t="s">
        <v>977</v>
      </c>
    </row>
    <row r="6066" spans="1:5" x14ac:dyDescent="0.2">
      <c r="A6066" s="35">
        <v>6005</v>
      </c>
      <c r="B6066" s="139"/>
      <c r="D6066" s="2" t="str">
        <f t="shared" si="93"/>
        <v>OK</v>
      </c>
      <c r="E6066" s="2" t="s">
        <v>977</v>
      </c>
    </row>
    <row r="6067" spans="1:5" x14ac:dyDescent="0.2">
      <c r="A6067" s="127">
        <v>6006</v>
      </c>
      <c r="B6067" s="139"/>
      <c r="D6067" s="2" t="str">
        <f t="shared" si="93"/>
        <v>OK</v>
      </c>
      <c r="E6067" s="2" t="s">
        <v>977</v>
      </c>
    </row>
    <row r="6068" spans="1:5" x14ac:dyDescent="0.2">
      <c r="A6068" s="127">
        <v>6007</v>
      </c>
      <c r="B6068" s="139"/>
      <c r="D6068" s="2" t="str">
        <f t="shared" si="93"/>
        <v>OK</v>
      </c>
      <c r="E6068" s="2" t="s">
        <v>977</v>
      </c>
    </row>
    <row r="6069" spans="1:5" x14ac:dyDescent="0.2">
      <c r="A6069" s="127">
        <v>6008</v>
      </c>
      <c r="B6069" s="139"/>
      <c r="D6069" s="2" t="str">
        <f t="shared" si="93"/>
        <v>OK</v>
      </c>
      <c r="E6069" s="2" t="s">
        <v>977</v>
      </c>
    </row>
    <row r="6070" spans="1:5" x14ac:dyDescent="0.2">
      <c r="A6070" s="127">
        <v>6009</v>
      </c>
      <c r="B6070" s="139"/>
      <c r="D6070" s="2" t="str">
        <f t="shared" si="93"/>
        <v>OK</v>
      </c>
      <c r="E6070" s="2" t="s">
        <v>977</v>
      </c>
    </row>
    <row r="6071" spans="1:5" x14ac:dyDescent="0.2">
      <c r="A6071" s="127">
        <v>6010</v>
      </c>
      <c r="B6071" s="139"/>
      <c r="D6071" s="2" t="str">
        <f t="shared" si="93"/>
        <v>OK</v>
      </c>
      <c r="E6071" s="2" t="s">
        <v>977</v>
      </c>
    </row>
    <row r="6072" spans="1:5" x14ac:dyDescent="0.2">
      <c r="A6072" s="127">
        <v>6011</v>
      </c>
      <c r="B6072" s="139"/>
      <c r="D6072" s="2" t="str">
        <f t="shared" si="93"/>
        <v>OK</v>
      </c>
      <c r="E6072" s="2" t="s">
        <v>977</v>
      </c>
    </row>
    <row r="6073" spans="1:5" x14ac:dyDescent="0.2">
      <c r="A6073" s="127">
        <v>6012</v>
      </c>
      <c r="B6073" s="139"/>
      <c r="C6073" s="2" t="s">
        <v>594</v>
      </c>
      <c r="D6073" s="2" t="str">
        <f t="shared" si="93"/>
        <v>OK</v>
      </c>
      <c r="E6073" s="2" t="s">
        <v>977</v>
      </c>
    </row>
    <row r="6074" spans="1:5" x14ac:dyDescent="0.2">
      <c r="A6074" s="8">
        <v>6013</v>
      </c>
      <c r="B6074" s="139">
        <f>'PCTC-OEPP 27-28'!F78</f>
        <v>1489.49</v>
      </c>
      <c r="D6074" s="2" t="str">
        <f t="shared" si="93"/>
        <v>Error?</v>
      </c>
      <c r="E6074" s="2" t="s">
        <v>987</v>
      </c>
    </row>
    <row r="6075" spans="1:5" x14ac:dyDescent="0.2">
      <c r="A6075" s="127">
        <v>6014</v>
      </c>
      <c r="B6075" s="139"/>
      <c r="D6075" s="2" t="str">
        <f t="shared" si="93"/>
        <v>OK</v>
      </c>
      <c r="E6075" s="2" t="s">
        <v>987</v>
      </c>
    </row>
    <row r="6076" spans="1:5" x14ac:dyDescent="0.2">
      <c r="A6076">
        <v>6015</v>
      </c>
      <c r="B6076" s="138">
        <f>'Short-Term Long-Term Debt 24'!C27</f>
        <v>0</v>
      </c>
      <c r="D6076" s="2" t="str">
        <f t="shared" si="93"/>
        <v>Error?</v>
      </c>
      <c r="E6076" s="2" t="s">
        <v>987</v>
      </c>
    </row>
    <row r="6077" spans="1:5" x14ac:dyDescent="0.2">
      <c r="A6077">
        <v>6016</v>
      </c>
      <c r="B6077" s="138">
        <f>'Short-Term Long-Term Debt 24'!D27</f>
        <v>0</v>
      </c>
      <c r="D6077" s="2" t="str">
        <f t="shared" si="93"/>
        <v>Error?</v>
      </c>
      <c r="E6077" s="2" t="s">
        <v>987</v>
      </c>
    </row>
    <row r="6078" spans="1:5" x14ac:dyDescent="0.2">
      <c r="A6078">
        <v>6017</v>
      </c>
      <c r="B6078" s="138">
        <f>'Short-Term Long-Term Debt 24'!E27</f>
        <v>0</v>
      </c>
      <c r="D6078" s="2" t="str">
        <f t="shared" si="93"/>
        <v>Error?</v>
      </c>
      <c r="E6078" s="2" t="s">
        <v>987</v>
      </c>
    </row>
    <row r="6079" spans="1:5" x14ac:dyDescent="0.2">
      <c r="A6079">
        <v>6018</v>
      </c>
      <c r="B6079" s="138">
        <f>'Short-Term Long-Term Debt 24'!F27</f>
        <v>0</v>
      </c>
      <c r="D6079" s="2" t="str">
        <f t="shared" ref="D6079:D6142" si="94">IF(ISBLANK(B6079),"OK",IF(A6079-B6079=0,"OK","Error?"))</f>
        <v>Error?</v>
      </c>
      <c r="E6079" s="2" t="s">
        <v>156</v>
      </c>
    </row>
    <row r="6080" spans="1:5" x14ac:dyDescent="0.2">
      <c r="A6080" s="129">
        <v>6019</v>
      </c>
      <c r="D6080" s="2" t="str">
        <f t="shared" si="94"/>
        <v>OK</v>
      </c>
      <c r="E6080" s="2" t="s">
        <v>503</v>
      </c>
    </row>
    <row r="6081" spans="1:5" x14ac:dyDescent="0.2">
      <c r="A6081">
        <v>6020</v>
      </c>
      <c r="B6081" s="138">
        <f>'Assets-Liab 5-6'!C7</f>
        <v>0</v>
      </c>
      <c r="D6081" s="2" t="str">
        <f t="shared" si="94"/>
        <v>Error?</v>
      </c>
      <c r="E6081" s="2" t="s">
        <v>199</v>
      </c>
    </row>
    <row r="6082" spans="1:5" x14ac:dyDescent="0.2">
      <c r="A6082">
        <v>6021</v>
      </c>
      <c r="B6082" s="138">
        <f>'Assets-Liab 5-6'!D7</f>
        <v>0</v>
      </c>
      <c r="D6082" s="2" t="str">
        <f t="shared" si="94"/>
        <v>Error?</v>
      </c>
      <c r="E6082" s="2" t="s">
        <v>199</v>
      </c>
    </row>
    <row r="6083" spans="1:5" x14ac:dyDescent="0.2">
      <c r="A6083">
        <v>6022</v>
      </c>
      <c r="B6083" s="138">
        <f>'Assets-Liab 5-6'!E7</f>
        <v>0</v>
      </c>
      <c r="D6083" s="2" t="str">
        <f t="shared" si="94"/>
        <v>Error?</v>
      </c>
      <c r="E6083" s="2" t="s">
        <v>199</v>
      </c>
    </row>
    <row r="6084" spans="1:5" x14ac:dyDescent="0.2">
      <c r="A6084">
        <v>6023</v>
      </c>
      <c r="B6084" s="138">
        <f>'Assets-Liab 5-6'!F7</f>
        <v>0</v>
      </c>
      <c r="D6084" s="2" t="str">
        <f t="shared" si="94"/>
        <v>Error?</v>
      </c>
      <c r="E6084" s="2" t="s">
        <v>199</v>
      </c>
    </row>
    <row r="6085" spans="1:5" x14ac:dyDescent="0.2">
      <c r="A6085">
        <v>6024</v>
      </c>
      <c r="B6085" s="138">
        <f>'Assets-Liab 5-6'!G7</f>
        <v>0</v>
      </c>
      <c r="D6085" s="2" t="str">
        <f t="shared" si="94"/>
        <v>Error?</v>
      </c>
      <c r="E6085" s="2" t="s">
        <v>199</v>
      </c>
    </row>
    <row r="6086" spans="1:5" x14ac:dyDescent="0.2">
      <c r="A6086">
        <v>6025</v>
      </c>
      <c r="B6086" s="138">
        <f>'Assets-Liab 5-6'!H7</f>
        <v>0</v>
      </c>
      <c r="D6086" s="2" t="str">
        <f t="shared" si="94"/>
        <v>Error?</v>
      </c>
      <c r="E6086" s="2" t="s">
        <v>199</v>
      </c>
    </row>
    <row r="6087" spans="1:5" x14ac:dyDescent="0.2">
      <c r="A6087">
        <v>6026</v>
      </c>
      <c r="B6087" s="138">
        <f>'Assets-Liab 5-6'!I7</f>
        <v>0</v>
      </c>
      <c r="D6087" s="2" t="str">
        <f t="shared" si="94"/>
        <v>Error?</v>
      </c>
      <c r="E6087" s="2" t="s">
        <v>199</v>
      </c>
    </row>
    <row r="6088" spans="1:5" x14ac:dyDescent="0.2">
      <c r="A6088">
        <v>6027</v>
      </c>
      <c r="B6088" s="138">
        <f>'Assets-Liab 5-6'!J7</f>
        <v>0</v>
      </c>
      <c r="D6088" s="2" t="str">
        <f t="shared" si="94"/>
        <v>Error?</v>
      </c>
      <c r="E6088" s="2" t="s">
        <v>199</v>
      </c>
    </row>
    <row r="6089" spans="1:5" x14ac:dyDescent="0.2">
      <c r="A6089">
        <v>6028</v>
      </c>
      <c r="B6089" s="138">
        <f>'Assets-Liab 5-6'!K7</f>
        <v>0</v>
      </c>
      <c r="D6089" s="2" t="str">
        <f t="shared" si="94"/>
        <v>Error?</v>
      </c>
      <c r="E6089" s="2" t="s">
        <v>199</v>
      </c>
    </row>
    <row r="6090" spans="1:5" x14ac:dyDescent="0.2">
      <c r="A6090">
        <v>6029</v>
      </c>
      <c r="B6090" s="138">
        <f>'Assets-Liab 5-6'!C8</f>
        <v>0</v>
      </c>
      <c r="D6090" s="2" t="str">
        <f t="shared" si="94"/>
        <v>Error?</v>
      </c>
      <c r="E6090" s="2" t="s">
        <v>199</v>
      </c>
    </row>
    <row r="6091" spans="1:5" x14ac:dyDescent="0.2">
      <c r="A6091">
        <v>6030</v>
      </c>
      <c r="B6091" s="138">
        <f>'Assets-Liab 5-6'!D8</f>
        <v>0</v>
      </c>
      <c r="D6091" s="2" t="str">
        <f t="shared" si="94"/>
        <v>Error?</v>
      </c>
      <c r="E6091" s="2" t="s">
        <v>199</v>
      </c>
    </row>
    <row r="6092" spans="1:5" x14ac:dyDescent="0.2">
      <c r="A6092">
        <v>6031</v>
      </c>
      <c r="B6092" s="138">
        <f>'Assets-Liab 5-6'!E8</f>
        <v>0</v>
      </c>
      <c r="D6092" s="2" t="str">
        <f t="shared" si="94"/>
        <v>Error?</v>
      </c>
      <c r="E6092" s="2" t="s">
        <v>199</v>
      </c>
    </row>
    <row r="6093" spans="1:5" x14ac:dyDescent="0.2">
      <c r="A6093">
        <v>6032</v>
      </c>
      <c r="B6093" s="138">
        <f>'Assets-Liab 5-6'!F8</f>
        <v>0</v>
      </c>
      <c r="D6093" s="2" t="str">
        <f t="shared" si="94"/>
        <v>Error?</v>
      </c>
      <c r="E6093" s="2" t="s">
        <v>199</v>
      </c>
    </row>
    <row r="6094" spans="1:5" x14ac:dyDescent="0.2">
      <c r="A6094">
        <v>6033</v>
      </c>
      <c r="B6094" s="138">
        <f>'Assets-Liab 5-6'!G8</f>
        <v>0</v>
      </c>
      <c r="D6094" s="2" t="str">
        <f t="shared" si="94"/>
        <v>Error?</v>
      </c>
      <c r="E6094" s="2" t="s">
        <v>199</v>
      </c>
    </row>
    <row r="6095" spans="1:5" x14ac:dyDescent="0.2">
      <c r="A6095">
        <v>6034</v>
      </c>
      <c r="B6095" s="138">
        <f>'Assets-Liab 5-6'!H8</f>
        <v>0</v>
      </c>
      <c r="D6095" s="2" t="str">
        <f t="shared" si="94"/>
        <v>Error?</v>
      </c>
      <c r="E6095" s="2" t="s">
        <v>199</v>
      </c>
    </row>
    <row r="6096" spans="1:5" x14ac:dyDescent="0.2">
      <c r="A6096">
        <v>6035</v>
      </c>
      <c r="B6096" s="138">
        <f>'Assets-Liab 5-6'!I8</f>
        <v>0</v>
      </c>
      <c r="D6096" s="2" t="str">
        <f t="shared" si="94"/>
        <v>Error?</v>
      </c>
      <c r="E6096" s="2" t="s">
        <v>199</v>
      </c>
    </row>
    <row r="6097" spans="1:5" x14ac:dyDescent="0.2">
      <c r="A6097">
        <v>6036</v>
      </c>
      <c r="B6097" s="138">
        <f>'Assets-Liab 5-6'!J8</f>
        <v>0</v>
      </c>
      <c r="D6097" s="2" t="str">
        <f t="shared" si="94"/>
        <v>Error?</v>
      </c>
      <c r="E6097" s="2" t="s">
        <v>199</v>
      </c>
    </row>
    <row r="6098" spans="1:5" x14ac:dyDescent="0.2">
      <c r="A6098">
        <v>6037</v>
      </c>
      <c r="B6098" s="138">
        <f>'Assets-Liab 5-6'!K8</f>
        <v>0</v>
      </c>
      <c r="D6098" s="2" t="str">
        <f t="shared" si="94"/>
        <v>Error?</v>
      </c>
      <c r="E6098" s="2" t="s">
        <v>199</v>
      </c>
    </row>
    <row r="6099" spans="1:5" x14ac:dyDescent="0.2">
      <c r="A6099">
        <v>6038</v>
      </c>
      <c r="B6099" s="138">
        <f>'Assets-Liab 5-6'!C9</f>
        <v>0</v>
      </c>
      <c r="D6099" s="2" t="str">
        <f t="shared" si="94"/>
        <v>Error?</v>
      </c>
      <c r="E6099" s="2" t="s">
        <v>199</v>
      </c>
    </row>
    <row r="6100" spans="1:5" x14ac:dyDescent="0.2">
      <c r="A6100">
        <v>6039</v>
      </c>
      <c r="B6100" s="138">
        <f>'Assets-Liab 5-6'!D9</f>
        <v>0</v>
      </c>
      <c r="D6100" s="2" t="str">
        <f t="shared" si="94"/>
        <v>Error?</v>
      </c>
      <c r="E6100" s="2" t="s">
        <v>199</v>
      </c>
    </row>
    <row r="6101" spans="1:5" x14ac:dyDescent="0.2">
      <c r="A6101">
        <v>6040</v>
      </c>
      <c r="B6101" s="138">
        <f>'Assets-Liab 5-6'!E9</f>
        <v>0</v>
      </c>
      <c r="D6101" s="2" t="str">
        <f t="shared" si="94"/>
        <v>Error?</v>
      </c>
      <c r="E6101" s="2" t="s">
        <v>199</v>
      </c>
    </row>
    <row r="6102" spans="1:5" x14ac:dyDescent="0.2">
      <c r="A6102">
        <v>6041</v>
      </c>
      <c r="B6102" s="138">
        <f>'Assets-Liab 5-6'!F9</f>
        <v>0</v>
      </c>
      <c r="D6102" s="2" t="str">
        <f t="shared" si="94"/>
        <v>Error?</v>
      </c>
      <c r="E6102" s="2" t="s">
        <v>199</v>
      </c>
    </row>
    <row r="6103" spans="1:5" x14ac:dyDescent="0.2">
      <c r="A6103">
        <f>A6102+1</f>
        <v>6042</v>
      </c>
      <c r="B6103" s="138">
        <f>'Assets-Liab 5-6'!G9</f>
        <v>0</v>
      </c>
      <c r="D6103" s="2" t="str">
        <f t="shared" si="94"/>
        <v>Error?</v>
      </c>
      <c r="E6103" s="2" t="s">
        <v>199</v>
      </c>
    </row>
    <row r="6104" spans="1:5" x14ac:dyDescent="0.2">
      <c r="A6104">
        <v>6043</v>
      </c>
      <c r="B6104" s="138">
        <f>'Assets-Liab 5-6'!H9</f>
        <v>0</v>
      </c>
      <c r="D6104" s="2" t="str">
        <f t="shared" si="94"/>
        <v>Error?</v>
      </c>
      <c r="E6104" s="2" t="s">
        <v>199</v>
      </c>
    </row>
    <row r="6105" spans="1:5" x14ac:dyDescent="0.2">
      <c r="A6105">
        <v>6044</v>
      </c>
      <c r="B6105" s="138">
        <f>'Assets-Liab 5-6'!I9</f>
        <v>0</v>
      </c>
      <c r="D6105" s="2" t="str">
        <f t="shared" si="94"/>
        <v>Error?</v>
      </c>
      <c r="E6105" s="2" t="s">
        <v>199</v>
      </c>
    </row>
    <row r="6106" spans="1:5" x14ac:dyDescent="0.2">
      <c r="A6106">
        <v>6045</v>
      </c>
      <c r="B6106" s="138">
        <f>'Assets-Liab 5-6'!J9</f>
        <v>0</v>
      </c>
      <c r="D6106" s="2" t="str">
        <f t="shared" si="94"/>
        <v>Error?</v>
      </c>
      <c r="E6106" s="2" t="s">
        <v>199</v>
      </c>
    </row>
    <row r="6107" spans="1:5" x14ac:dyDescent="0.2">
      <c r="A6107">
        <v>6046</v>
      </c>
      <c r="B6107" s="138">
        <f>'Assets-Liab 5-6'!K9</f>
        <v>0</v>
      </c>
      <c r="D6107" s="2" t="str">
        <f t="shared" si="94"/>
        <v>Error?</v>
      </c>
      <c r="E6107" s="2" t="s">
        <v>199</v>
      </c>
    </row>
    <row r="6108" spans="1:5" x14ac:dyDescent="0.2">
      <c r="A6108">
        <v>6047</v>
      </c>
      <c r="B6108" s="138">
        <f>'Assets-Liab 5-6'!L9</f>
        <v>0</v>
      </c>
      <c r="D6108" s="2" t="str">
        <f t="shared" si="94"/>
        <v>Error?</v>
      </c>
      <c r="E6108" s="2" t="s">
        <v>199</v>
      </c>
    </row>
    <row r="6109" spans="1:5" x14ac:dyDescent="0.2">
      <c r="A6109">
        <v>6048</v>
      </c>
      <c r="B6109" s="138">
        <f>'Assets-Liab 5-6'!E10</f>
        <v>0</v>
      </c>
      <c r="D6109" s="2" t="str">
        <f t="shared" si="94"/>
        <v>Error?</v>
      </c>
      <c r="E6109" s="2" t="s">
        <v>199</v>
      </c>
    </row>
    <row r="6110" spans="1:5" x14ac:dyDescent="0.2">
      <c r="A6110">
        <v>6049</v>
      </c>
      <c r="B6110" s="138">
        <f>'Assets-Liab 5-6'!G10</f>
        <v>0</v>
      </c>
      <c r="D6110" s="2" t="str">
        <f t="shared" si="94"/>
        <v>Error?</v>
      </c>
      <c r="E6110" s="2" t="s">
        <v>199</v>
      </c>
    </row>
    <row r="6111" spans="1:5" x14ac:dyDescent="0.2">
      <c r="A6111">
        <v>6050</v>
      </c>
      <c r="B6111" s="138">
        <f>'Assets-Liab 5-6'!I10</f>
        <v>0</v>
      </c>
      <c r="D6111" s="2" t="str">
        <f t="shared" si="94"/>
        <v>Error?</v>
      </c>
      <c r="E6111" s="2" t="s">
        <v>199</v>
      </c>
    </row>
    <row r="6112" spans="1:5" x14ac:dyDescent="0.2">
      <c r="A6112">
        <v>6051</v>
      </c>
      <c r="B6112" s="138">
        <f>'Assets-Liab 5-6'!J10</f>
        <v>0</v>
      </c>
      <c r="D6112" s="2" t="str">
        <f t="shared" si="94"/>
        <v>Error?</v>
      </c>
      <c r="E6112" s="2" t="s">
        <v>199</v>
      </c>
    </row>
    <row r="6113" spans="1:5" x14ac:dyDescent="0.2">
      <c r="A6113">
        <v>6052</v>
      </c>
      <c r="B6113" s="138">
        <f>'Assets-Liab 5-6'!C11</f>
        <v>0</v>
      </c>
      <c r="D6113" s="2" t="str">
        <f t="shared" si="94"/>
        <v>Error?</v>
      </c>
      <c r="E6113" s="2" t="s">
        <v>199</v>
      </c>
    </row>
    <row r="6114" spans="1:5" x14ac:dyDescent="0.2">
      <c r="A6114">
        <v>6053</v>
      </c>
      <c r="B6114" s="138">
        <f>'Assets-Liab 5-6'!D11</f>
        <v>0</v>
      </c>
      <c r="D6114" s="2" t="str">
        <f t="shared" si="94"/>
        <v>Error?</v>
      </c>
      <c r="E6114" s="2" t="s">
        <v>199</v>
      </c>
    </row>
    <row r="6115" spans="1:5" x14ac:dyDescent="0.2">
      <c r="A6115">
        <v>6054</v>
      </c>
      <c r="B6115" s="138">
        <f>'Assets-Liab 5-6'!E11</f>
        <v>0</v>
      </c>
      <c r="D6115" s="2" t="str">
        <f t="shared" si="94"/>
        <v>Error?</v>
      </c>
      <c r="E6115" s="2" t="s">
        <v>199</v>
      </c>
    </row>
    <row r="6116" spans="1:5" x14ac:dyDescent="0.2">
      <c r="A6116">
        <v>6055</v>
      </c>
      <c r="B6116" s="138">
        <f>'Assets-Liab 5-6'!F11</f>
        <v>0</v>
      </c>
      <c r="D6116" s="2" t="str">
        <f t="shared" si="94"/>
        <v>Error?</v>
      </c>
      <c r="E6116" s="2" t="s">
        <v>199</v>
      </c>
    </row>
    <row r="6117" spans="1:5" x14ac:dyDescent="0.2">
      <c r="A6117">
        <v>6056</v>
      </c>
      <c r="B6117" s="138">
        <f>'Assets-Liab 5-6'!G11</f>
        <v>0</v>
      </c>
      <c r="D6117" s="2" t="str">
        <f t="shared" si="94"/>
        <v>Error?</v>
      </c>
      <c r="E6117" s="2" t="s">
        <v>199</v>
      </c>
    </row>
    <row r="6118" spans="1:5" x14ac:dyDescent="0.2">
      <c r="A6118">
        <v>6057</v>
      </c>
      <c r="B6118" s="138">
        <f>'Assets-Liab 5-6'!H11</f>
        <v>0</v>
      </c>
      <c r="D6118" s="2" t="str">
        <f t="shared" si="94"/>
        <v>Error?</v>
      </c>
      <c r="E6118" s="2" t="s">
        <v>199</v>
      </c>
    </row>
    <row r="6119" spans="1:5" x14ac:dyDescent="0.2">
      <c r="A6119">
        <v>6058</v>
      </c>
      <c r="B6119" s="138">
        <f>'Assets-Liab 5-6'!I11</f>
        <v>0</v>
      </c>
      <c r="D6119" s="2" t="str">
        <f t="shared" si="94"/>
        <v>Error?</v>
      </c>
      <c r="E6119" s="2" t="s">
        <v>199</v>
      </c>
    </row>
    <row r="6120" spans="1:5" x14ac:dyDescent="0.2">
      <c r="A6120">
        <v>6059</v>
      </c>
      <c r="B6120" s="138">
        <f>'Assets-Liab 5-6'!J11</f>
        <v>0</v>
      </c>
      <c r="D6120" s="2" t="str">
        <f t="shared" si="94"/>
        <v>Error?</v>
      </c>
      <c r="E6120" s="2" t="s">
        <v>199</v>
      </c>
    </row>
    <row r="6121" spans="1:5" x14ac:dyDescent="0.2">
      <c r="A6121">
        <v>6060</v>
      </c>
      <c r="B6121" s="138">
        <f>'Assets-Liab 5-6'!K11</f>
        <v>0</v>
      </c>
      <c r="D6121" s="2" t="str">
        <f t="shared" si="94"/>
        <v>Error?</v>
      </c>
      <c r="E6121" s="2" t="s">
        <v>199</v>
      </c>
    </row>
    <row r="6122" spans="1:5" x14ac:dyDescent="0.2">
      <c r="A6122">
        <v>6061</v>
      </c>
      <c r="B6122" s="138">
        <f>'Assets-Liab 5-6'!L11</f>
        <v>0</v>
      </c>
      <c r="D6122" s="2" t="str">
        <f t="shared" si="94"/>
        <v>Error?</v>
      </c>
      <c r="E6122" s="2" t="s">
        <v>199</v>
      </c>
    </row>
    <row r="6123" spans="1:5" x14ac:dyDescent="0.2">
      <c r="A6123">
        <v>6062</v>
      </c>
      <c r="B6123" s="138">
        <f>'Assets-Liab 5-6'!J12</f>
        <v>0</v>
      </c>
      <c r="D6123" s="2" t="str">
        <f t="shared" si="94"/>
        <v>Error?</v>
      </c>
      <c r="E6123" s="2" t="s">
        <v>199</v>
      </c>
    </row>
    <row r="6124" spans="1:5" x14ac:dyDescent="0.2">
      <c r="A6124">
        <v>6063</v>
      </c>
      <c r="B6124" s="138">
        <f>'Assets-Liab 5-6'!J13</f>
        <v>235748</v>
      </c>
      <c r="D6124" s="2" t="str">
        <f t="shared" si="94"/>
        <v>Error?</v>
      </c>
      <c r="E6124" s="2" t="s">
        <v>199</v>
      </c>
    </row>
    <row r="6125" spans="1:5" x14ac:dyDescent="0.2">
      <c r="A6125">
        <v>6064</v>
      </c>
      <c r="B6125" s="138">
        <f>'Assets-Liab 5-6'!C25</f>
        <v>0</v>
      </c>
      <c r="D6125" s="2" t="str">
        <f t="shared" si="94"/>
        <v>Error?</v>
      </c>
      <c r="E6125" s="2" t="s">
        <v>199</v>
      </c>
    </row>
    <row r="6126" spans="1:5" x14ac:dyDescent="0.2">
      <c r="A6126">
        <v>6065</v>
      </c>
      <c r="B6126" s="138">
        <f>'Assets-Liab 5-6'!D25</f>
        <v>0</v>
      </c>
      <c r="D6126" s="2" t="str">
        <f t="shared" si="94"/>
        <v>Error?</v>
      </c>
      <c r="E6126" s="2" t="s">
        <v>199</v>
      </c>
    </row>
    <row r="6127" spans="1:5" x14ac:dyDescent="0.2">
      <c r="A6127">
        <v>6066</v>
      </c>
      <c r="B6127" s="138">
        <f>'Assets-Liab 5-6'!E25</f>
        <v>0</v>
      </c>
      <c r="D6127" s="2" t="str">
        <f t="shared" si="94"/>
        <v>Error?</v>
      </c>
      <c r="E6127" s="2" t="s">
        <v>199</v>
      </c>
    </row>
    <row r="6128" spans="1:5" x14ac:dyDescent="0.2">
      <c r="A6128">
        <v>6067</v>
      </c>
      <c r="B6128" s="138">
        <f>'Assets-Liab 5-6'!F25</f>
        <v>0</v>
      </c>
      <c r="D6128" s="2" t="str">
        <f t="shared" si="94"/>
        <v>Error?</v>
      </c>
      <c r="E6128" s="2" t="s">
        <v>199</v>
      </c>
    </row>
    <row r="6129" spans="1:5" x14ac:dyDescent="0.2">
      <c r="A6129">
        <v>6068</v>
      </c>
      <c r="B6129" s="138">
        <f>'Assets-Liab 5-6'!G25</f>
        <v>0</v>
      </c>
      <c r="D6129" s="2" t="str">
        <f t="shared" si="94"/>
        <v>Error?</v>
      </c>
      <c r="E6129" s="2" t="s">
        <v>199</v>
      </c>
    </row>
    <row r="6130" spans="1:5" x14ac:dyDescent="0.2">
      <c r="A6130">
        <v>6069</v>
      </c>
      <c r="B6130" s="138">
        <f>'Assets-Liab 5-6'!H25</f>
        <v>0</v>
      </c>
      <c r="D6130" s="2" t="str">
        <f t="shared" si="94"/>
        <v>Error?</v>
      </c>
      <c r="E6130" s="2" t="s">
        <v>199</v>
      </c>
    </row>
    <row r="6131" spans="1:5" x14ac:dyDescent="0.2">
      <c r="A6131">
        <v>6070</v>
      </c>
      <c r="B6131" s="138">
        <f>'Assets-Liab 5-6'!J25</f>
        <v>0</v>
      </c>
      <c r="D6131" s="2" t="str">
        <f t="shared" si="94"/>
        <v>Error?</v>
      </c>
      <c r="E6131" s="2" t="s">
        <v>199</v>
      </c>
    </row>
    <row r="6132" spans="1:5" x14ac:dyDescent="0.2">
      <c r="A6132">
        <v>6071</v>
      </c>
      <c r="B6132" s="138">
        <f>'Assets-Liab 5-6'!K25</f>
        <v>0</v>
      </c>
      <c r="D6132" s="2" t="str">
        <f t="shared" si="94"/>
        <v>Error?</v>
      </c>
      <c r="E6132" s="2" t="s">
        <v>199</v>
      </c>
    </row>
    <row r="6133" spans="1:5" x14ac:dyDescent="0.2">
      <c r="A6133">
        <v>6072</v>
      </c>
      <c r="B6133" s="138">
        <f>'Assets-Liab 5-6'!C26</f>
        <v>0</v>
      </c>
      <c r="D6133" s="2" t="str">
        <f t="shared" si="94"/>
        <v>Error?</v>
      </c>
      <c r="E6133" s="2" t="s">
        <v>199</v>
      </c>
    </row>
    <row r="6134" spans="1:5" x14ac:dyDescent="0.2">
      <c r="A6134">
        <v>6073</v>
      </c>
      <c r="B6134" s="138">
        <f>'Assets-Liab 5-6'!D26</f>
        <v>0</v>
      </c>
      <c r="D6134" s="2" t="str">
        <f t="shared" si="94"/>
        <v>Error?</v>
      </c>
      <c r="E6134" s="2" t="s">
        <v>199</v>
      </c>
    </row>
    <row r="6135" spans="1:5" x14ac:dyDescent="0.2">
      <c r="A6135">
        <v>6074</v>
      </c>
      <c r="B6135" s="138">
        <f>'Assets-Liab 5-6'!E26</f>
        <v>0</v>
      </c>
      <c r="D6135" s="2" t="str">
        <f t="shared" si="94"/>
        <v>Error?</v>
      </c>
      <c r="E6135" s="2" t="s">
        <v>199</v>
      </c>
    </row>
    <row r="6136" spans="1:5" x14ac:dyDescent="0.2">
      <c r="A6136">
        <v>6075</v>
      </c>
      <c r="B6136" s="138">
        <f>'Assets-Liab 5-6'!F26</f>
        <v>0</v>
      </c>
      <c r="D6136" s="2" t="str">
        <f t="shared" si="94"/>
        <v>Error?</v>
      </c>
      <c r="E6136" s="2" t="s">
        <v>199</v>
      </c>
    </row>
    <row r="6137" spans="1:5" x14ac:dyDescent="0.2">
      <c r="A6137">
        <v>6076</v>
      </c>
      <c r="B6137" s="138">
        <f>'Assets-Liab 5-6'!G26</f>
        <v>0</v>
      </c>
      <c r="D6137" s="2" t="str">
        <f t="shared" si="94"/>
        <v>Error?</v>
      </c>
      <c r="E6137" s="2" t="s">
        <v>199</v>
      </c>
    </row>
    <row r="6138" spans="1:5" x14ac:dyDescent="0.2">
      <c r="A6138">
        <v>6077</v>
      </c>
      <c r="B6138" s="138">
        <f>'Assets-Liab 5-6'!H26</f>
        <v>0</v>
      </c>
      <c r="D6138" s="2" t="str">
        <f t="shared" si="94"/>
        <v>Error?</v>
      </c>
      <c r="E6138" s="2" t="s">
        <v>199</v>
      </c>
    </row>
    <row r="6139" spans="1:5" x14ac:dyDescent="0.2">
      <c r="A6139">
        <v>6078</v>
      </c>
      <c r="B6139" s="138">
        <f>'Assets-Liab 5-6'!I26</f>
        <v>0</v>
      </c>
      <c r="D6139" s="2" t="str">
        <f t="shared" si="94"/>
        <v>Error?</v>
      </c>
      <c r="E6139" s="2" t="s">
        <v>199</v>
      </c>
    </row>
    <row r="6140" spans="1:5" x14ac:dyDescent="0.2">
      <c r="A6140">
        <v>6079</v>
      </c>
      <c r="B6140" s="138">
        <f>'Assets-Liab 5-6'!J26</f>
        <v>0</v>
      </c>
      <c r="D6140" s="2" t="str">
        <f t="shared" si="94"/>
        <v>Error?</v>
      </c>
      <c r="E6140" s="2" t="s">
        <v>199</v>
      </c>
    </row>
    <row r="6141" spans="1:5" x14ac:dyDescent="0.2">
      <c r="A6141">
        <v>6080</v>
      </c>
      <c r="B6141" s="138">
        <f>'Assets-Liab 5-6'!K26</f>
        <v>0</v>
      </c>
      <c r="D6141" s="2" t="str">
        <f t="shared" si="94"/>
        <v>Error?</v>
      </c>
      <c r="E6141" s="2" t="s">
        <v>199</v>
      </c>
    </row>
    <row r="6142" spans="1:5" x14ac:dyDescent="0.2">
      <c r="A6142">
        <v>6081</v>
      </c>
      <c r="B6142" s="138">
        <f>'Assets-Liab 5-6'!C27</f>
        <v>0</v>
      </c>
      <c r="D6142" s="2" t="str">
        <f t="shared" si="94"/>
        <v>Error?</v>
      </c>
      <c r="E6142" s="2" t="s">
        <v>199</v>
      </c>
    </row>
    <row r="6143" spans="1:5" x14ac:dyDescent="0.2">
      <c r="A6143">
        <v>6082</v>
      </c>
      <c r="B6143" s="138">
        <f>'Assets-Liab 5-6'!D27</f>
        <v>0</v>
      </c>
      <c r="D6143" s="2" t="str">
        <f t="shared" ref="D6143:D6206" si="95">IF(ISBLANK(B6143),"OK",IF(A6143-B6143=0,"OK","Error?"))</f>
        <v>Error?</v>
      </c>
      <c r="E6143" s="2" t="s">
        <v>199</v>
      </c>
    </row>
    <row r="6144" spans="1:5" x14ac:dyDescent="0.2">
      <c r="A6144">
        <v>6083</v>
      </c>
      <c r="B6144" s="138">
        <f>'Assets-Liab 5-6'!E27</f>
        <v>0</v>
      </c>
      <c r="D6144" s="2" t="str">
        <f t="shared" si="95"/>
        <v>Error?</v>
      </c>
      <c r="E6144" s="2" t="s">
        <v>199</v>
      </c>
    </row>
    <row r="6145" spans="1:5" x14ac:dyDescent="0.2">
      <c r="A6145">
        <v>6084</v>
      </c>
      <c r="B6145" s="138">
        <f>'Assets-Liab 5-6'!F27</f>
        <v>0</v>
      </c>
      <c r="D6145" s="2" t="str">
        <f t="shared" si="95"/>
        <v>Error?</v>
      </c>
      <c r="E6145" s="2" t="s">
        <v>199</v>
      </c>
    </row>
    <row r="6146" spans="1:5" x14ac:dyDescent="0.2">
      <c r="A6146">
        <v>6085</v>
      </c>
      <c r="B6146" s="138">
        <f>'Assets-Liab 5-6'!G27</f>
        <v>0</v>
      </c>
      <c r="D6146" s="2" t="str">
        <f t="shared" si="95"/>
        <v>Error?</v>
      </c>
      <c r="E6146" s="2" t="s">
        <v>199</v>
      </c>
    </row>
    <row r="6147" spans="1:5" x14ac:dyDescent="0.2">
      <c r="A6147">
        <v>6086</v>
      </c>
      <c r="B6147" s="138">
        <f>'Assets-Liab 5-6'!H27</f>
        <v>0</v>
      </c>
      <c r="D6147" s="2" t="str">
        <f t="shared" si="95"/>
        <v>Error?</v>
      </c>
      <c r="E6147" s="2" t="s">
        <v>199</v>
      </c>
    </row>
    <row r="6148" spans="1:5" x14ac:dyDescent="0.2">
      <c r="A6148">
        <v>6087</v>
      </c>
      <c r="B6148" s="138">
        <f>'Assets-Liab 5-6'!I27</f>
        <v>0</v>
      </c>
      <c r="D6148" s="2" t="str">
        <f t="shared" si="95"/>
        <v>Error?</v>
      </c>
      <c r="E6148" s="2" t="s">
        <v>199</v>
      </c>
    </row>
    <row r="6149" spans="1:5" x14ac:dyDescent="0.2">
      <c r="A6149">
        <v>6088</v>
      </c>
      <c r="B6149" s="138">
        <f>'Assets-Liab 5-6'!J27</f>
        <v>0</v>
      </c>
      <c r="D6149" s="2" t="str">
        <f t="shared" si="95"/>
        <v>Error?</v>
      </c>
      <c r="E6149" s="2" t="s">
        <v>199</v>
      </c>
    </row>
    <row r="6150" spans="1:5" x14ac:dyDescent="0.2">
      <c r="A6150">
        <v>6089</v>
      </c>
      <c r="B6150" s="138">
        <f>'Assets-Liab 5-6'!K27</f>
        <v>0</v>
      </c>
      <c r="D6150" s="2" t="str">
        <f t="shared" si="95"/>
        <v>Error?</v>
      </c>
      <c r="E6150" s="2" t="s">
        <v>199</v>
      </c>
    </row>
    <row r="6151" spans="1:5" x14ac:dyDescent="0.2">
      <c r="A6151">
        <v>6090</v>
      </c>
      <c r="B6151" s="138">
        <f>'Assets-Liab 5-6'!C28</f>
        <v>0</v>
      </c>
      <c r="D6151" s="2" t="str">
        <f t="shared" si="95"/>
        <v>Error?</v>
      </c>
      <c r="E6151" s="2" t="s">
        <v>199</v>
      </c>
    </row>
    <row r="6152" spans="1:5" x14ac:dyDescent="0.2">
      <c r="A6152">
        <v>6091</v>
      </c>
      <c r="B6152" s="138">
        <f>'Assets-Liab 5-6'!D28</f>
        <v>0</v>
      </c>
      <c r="D6152" s="2" t="str">
        <f t="shared" si="95"/>
        <v>Error?</v>
      </c>
      <c r="E6152" s="2" t="s">
        <v>199</v>
      </c>
    </row>
    <row r="6153" spans="1:5" x14ac:dyDescent="0.2">
      <c r="A6153">
        <v>6092</v>
      </c>
      <c r="B6153" s="138">
        <f>'Assets-Liab 5-6'!E28</f>
        <v>0</v>
      </c>
      <c r="D6153" s="2" t="str">
        <f t="shared" si="95"/>
        <v>Error?</v>
      </c>
      <c r="E6153" s="2" t="s">
        <v>199</v>
      </c>
    </row>
    <row r="6154" spans="1:5" x14ac:dyDescent="0.2">
      <c r="A6154">
        <v>6093</v>
      </c>
      <c r="B6154" s="138">
        <f>'Assets-Liab 5-6'!F28</f>
        <v>0</v>
      </c>
      <c r="D6154" s="2" t="str">
        <f t="shared" si="95"/>
        <v>Error?</v>
      </c>
      <c r="E6154" s="2" t="s">
        <v>199</v>
      </c>
    </row>
    <row r="6155" spans="1:5" x14ac:dyDescent="0.2">
      <c r="A6155">
        <v>6094</v>
      </c>
      <c r="B6155" s="138">
        <f>'Assets-Liab 5-6'!G28</f>
        <v>0</v>
      </c>
      <c r="D6155" s="2" t="str">
        <f t="shared" si="95"/>
        <v>Error?</v>
      </c>
      <c r="E6155" s="2" t="s">
        <v>199</v>
      </c>
    </row>
    <row r="6156" spans="1:5" x14ac:dyDescent="0.2">
      <c r="A6156">
        <v>6095</v>
      </c>
      <c r="B6156" s="138">
        <f>'Assets-Liab 5-6'!H28</f>
        <v>0</v>
      </c>
      <c r="D6156" s="2" t="str">
        <f t="shared" si="95"/>
        <v>Error?</v>
      </c>
      <c r="E6156" s="2" t="s">
        <v>199</v>
      </c>
    </row>
    <row r="6157" spans="1:5" x14ac:dyDescent="0.2">
      <c r="A6157">
        <v>6096</v>
      </c>
      <c r="B6157" s="138">
        <f>'Assets-Liab 5-6'!I28</f>
        <v>0</v>
      </c>
      <c r="D6157" s="2" t="str">
        <f t="shared" si="95"/>
        <v>Error?</v>
      </c>
      <c r="E6157" s="2" t="s">
        <v>199</v>
      </c>
    </row>
    <row r="6158" spans="1:5" x14ac:dyDescent="0.2">
      <c r="A6158">
        <v>6097</v>
      </c>
      <c r="B6158" s="138">
        <f>'Assets-Liab 5-6'!J28</f>
        <v>0</v>
      </c>
      <c r="D6158" s="2" t="str">
        <f t="shared" si="95"/>
        <v>Error?</v>
      </c>
      <c r="E6158" s="2" t="s">
        <v>199</v>
      </c>
    </row>
    <row r="6159" spans="1:5" x14ac:dyDescent="0.2">
      <c r="A6159">
        <v>6098</v>
      </c>
      <c r="B6159" s="138">
        <f>'Assets-Liab 5-6'!K28</f>
        <v>0</v>
      </c>
      <c r="D6159" s="2" t="str">
        <f t="shared" si="95"/>
        <v>Error?</v>
      </c>
      <c r="E6159" s="2" t="s">
        <v>199</v>
      </c>
    </row>
    <row r="6160" spans="1:5" x14ac:dyDescent="0.2">
      <c r="A6160">
        <v>6099</v>
      </c>
      <c r="B6160" s="138">
        <f>'Assets-Liab 5-6'!C29</f>
        <v>0</v>
      </c>
      <c r="D6160" s="2" t="str">
        <f t="shared" si="95"/>
        <v>Error?</v>
      </c>
      <c r="E6160" s="2" t="s">
        <v>199</v>
      </c>
    </row>
    <row r="6161" spans="1:5" x14ac:dyDescent="0.2">
      <c r="A6161">
        <v>6100</v>
      </c>
      <c r="B6161" s="138">
        <f>'Assets-Liab 5-6'!D29</f>
        <v>0</v>
      </c>
      <c r="D6161" s="2" t="str">
        <f t="shared" si="95"/>
        <v>Error?</v>
      </c>
      <c r="E6161" s="2" t="s">
        <v>199</v>
      </c>
    </row>
    <row r="6162" spans="1:5" x14ac:dyDescent="0.2">
      <c r="A6162">
        <v>6101</v>
      </c>
      <c r="B6162" s="138">
        <f>'Assets-Liab 5-6'!E29</f>
        <v>0</v>
      </c>
      <c r="D6162" s="2" t="str">
        <f t="shared" si="95"/>
        <v>Error?</v>
      </c>
      <c r="E6162" s="2" t="s">
        <v>199</v>
      </c>
    </row>
    <row r="6163" spans="1:5" x14ac:dyDescent="0.2">
      <c r="A6163">
        <v>6102</v>
      </c>
      <c r="B6163" s="138">
        <f>'Assets-Liab 5-6'!F29</f>
        <v>0</v>
      </c>
      <c r="D6163" s="2" t="str">
        <f t="shared" si="95"/>
        <v>Error?</v>
      </c>
      <c r="E6163" s="2" t="s">
        <v>199</v>
      </c>
    </row>
    <row r="6164" spans="1:5" x14ac:dyDescent="0.2">
      <c r="A6164">
        <v>6103</v>
      </c>
      <c r="B6164" s="138">
        <f>'Assets-Liab 5-6'!G29</f>
        <v>0</v>
      </c>
      <c r="D6164" s="2" t="str">
        <f t="shared" si="95"/>
        <v>Error?</v>
      </c>
      <c r="E6164" s="2" t="s">
        <v>199</v>
      </c>
    </row>
    <row r="6165" spans="1:5" x14ac:dyDescent="0.2">
      <c r="A6165">
        <v>6104</v>
      </c>
      <c r="B6165" s="138">
        <f>'Assets-Liab 5-6'!H29</f>
        <v>0</v>
      </c>
      <c r="D6165" s="2" t="str">
        <f t="shared" si="95"/>
        <v>Error?</v>
      </c>
      <c r="E6165" s="2" t="s">
        <v>199</v>
      </c>
    </row>
    <row r="6166" spans="1:5" x14ac:dyDescent="0.2">
      <c r="A6166">
        <v>6105</v>
      </c>
      <c r="B6166" s="138">
        <f>'Assets-Liab 5-6'!I29</f>
        <v>0</v>
      </c>
      <c r="D6166" s="2" t="str">
        <f t="shared" si="95"/>
        <v>Error?</v>
      </c>
      <c r="E6166" s="2" t="s">
        <v>199</v>
      </c>
    </row>
    <row r="6167" spans="1:5" x14ac:dyDescent="0.2">
      <c r="A6167">
        <v>6106</v>
      </c>
      <c r="B6167" s="138">
        <f>'Assets-Liab 5-6'!J29</f>
        <v>0</v>
      </c>
      <c r="D6167" s="2" t="str">
        <f t="shared" si="95"/>
        <v>Error?</v>
      </c>
      <c r="E6167" s="2" t="s">
        <v>199</v>
      </c>
    </row>
    <row r="6168" spans="1:5" x14ac:dyDescent="0.2">
      <c r="A6168">
        <v>6107</v>
      </c>
      <c r="B6168" s="138">
        <f>'Assets-Liab 5-6'!K29</f>
        <v>0</v>
      </c>
      <c r="D6168" s="2" t="str">
        <f t="shared" si="95"/>
        <v>Error?</v>
      </c>
      <c r="E6168" s="2" t="s">
        <v>199</v>
      </c>
    </row>
    <row r="6169" spans="1:5" x14ac:dyDescent="0.2">
      <c r="A6169">
        <v>6108</v>
      </c>
      <c r="B6169" s="138">
        <f>'Assets-Liab 5-6'!C30</f>
        <v>0</v>
      </c>
      <c r="D6169" s="2" t="str">
        <f t="shared" si="95"/>
        <v>Error?</v>
      </c>
      <c r="E6169" s="2" t="s">
        <v>199</v>
      </c>
    </row>
    <row r="6170" spans="1:5" x14ac:dyDescent="0.2">
      <c r="A6170">
        <v>6109</v>
      </c>
      <c r="B6170" s="138">
        <f>'Assets-Liab 5-6'!D30</f>
        <v>0</v>
      </c>
      <c r="D6170" s="2" t="str">
        <f t="shared" si="95"/>
        <v>Error?</v>
      </c>
      <c r="E6170" s="2" t="s">
        <v>199</v>
      </c>
    </row>
    <row r="6171" spans="1:5" x14ac:dyDescent="0.2">
      <c r="A6171">
        <v>6110</v>
      </c>
      <c r="B6171" s="138">
        <f>'Assets-Liab 5-6'!E30</f>
        <v>0</v>
      </c>
      <c r="D6171" s="2" t="str">
        <f t="shared" si="95"/>
        <v>Error?</v>
      </c>
      <c r="E6171" s="2" t="s">
        <v>199</v>
      </c>
    </row>
    <row r="6172" spans="1:5" x14ac:dyDescent="0.2">
      <c r="A6172">
        <v>6111</v>
      </c>
      <c r="B6172" s="138">
        <f>'Assets-Liab 5-6'!F30</f>
        <v>0</v>
      </c>
      <c r="D6172" s="2" t="str">
        <f t="shared" si="95"/>
        <v>Error?</v>
      </c>
      <c r="E6172" s="2" t="s">
        <v>199</v>
      </c>
    </row>
    <row r="6173" spans="1:5" x14ac:dyDescent="0.2">
      <c r="A6173">
        <v>6112</v>
      </c>
      <c r="B6173" s="138">
        <f>'Assets-Liab 5-6'!G30</f>
        <v>0</v>
      </c>
      <c r="D6173" s="2" t="str">
        <f t="shared" si="95"/>
        <v>Error?</v>
      </c>
      <c r="E6173" s="2" t="s">
        <v>199</v>
      </c>
    </row>
    <row r="6174" spans="1:5" x14ac:dyDescent="0.2">
      <c r="A6174">
        <v>6113</v>
      </c>
      <c r="B6174" s="138">
        <f>'Assets-Liab 5-6'!H30</f>
        <v>0</v>
      </c>
      <c r="D6174" s="2" t="str">
        <f t="shared" si="95"/>
        <v>Error?</v>
      </c>
      <c r="E6174" s="2" t="s">
        <v>199</v>
      </c>
    </row>
    <row r="6175" spans="1:5" x14ac:dyDescent="0.2">
      <c r="A6175">
        <v>6114</v>
      </c>
      <c r="B6175" s="138">
        <f>'Assets-Liab 5-6'!I30</f>
        <v>0</v>
      </c>
      <c r="D6175" s="2" t="str">
        <f t="shared" si="95"/>
        <v>Error?</v>
      </c>
      <c r="E6175" s="2" t="s">
        <v>199</v>
      </c>
    </row>
    <row r="6176" spans="1:5" x14ac:dyDescent="0.2">
      <c r="A6176">
        <v>6115</v>
      </c>
      <c r="B6176" s="138">
        <f>'Assets-Liab 5-6'!J30</f>
        <v>0</v>
      </c>
      <c r="D6176" s="2" t="str">
        <f t="shared" si="95"/>
        <v>Error?</v>
      </c>
      <c r="E6176" s="2" t="s">
        <v>199</v>
      </c>
    </row>
    <row r="6177" spans="1:5" x14ac:dyDescent="0.2">
      <c r="A6177">
        <v>6116</v>
      </c>
      <c r="B6177" s="138">
        <f>'Assets-Liab 5-6'!K30</f>
        <v>0</v>
      </c>
      <c r="D6177" s="2" t="str">
        <f t="shared" si="95"/>
        <v>Error?</v>
      </c>
      <c r="E6177" s="2" t="s">
        <v>199</v>
      </c>
    </row>
    <row r="6178" spans="1:5" x14ac:dyDescent="0.2">
      <c r="A6178">
        <v>6117</v>
      </c>
      <c r="B6178" s="138">
        <f>'Assets-Liab 5-6'!E31</f>
        <v>0</v>
      </c>
      <c r="D6178" s="2" t="str">
        <f t="shared" si="95"/>
        <v>Error?</v>
      </c>
      <c r="E6178" s="2" t="s">
        <v>199</v>
      </c>
    </row>
    <row r="6179" spans="1:5" x14ac:dyDescent="0.2">
      <c r="A6179">
        <v>6118</v>
      </c>
      <c r="B6179" s="138">
        <f>'Assets-Liab 5-6'!I31</f>
        <v>0</v>
      </c>
      <c r="D6179" s="2" t="str">
        <f t="shared" si="95"/>
        <v>Error?</v>
      </c>
      <c r="E6179" s="2" t="s">
        <v>199</v>
      </c>
    </row>
    <row r="6180" spans="1:5" x14ac:dyDescent="0.2">
      <c r="A6180">
        <v>6119</v>
      </c>
      <c r="B6180" s="138">
        <f>'Assets-Liab 5-6'!J31</f>
        <v>0</v>
      </c>
      <c r="D6180" s="2" t="str">
        <f t="shared" si="95"/>
        <v>Error?</v>
      </c>
      <c r="E6180" s="2" t="s">
        <v>199</v>
      </c>
    </row>
    <row r="6181" spans="1:5" x14ac:dyDescent="0.2">
      <c r="A6181">
        <v>6120</v>
      </c>
      <c r="B6181" s="138">
        <f>'Assets-Liab 5-6'!J32</f>
        <v>0</v>
      </c>
      <c r="D6181" s="2" t="str">
        <f t="shared" si="95"/>
        <v>Error?</v>
      </c>
      <c r="E6181" s="2" t="s">
        <v>199</v>
      </c>
    </row>
    <row r="6182" spans="1:5" x14ac:dyDescent="0.2">
      <c r="A6182">
        <v>6121</v>
      </c>
      <c r="B6182" s="138">
        <f>'Assets-Liab 5-6'!C33</f>
        <v>0</v>
      </c>
      <c r="D6182" s="2" t="str">
        <f t="shared" si="95"/>
        <v>Error?</v>
      </c>
      <c r="E6182" s="2" t="s">
        <v>199</v>
      </c>
    </row>
    <row r="6183" spans="1:5" x14ac:dyDescent="0.2">
      <c r="A6183">
        <v>6122</v>
      </c>
      <c r="B6183" s="138">
        <f>'Assets-Liab 5-6'!D33</f>
        <v>0</v>
      </c>
      <c r="D6183" s="2" t="str">
        <f t="shared" si="95"/>
        <v>Error?</v>
      </c>
      <c r="E6183" s="2" t="s">
        <v>199</v>
      </c>
    </row>
    <row r="6184" spans="1:5" x14ac:dyDescent="0.2">
      <c r="A6184">
        <v>6123</v>
      </c>
      <c r="B6184" s="138">
        <f>'Assets-Liab 5-6'!E33</f>
        <v>0</v>
      </c>
      <c r="D6184" s="2" t="str">
        <f t="shared" si="95"/>
        <v>Error?</v>
      </c>
      <c r="E6184" s="2" t="s">
        <v>199</v>
      </c>
    </row>
    <row r="6185" spans="1:5" x14ac:dyDescent="0.2">
      <c r="A6185">
        <v>6124</v>
      </c>
      <c r="B6185" s="138">
        <f>'Assets-Liab 5-6'!F33</f>
        <v>0</v>
      </c>
      <c r="D6185" s="2" t="str">
        <f t="shared" si="95"/>
        <v>Error?</v>
      </c>
      <c r="E6185" s="2" t="s">
        <v>199</v>
      </c>
    </row>
    <row r="6186" spans="1:5" x14ac:dyDescent="0.2">
      <c r="A6186">
        <v>6125</v>
      </c>
      <c r="B6186" s="138">
        <f>'Assets-Liab 5-6'!G33</f>
        <v>0</v>
      </c>
      <c r="D6186" s="2" t="str">
        <f t="shared" si="95"/>
        <v>Error?</v>
      </c>
      <c r="E6186" s="2" t="s">
        <v>199</v>
      </c>
    </row>
    <row r="6187" spans="1:5" x14ac:dyDescent="0.2">
      <c r="A6187">
        <v>6126</v>
      </c>
      <c r="B6187" s="138">
        <f>'Assets-Liab 5-6'!H33</f>
        <v>0</v>
      </c>
      <c r="D6187" s="2" t="str">
        <f t="shared" si="95"/>
        <v>Error?</v>
      </c>
      <c r="E6187" s="2" t="s">
        <v>199</v>
      </c>
    </row>
    <row r="6188" spans="1:5" x14ac:dyDescent="0.2">
      <c r="A6188">
        <v>6127</v>
      </c>
      <c r="B6188" s="138">
        <f>'Assets-Liab 5-6'!I33</f>
        <v>0</v>
      </c>
      <c r="D6188" s="2" t="str">
        <f t="shared" si="95"/>
        <v>Error?</v>
      </c>
      <c r="E6188" s="2" t="s">
        <v>199</v>
      </c>
    </row>
    <row r="6189" spans="1:5" x14ac:dyDescent="0.2">
      <c r="A6189">
        <v>6128</v>
      </c>
      <c r="B6189" s="138">
        <f>'Assets-Liab 5-6'!J33</f>
        <v>0</v>
      </c>
      <c r="D6189" s="2" t="str">
        <f t="shared" si="95"/>
        <v>Error?</v>
      </c>
      <c r="E6189" s="2" t="s">
        <v>199</v>
      </c>
    </row>
    <row r="6190" spans="1:5" x14ac:dyDescent="0.2">
      <c r="A6190">
        <v>6129</v>
      </c>
      <c r="B6190" s="138">
        <f>'Assets-Liab 5-6'!K33</f>
        <v>0</v>
      </c>
      <c r="D6190" s="2" t="str">
        <f t="shared" si="95"/>
        <v>Error?</v>
      </c>
      <c r="E6190" s="2" t="s">
        <v>199</v>
      </c>
    </row>
    <row r="6191" spans="1:5" x14ac:dyDescent="0.2">
      <c r="A6191">
        <v>6130</v>
      </c>
      <c r="B6191" s="138">
        <f>'Assets-Liab 5-6'!J34</f>
        <v>0</v>
      </c>
      <c r="D6191" s="2" t="str">
        <f t="shared" si="95"/>
        <v>Error?</v>
      </c>
      <c r="E6191" s="2" t="s">
        <v>199</v>
      </c>
    </row>
    <row r="6192" spans="1:5" x14ac:dyDescent="0.2">
      <c r="A6192" s="129">
        <v>6131</v>
      </c>
      <c r="D6192" s="2" t="str">
        <f t="shared" si="95"/>
        <v>OK</v>
      </c>
      <c r="E6192" s="2" t="s">
        <v>138</v>
      </c>
    </row>
    <row r="6193" spans="1:5" x14ac:dyDescent="0.2">
      <c r="A6193" s="129">
        <v>6132</v>
      </c>
      <c r="D6193" s="2" t="str">
        <f t="shared" si="95"/>
        <v>OK</v>
      </c>
      <c r="E6193" s="2" t="s">
        <v>138</v>
      </c>
    </row>
    <row r="6194" spans="1:5" x14ac:dyDescent="0.2">
      <c r="A6194" s="129">
        <v>6133</v>
      </c>
      <c r="D6194" s="2" t="str">
        <f t="shared" si="95"/>
        <v>OK</v>
      </c>
      <c r="E6194" s="2" t="s">
        <v>138</v>
      </c>
    </row>
    <row r="6195" spans="1:5" x14ac:dyDescent="0.2">
      <c r="A6195" s="129">
        <v>6134</v>
      </c>
      <c r="D6195" s="2" t="str">
        <f t="shared" si="95"/>
        <v>OK</v>
      </c>
      <c r="E6195" s="2" t="s">
        <v>138</v>
      </c>
    </row>
    <row r="6196" spans="1:5" x14ac:dyDescent="0.2">
      <c r="A6196" s="129">
        <v>6135</v>
      </c>
      <c r="D6196" s="2" t="str">
        <f t="shared" si="95"/>
        <v>OK</v>
      </c>
      <c r="E6196" s="2" t="s">
        <v>138</v>
      </c>
    </row>
    <row r="6197" spans="1:5" x14ac:dyDescent="0.2">
      <c r="A6197" s="129">
        <v>6136</v>
      </c>
      <c r="D6197" s="2" t="str">
        <f t="shared" si="95"/>
        <v>OK</v>
      </c>
      <c r="E6197" s="2" t="s">
        <v>138</v>
      </c>
    </row>
    <row r="6198" spans="1:5" x14ac:dyDescent="0.2">
      <c r="A6198" s="129">
        <v>6137</v>
      </c>
      <c r="D6198" s="2" t="str">
        <f t="shared" si="95"/>
        <v>OK</v>
      </c>
      <c r="E6198" s="2" t="s">
        <v>138</v>
      </c>
    </row>
    <row r="6199" spans="1:5" x14ac:dyDescent="0.2">
      <c r="A6199" s="129">
        <v>6138</v>
      </c>
      <c r="D6199" s="2" t="str">
        <f t="shared" si="95"/>
        <v>OK</v>
      </c>
      <c r="E6199" s="2" t="s">
        <v>138</v>
      </c>
    </row>
    <row r="6200" spans="1:5" x14ac:dyDescent="0.2">
      <c r="A6200" s="129">
        <v>6139</v>
      </c>
      <c r="D6200" s="2" t="str">
        <f t="shared" si="95"/>
        <v>OK</v>
      </c>
      <c r="E6200" s="2" t="s">
        <v>138</v>
      </c>
    </row>
    <row r="6201" spans="1:5" x14ac:dyDescent="0.2">
      <c r="A6201" s="129">
        <v>6140</v>
      </c>
      <c r="D6201" s="2" t="str">
        <f t="shared" si="95"/>
        <v>OK</v>
      </c>
      <c r="E6201" s="2" t="s">
        <v>138</v>
      </c>
    </row>
    <row r="6202" spans="1:5" x14ac:dyDescent="0.2">
      <c r="A6202" s="129">
        <v>6141</v>
      </c>
      <c r="D6202" s="2" t="str">
        <f t="shared" si="95"/>
        <v>OK</v>
      </c>
      <c r="E6202" s="2" t="s">
        <v>138</v>
      </c>
    </row>
    <row r="6203" spans="1:5" x14ac:dyDescent="0.2">
      <c r="A6203" s="129">
        <v>6142</v>
      </c>
      <c r="D6203" s="2" t="str">
        <f t="shared" si="95"/>
        <v>OK</v>
      </c>
      <c r="E6203" s="2" t="s">
        <v>138</v>
      </c>
    </row>
    <row r="6204" spans="1:5" x14ac:dyDescent="0.2">
      <c r="A6204" s="129">
        <v>6143</v>
      </c>
      <c r="D6204" s="2" t="str">
        <f t="shared" si="95"/>
        <v>OK</v>
      </c>
      <c r="E6204" s="2" t="s">
        <v>138</v>
      </c>
    </row>
    <row r="6205" spans="1:5" x14ac:dyDescent="0.2">
      <c r="A6205" s="129">
        <v>6144</v>
      </c>
      <c r="D6205" s="2" t="str">
        <f t="shared" si="95"/>
        <v>OK</v>
      </c>
      <c r="E6205" s="2" t="s">
        <v>138</v>
      </c>
    </row>
    <row r="6206" spans="1:5" x14ac:dyDescent="0.2">
      <c r="A6206" s="129">
        <v>6145</v>
      </c>
      <c r="D6206" s="2" t="str">
        <f t="shared" si="95"/>
        <v>OK</v>
      </c>
      <c r="E6206" s="2" t="s">
        <v>138</v>
      </c>
    </row>
    <row r="6207" spans="1:5" x14ac:dyDescent="0.2">
      <c r="A6207" s="129">
        <v>6146</v>
      </c>
      <c r="D6207" s="2" t="str">
        <f t="shared" ref="D6207:D6270" si="96">IF(ISBLANK(B6207),"OK",IF(A6207-B6207=0,"OK","Error?"))</f>
        <v>OK</v>
      </c>
      <c r="E6207" s="2" t="s">
        <v>138</v>
      </c>
    </row>
    <row r="6208" spans="1:5" x14ac:dyDescent="0.2">
      <c r="A6208" s="129">
        <v>6147</v>
      </c>
      <c r="D6208" s="2" t="str">
        <f t="shared" si="96"/>
        <v>OK</v>
      </c>
      <c r="E6208" s="2" t="s">
        <v>138</v>
      </c>
    </row>
    <row r="6209" spans="1:5" x14ac:dyDescent="0.2">
      <c r="A6209" s="129">
        <v>6148</v>
      </c>
      <c r="D6209" s="2" t="str">
        <f t="shared" si="96"/>
        <v>OK</v>
      </c>
      <c r="E6209" s="2" t="s">
        <v>138</v>
      </c>
    </row>
    <row r="6210" spans="1:5" x14ac:dyDescent="0.2">
      <c r="A6210" s="129">
        <v>6149</v>
      </c>
      <c r="D6210" s="2" t="str">
        <f t="shared" si="96"/>
        <v>OK</v>
      </c>
      <c r="E6210" s="2" t="s">
        <v>138</v>
      </c>
    </row>
    <row r="6211" spans="1:5" x14ac:dyDescent="0.2">
      <c r="A6211" s="129">
        <v>6150</v>
      </c>
      <c r="D6211" s="2" t="str">
        <f t="shared" si="96"/>
        <v>OK</v>
      </c>
      <c r="E6211" s="2" t="s">
        <v>138</v>
      </c>
    </row>
    <row r="6212" spans="1:5" x14ac:dyDescent="0.2">
      <c r="A6212" s="129">
        <v>6151</v>
      </c>
      <c r="D6212" s="2" t="str">
        <f t="shared" si="96"/>
        <v>OK</v>
      </c>
      <c r="E6212" s="2" t="s">
        <v>138</v>
      </c>
    </row>
    <row r="6213" spans="1:5" x14ac:dyDescent="0.2">
      <c r="A6213" s="129">
        <v>6152</v>
      </c>
      <c r="D6213" s="2" t="str">
        <f t="shared" si="96"/>
        <v>OK</v>
      </c>
      <c r="E6213" s="2" t="s">
        <v>138</v>
      </c>
    </row>
    <row r="6214" spans="1:5" x14ac:dyDescent="0.2">
      <c r="A6214">
        <v>6153</v>
      </c>
      <c r="B6214" s="138">
        <f>'Assets-Liab 5-6'!J38</f>
        <v>0</v>
      </c>
      <c r="D6214" s="2" t="str">
        <f t="shared" si="96"/>
        <v>Error?</v>
      </c>
      <c r="E6214" s="2" t="s">
        <v>199</v>
      </c>
    </row>
    <row r="6215" spans="1:5" x14ac:dyDescent="0.2">
      <c r="A6215">
        <v>6154</v>
      </c>
      <c r="B6215" s="138">
        <f>'Assets-Liab 5-6'!J39</f>
        <v>235748</v>
      </c>
      <c r="D6215" s="2" t="str">
        <f t="shared" si="96"/>
        <v>Error?</v>
      </c>
      <c r="E6215" s="2" t="s">
        <v>199</v>
      </c>
    </row>
    <row r="6216" spans="1:5" x14ac:dyDescent="0.2">
      <c r="A6216">
        <v>6155</v>
      </c>
      <c r="B6216" s="138">
        <f>'Assets-Liab 5-6'!J41</f>
        <v>235748</v>
      </c>
      <c r="D6216" s="2" t="str">
        <f t="shared" si="96"/>
        <v>Error?</v>
      </c>
      <c r="E6216" s="2" t="s">
        <v>199</v>
      </c>
    </row>
    <row r="6217" spans="1:5" x14ac:dyDescent="0.2">
      <c r="A6217">
        <v>6156</v>
      </c>
      <c r="B6217" s="138">
        <f>'Assets-Liab 5-6'!J4</f>
        <v>235748</v>
      </c>
      <c r="D6217" s="2" t="str">
        <f t="shared" si="96"/>
        <v>Error?</v>
      </c>
      <c r="E6217" s="2" t="s">
        <v>199</v>
      </c>
    </row>
    <row r="6218" spans="1:5" x14ac:dyDescent="0.2">
      <c r="A6218">
        <v>6157</v>
      </c>
      <c r="B6218" s="138">
        <f>'Assets-Liab 5-6'!J5</f>
        <v>0</v>
      </c>
      <c r="D6218" s="2" t="str">
        <f t="shared" si="96"/>
        <v>Error?</v>
      </c>
      <c r="E6218" s="2" t="s">
        <v>199</v>
      </c>
    </row>
    <row r="6219" spans="1:5" x14ac:dyDescent="0.2">
      <c r="A6219">
        <v>6158</v>
      </c>
      <c r="B6219" s="138">
        <f>'Assets-Liab 5-6'!J6</f>
        <v>0</v>
      </c>
      <c r="D6219" s="2" t="str">
        <f t="shared" si="96"/>
        <v>Error?</v>
      </c>
      <c r="E6219" s="2" t="s">
        <v>199</v>
      </c>
    </row>
    <row r="6220" spans="1:5" x14ac:dyDescent="0.2">
      <c r="A6220">
        <v>6159</v>
      </c>
      <c r="B6220" s="138">
        <f>'Acct Summary 7-8'!J4</f>
        <v>288131</v>
      </c>
      <c r="D6220" s="2" t="str">
        <f t="shared" si="96"/>
        <v>Error?</v>
      </c>
      <c r="E6220" s="2" t="s">
        <v>199</v>
      </c>
    </row>
    <row r="6221" spans="1:5" x14ac:dyDescent="0.2">
      <c r="A6221">
        <v>6160</v>
      </c>
      <c r="B6221" s="138">
        <f>'Acct Summary 7-8'!J6</f>
        <v>0</v>
      </c>
      <c r="D6221" s="2" t="str">
        <f t="shared" si="96"/>
        <v>Error?</v>
      </c>
      <c r="E6221" s="2" t="s">
        <v>199</v>
      </c>
    </row>
    <row r="6222" spans="1:5" x14ac:dyDescent="0.2">
      <c r="A6222">
        <v>6161</v>
      </c>
      <c r="B6222" s="138">
        <f>'Acct Summary 7-8'!J7</f>
        <v>0</v>
      </c>
      <c r="D6222" s="2" t="str">
        <f t="shared" si="96"/>
        <v>Error?</v>
      </c>
      <c r="E6222" s="2" t="s">
        <v>199</v>
      </c>
    </row>
    <row r="6223" spans="1:5" x14ac:dyDescent="0.2">
      <c r="A6223">
        <v>6162</v>
      </c>
      <c r="B6223" s="138">
        <f>'Acct Summary 7-8'!J8</f>
        <v>288131</v>
      </c>
      <c r="D6223" s="2" t="str">
        <f t="shared" si="96"/>
        <v>Error?</v>
      </c>
      <c r="E6223" s="2" t="s">
        <v>199</v>
      </c>
    </row>
    <row r="6224" spans="1:5" x14ac:dyDescent="0.2">
      <c r="A6224">
        <v>6163</v>
      </c>
      <c r="B6224" s="138">
        <f>'Acct Summary 7-8'!J9</f>
        <v>0</v>
      </c>
      <c r="D6224" s="2" t="str">
        <f t="shared" si="96"/>
        <v>Error?</v>
      </c>
      <c r="E6224" s="2" t="s">
        <v>199</v>
      </c>
    </row>
    <row r="6225" spans="1:5" x14ac:dyDescent="0.2">
      <c r="A6225">
        <v>6164</v>
      </c>
      <c r="B6225" s="138">
        <f>'Acct Summary 7-8'!J10</f>
        <v>288131</v>
      </c>
      <c r="D6225" s="2" t="str">
        <f t="shared" si="96"/>
        <v>Error?</v>
      </c>
      <c r="E6225" s="2" t="s">
        <v>199</v>
      </c>
    </row>
    <row r="6226" spans="1:5" x14ac:dyDescent="0.2">
      <c r="A6226">
        <v>6165</v>
      </c>
      <c r="B6226" s="138">
        <f>'Acct Summary 7-8'!J16</f>
        <v>0</v>
      </c>
      <c r="D6226" s="2" t="str">
        <f t="shared" si="96"/>
        <v>Error?</v>
      </c>
      <c r="E6226" s="2" t="s">
        <v>199</v>
      </c>
    </row>
    <row r="6227" spans="1:5" x14ac:dyDescent="0.2">
      <c r="A6227">
        <v>6166</v>
      </c>
      <c r="B6227" s="138">
        <f>'Acct Summary 7-8'!J17</f>
        <v>311755</v>
      </c>
      <c r="D6227" s="2" t="str">
        <f t="shared" si="96"/>
        <v>Error?</v>
      </c>
      <c r="E6227" s="2" t="s">
        <v>199</v>
      </c>
    </row>
    <row r="6228" spans="1:5" x14ac:dyDescent="0.2">
      <c r="A6228">
        <v>6167</v>
      </c>
      <c r="B6228" s="138">
        <f>'Acct Summary 7-8'!J18</f>
        <v>0</v>
      </c>
      <c r="D6228" s="2" t="str">
        <f t="shared" si="96"/>
        <v>Error?</v>
      </c>
      <c r="E6228" s="2" t="s">
        <v>199</v>
      </c>
    </row>
    <row r="6229" spans="1:5" x14ac:dyDescent="0.2">
      <c r="A6229">
        <v>6168</v>
      </c>
      <c r="B6229" s="138">
        <f>'Acct Summary 7-8'!J19</f>
        <v>311755</v>
      </c>
      <c r="D6229" s="2" t="str">
        <f t="shared" si="96"/>
        <v>Error?</v>
      </c>
      <c r="E6229" s="2" t="s">
        <v>199</v>
      </c>
    </row>
    <row r="6230" spans="1:5" x14ac:dyDescent="0.2">
      <c r="A6230">
        <v>6169</v>
      </c>
      <c r="B6230" s="138">
        <f>'Acct Summary 7-8'!J20</f>
        <v>-23624</v>
      </c>
      <c r="D6230" s="2" t="str">
        <f t="shared" si="96"/>
        <v>Error?</v>
      </c>
      <c r="E6230" s="2" t="s">
        <v>199</v>
      </c>
    </row>
    <row r="6231" spans="1:5" x14ac:dyDescent="0.2">
      <c r="A6231">
        <v>6170</v>
      </c>
      <c r="B6231" s="138">
        <f>'Acct Summary 7-8'!J26</f>
        <v>0</v>
      </c>
      <c r="D6231" s="2" t="str">
        <f t="shared" si="96"/>
        <v>Error?</v>
      </c>
      <c r="E6231" s="2" t="s">
        <v>199</v>
      </c>
    </row>
    <row r="6232" spans="1:5" x14ac:dyDescent="0.2">
      <c r="A6232">
        <v>6171</v>
      </c>
      <c r="B6232" s="138">
        <f>'Acct Summary 7-8'!J28</f>
        <v>0</v>
      </c>
      <c r="D6232" s="2" t="str">
        <f t="shared" si="96"/>
        <v>Error?</v>
      </c>
      <c r="E6232" s="2" t="s">
        <v>199</v>
      </c>
    </row>
    <row r="6233" spans="1:5" x14ac:dyDescent="0.2">
      <c r="A6233">
        <v>6172</v>
      </c>
      <c r="B6233" s="138">
        <f>'Acct Summary 7-8'!J33</f>
        <v>0</v>
      </c>
      <c r="D6233" s="2" t="str">
        <f t="shared" si="96"/>
        <v>Error?</v>
      </c>
      <c r="E6233" s="2" t="s">
        <v>199</v>
      </c>
    </row>
    <row r="6234" spans="1:5" x14ac:dyDescent="0.2">
      <c r="A6234">
        <v>6173</v>
      </c>
      <c r="B6234" s="138">
        <f>'Acct Summary 7-8'!J34</f>
        <v>0</v>
      </c>
      <c r="D6234" s="2" t="str">
        <f t="shared" si="96"/>
        <v>Error?</v>
      </c>
      <c r="E6234" s="2" t="s">
        <v>199</v>
      </c>
    </row>
    <row r="6235" spans="1:5" x14ac:dyDescent="0.2">
      <c r="A6235">
        <v>6174</v>
      </c>
      <c r="B6235" s="138">
        <f>'Acct Summary 7-8'!J35</f>
        <v>0</v>
      </c>
      <c r="D6235" s="2" t="str">
        <f t="shared" si="96"/>
        <v>Error?</v>
      </c>
      <c r="E6235" s="2" t="s">
        <v>199</v>
      </c>
    </row>
    <row r="6236" spans="1:5" x14ac:dyDescent="0.2">
      <c r="A6236">
        <v>6175</v>
      </c>
      <c r="B6236" s="138">
        <f>'Acct Summary 7-8'!J36</f>
        <v>0</v>
      </c>
      <c r="D6236" s="2" t="str">
        <f t="shared" si="96"/>
        <v>Error?</v>
      </c>
      <c r="E6236" s="2" t="s">
        <v>199</v>
      </c>
    </row>
    <row r="6237" spans="1:5" x14ac:dyDescent="0.2">
      <c r="A6237">
        <v>6176</v>
      </c>
      <c r="B6237" s="138">
        <f>'Acct Summary 7-8'!J43</f>
        <v>0</v>
      </c>
      <c r="D6237" s="2" t="str">
        <f t="shared" si="96"/>
        <v>Error?</v>
      </c>
      <c r="E6237" s="2" t="s">
        <v>199</v>
      </c>
    </row>
    <row r="6238" spans="1:5" x14ac:dyDescent="0.2">
      <c r="A6238">
        <v>6177</v>
      </c>
      <c r="B6238" s="138">
        <f>'Acct Summary 7-8'!J44</f>
        <v>0</v>
      </c>
      <c r="D6238" s="2" t="str">
        <f t="shared" si="96"/>
        <v>Error?</v>
      </c>
      <c r="E6238" s="2" t="s">
        <v>199</v>
      </c>
    </row>
    <row r="6239" spans="1:5" x14ac:dyDescent="0.2">
      <c r="A6239">
        <v>6178</v>
      </c>
      <c r="B6239" s="138">
        <f>'Acct Summary 7-8'!J50</f>
        <v>0</v>
      </c>
      <c r="D6239" s="2" t="str">
        <f t="shared" si="96"/>
        <v>Error?</v>
      </c>
      <c r="E6239" s="2" t="s">
        <v>199</v>
      </c>
    </row>
    <row r="6240" spans="1:5" x14ac:dyDescent="0.2">
      <c r="A6240">
        <v>6179</v>
      </c>
      <c r="B6240" s="138">
        <f>'Acct Summary 7-8'!C54</f>
        <v>0</v>
      </c>
      <c r="D6240" s="2" t="str">
        <f t="shared" si="96"/>
        <v>Error?</v>
      </c>
      <c r="E6240" s="2" t="s">
        <v>199</v>
      </c>
    </row>
    <row r="6241" spans="1:5" x14ac:dyDescent="0.2">
      <c r="A6241">
        <v>6180</v>
      </c>
      <c r="B6241" s="138">
        <f>'Acct Summary 7-8'!D54</f>
        <v>0</v>
      </c>
      <c r="D6241" s="2" t="str">
        <f t="shared" si="96"/>
        <v>Error?</v>
      </c>
      <c r="E6241" s="2" t="s">
        <v>199</v>
      </c>
    </row>
    <row r="6242" spans="1:5" x14ac:dyDescent="0.2">
      <c r="A6242">
        <v>6181</v>
      </c>
      <c r="B6242" s="138">
        <f>'Acct Summary 7-8'!H54</f>
        <v>0</v>
      </c>
      <c r="D6242" s="2" t="str">
        <f t="shared" si="96"/>
        <v>Error?</v>
      </c>
      <c r="E6242" s="2" t="s">
        <v>199</v>
      </c>
    </row>
    <row r="6243" spans="1:5" x14ac:dyDescent="0.2">
      <c r="A6243">
        <v>6182</v>
      </c>
      <c r="B6243" s="138">
        <f>'Acct Summary 7-8'!C58</f>
        <v>0</v>
      </c>
      <c r="D6243" s="2" t="str">
        <f t="shared" si="96"/>
        <v>Error?</v>
      </c>
      <c r="E6243" s="2" t="s">
        <v>199</v>
      </c>
    </row>
    <row r="6244" spans="1:5" x14ac:dyDescent="0.2">
      <c r="A6244">
        <v>6183</v>
      </c>
      <c r="B6244" s="138">
        <f>'Acct Summary 7-8'!D58</f>
        <v>0</v>
      </c>
      <c r="D6244" s="2" t="str">
        <f t="shared" si="96"/>
        <v>Error?</v>
      </c>
      <c r="E6244" s="2" t="s">
        <v>199</v>
      </c>
    </row>
    <row r="6245" spans="1:5" x14ac:dyDescent="0.2">
      <c r="A6245">
        <v>6184</v>
      </c>
      <c r="B6245" s="138">
        <f>'Acct Summary 7-8'!H58</f>
        <v>0</v>
      </c>
      <c r="D6245" s="2" t="str">
        <f t="shared" si="96"/>
        <v>Error?</v>
      </c>
      <c r="E6245" s="2" t="s">
        <v>199</v>
      </c>
    </row>
    <row r="6246" spans="1:5" x14ac:dyDescent="0.2">
      <c r="A6246">
        <v>6185</v>
      </c>
      <c r="B6246" s="138">
        <f>'Acct Summary 7-8'!C62</f>
        <v>0</v>
      </c>
      <c r="D6246" s="2" t="str">
        <f t="shared" si="96"/>
        <v>Error?</v>
      </c>
      <c r="E6246" s="2" t="s">
        <v>199</v>
      </c>
    </row>
    <row r="6247" spans="1:5" x14ac:dyDescent="0.2">
      <c r="A6247">
        <v>6186</v>
      </c>
      <c r="B6247" s="138">
        <f>'Acct Summary 7-8'!D62</f>
        <v>0</v>
      </c>
      <c r="D6247" s="2" t="str">
        <f t="shared" si="96"/>
        <v>Error?</v>
      </c>
      <c r="E6247" s="2" t="s">
        <v>199</v>
      </c>
    </row>
    <row r="6248" spans="1:5" x14ac:dyDescent="0.2">
      <c r="A6248">
        <v>6187</v>
      </c>
      <c r="B6248" s="138">
        <f>'Acct Summary 7-8'!C66</f>
        <v>0</v>
      </c>
      <c r="D6248" s="2" t="str">
        <f t="shared" si="96"/>
        <v>Error?</v>
      </c>
      <c r="E6248" s="2" t="s">
        <v>199</v>
      </c>
    </row>
    <row r="6249" spans="1:5" x14ac:dyDescent="0.2">
      <c r="A6249">
        <v>6188</v>
      </c>
      <c r="B6249" s="138">
        <f>'Acct Summary 7-8'!D66</f>
        <v>0</v>
      </c>
      <c r="D6249" s="2" t="str">
        <f t="shared" si="96"/>
        <v>Error?</v>
      </c>
      <c r="E6249" s="2" t="s">
        <v>199</v>
      </c>
    </row>
    <row r="6250" spans="1:5" x14ac:dyDescent="0.2">
      <c r="A6250">
        <v>6189</v>
      </c>
      <c r="B6250" s="138">
        <f>'Acct Summary 7-8'!C70</f>
        <v>0</v>
      </c>
      <c r="D6250" s="2" t="str">
        <f t="shared" si="96"/>
        <v>Error?</v>
      </c>
      <c r="E6250" s="2" t="s">
        <v>199</v>
      </c>
    </row>
    <row r="6251" spans="1:5" x14ac:dyDescent="0.2">
      <c r="A6251">
        <v>6190</v>
      </c>
      <c r="B6251" s="138">
        <f>'Acct Summary 7-8'!D70</f>
        <v>0</v>
      </c>
      <c r="D6251" s="2" t="str">
        <f t="shared" si="96"/>
        <v>Error?</v>
      </c>
      <c r="E6251" s="2" t="s">
        <v>199</v>
      </c>
    </row>
    <row r="6252" spans="1:5" x14ac:dyDescent="0.2">
      <c r="A6252">
        <v>6191</v>
      </c>
      <c r="B6252" s="138">
        <f>'Acct Summary 7-8'!C74</f>
        <v>0</v>
      </c>
      <c r="D6252" s="2" t="str">
        <f t="shared" si="96"/>
        <v>Error?</v>
      </c>
      <c r="E6252" s="2" t="s">
        <v>199</v>
      </c>
    </row>
    <row r="6253" spans="1:5" x14ac:dyDescent="0.2">
      <c r="A6253">
        <v>6192</v>
      </c>
      <c r="B6253" s="138">
        <f>'Acct Summary 7-8'!D74</f>
        <v>0</v>
      </c>
      <c r="D6253" s="2" t="str">
        <f t="shared" si="96"/>
        <v>Error?</v>
      </c>
      <c r="E6253" s="2" t="s">
        <v>199</v>
      </c>
    </row>
    <row r="6254" spans="1:5" x14ac:dyDescent="0.2">
      <c r="A6254">
        <v>6193</v>
      </c>
      <c r="B6254" s="138">
        <f>'Acct Summary 7-8'!F74</f>
        <v>0</v>
      </c>
      <c r="D6254" s="2" t="str">
        <f t="shared" si="96"/>
        <v>Error?</v>
      </c>
      <c r="E6254" s="2" t="s">
        <v>199</v>
      </c>
    </row>
    <row r="6255" spans="1:5" x14ac:dyDescent="0.2">
      <c r="A6255">
        <v>6194</v>
      </c>
      <c r="B6255" s="138">
        <f>'Acct Summary 7-8'!G74</f>
        <v>0</v>
      </c>
      <c r="D6255" s="2" t="str">
        <f t="shared" si="96"/>
        <v>Error?</v>
      </c>
      <c r="E6255" s="2" t="s">
        <v>199</v>
      </c>
    </row>
    <row r="6256" spans="1:5" x14ac:dyDescent="0.2">
      <c r="A6256">
        <v>6195</v>
      </c>
      <c r="B6256" s="138">
        <f>'Acct Summary 7-8'!H74</f>
        <v>0</v>
      </c>
      <c r="D6256" s="2" t="str">
        <f t="shared" si="96"/>
        <v>Error?</v>
      </c>
      <c r="E6256" s="2" t="s">
        <v>199</v>
      </c>
    </row>
    <row r="6257" spans="1:5" x14ac:dyDescent="0.2">
      <c r="A6257">
        <v>6196</v>
      </c>
      <c r="B6257" s="138">
        <f>'Acct Summary 7-8'!K74</f>
        <v>0</v>
      </c>
      <c r="D6257" s="2" t="str">
        <f t="shared" si="96"/>
        <v>Error?</v>
      </c>
      <c r="E6257" s="2" t="s">
        <v>199</v>
      </c>
    </row>
    <row r="6258" spans="1:5" x14ac:dyDescent="0.2">
      <c r="A6258">
        <v>6197</v>
      </c>
      <c r="B6258" s="138">
        <f>'Acct Summary 7-8'!G75</f>
        <v>0</v>
      </c>
      <c r="D6258" s="2" t="str">
        <f t="shared" si="96"/>
        <v>Error?</v>
      </c>
      <c r="E6258" s="2" t="s">
        <v>199</v>
      </c>
    </row>
    <row r="6259" spans="1:5" x14ac:dyDescent="0.2">
      <c r="A6259">
        <v>6198</v>
      </c>
      <c r="B6259" s="138">
        <f>'Acct Summary 7-8'!I75</f>
        <v>0</v>
      </c>
      <c r="D6259" s="2" t="str">
        <f t="shared" si="96"/>
        <v>Error?</v>
      </c>
      <c r="E6259" s="2" t="s">
        <v>199</v>
      </c>
    </row>
    <row r="6260" spans="1:5" x14ac:dyDescent="0.2">
      <c r="A6260">
        <v>6199</v>
      </c>
      <c r="B6260" s="138">
        <f>'Acct Summary 7-8'!J75</f>
        <v>0</v>
      </c>
      <c r="D6260" s="2" t="str">
        <f t="shared" si="96"/>
        <v>Error?</v>
      </c>
      <c r="E6260" s="2" t="s">
        <v>199</v>
      </c>
    </row>
    <row r="6261" spans="1:5" x14ac:dyDescent="0.2">
      <c r="A6261">
        <v>6200</v>
      </c>
      <c r="B6261" s="138">
        <f>'Acct Summary 7-8'!J76</f>
        <v>0</v>
      </c>
      <c r="D6261" s="2" t="str">
        <f t="shared" si="96"/>
        <v>Error?</v>
      </c>
      <c r="E6261" s="2" t="s">
        <v>199</v>
      </c>
    </row>
    <row r="6262" spans="1:5" x14ac:dyDescent="0.2">
      <c r="A6262">
        <v>6201</v>
      </c>
      <c r="B6262" s="138">
        <f>'Acct Summary 7-8'!J77</f>
        <v>0</v>
      </c>
      <c r="D6262" s="2" t="str">
        <f t="shared" si="96"/>
        <v>Error?</v>
      </c>
      <c r="E6262" s="2" t="s">
        <v>199</v>
      </c>
    </row>
    <row r="6263" spans="1:5" x14ac:dyDescent="0.2">
      <c r="A6263">
        <v>6202</v>
      </c>
      <c r="B6263" s="138">
        <f>'Acct Summary 7-8'!J78</f>
        <v>-23624</v>
      </c>
      <c r="D6263" s="2" t="str">
        <f t="shared" si="96"/>
        <v>Error?</v>
      </c>
      <c r="E6263" s="2" t="s">
        <v>199</v>
      </c>
    </row>
    <row r="6264" spans="1:5" x14ac:dyDescent="0.2">
      <c r="A6264">
        <v>6203</v>
      </c>
      <c r="B6264" s="138">
        <f>'Acct Summary 7-8'!J79</f>
        <v>259372</v>
      </c>
      <c r="D6264" s="2" t="str">
        <f t="shared" si="96"/>
        <v>Error?</v>
      </c>
      <c r="E6264" s="2" t="s">
        <v>199</v>
      </c>
    </row>
    <row r="6265" spans="1:5" x14ac:dyDescent="0.2">
      <c r="A6265">
        <v>6204</v>
      </c>
      <c r="B6265" s="138">
        <f>'Acct Summary 7-8'!J80</f>
        <v>0</v>
      </c>
      <c r="D6265" s="2" t="str">
        <f t="shared" si="96"/>
        <v>Error?</v>
      </c>
      <c r="E6265" s="2" t="s">
        <v>199</v>
      </c>
    </row>
    <row r="6266" spans="1:5" x14ac:dyDescent="0.2">
      <c r="A6266">
        <v>6205</v>
      </c>
      <c r="B6266" s="138">
        <f>'Acct Summary 7-8'!J81</f>
        <v>235748</v>
      </c>
      <c r="D6266" s="2" t="str">
        <f t="shared" si="96"/>
        <v>Error?</v>
      </c>
      <c r="E6266" s="2" t="s">
        <v>199</v>
      </c>
    </row>
    <row r="6267" spans="1:5" x14ac:dyDescent="0.2">
      <c r="A6267">
        <v>6206</v>
      </c>
      <c r="B6267" s="138">
        <f>'Acct Summary 7-8'!C82</f>
        <v>745108</v>
      </c>
      <c r="D6267" s="2" t="str">
        <f t="shared" si="96"/>
        <v>Error?</v>
      </c>
      <c r="E6267" s="2" t="s">
        <v>199</v>
      </c>
    </row>
    <row r="6268" spans="1:5" x14ac:dyDescent="0.2">
      <c r="A6268">
        <v>6207</v>
      </c>
      <c r="B6268" s="138">
        <f>'Acct Summary 7-8'!D82</f>
        <v>424821</v>
      </c>
      <c r="D6268" s="2" t="str">
        <f t="shared" si="96"/>
        <v>Error?</v>
      </c>
      <c r="E6268" s="2" t="s">
        <v>199</v>
      </c>
    </row>
    <row r="6269" spans="1:5" x14ac:dyDescent="0.2">
      <c r="A6269">
        <v>6208</v>
      </c>
      <c r="B6269" s="138">
        <f>'Acct Summary 7-8'!E82</f>
        <v>-57369</v>
      </c>
      <c r="D6269" s="2" t="str">
        <f t="shared" si="96"/>
        <v>Error?</v>
      </c>
      <c r="E6269" s="2" t="s">
        <v>199</v>
      </c>
    </row>
    <row r="6270" spans="1:5" x14ac:dyDescent="0.2">
      <c r="A6270">
        <v>6209</v>
      </c>
      <c r="B6270" s="138">
        <f>'Acct Summary 7-8'!F82</f>
        <v>236316</v>
      </c>
      <c r="D6270" s="2" t="str">
        <f t="shared" si="96"/>
        <v>Error?</v>
      </c>
      <c r="E6270" s="2" t="s">
        <v>199</v>
      </c>
    </row>
    <row r="6271" spans="1:5" x14ac:dyDescent="0.2">
      <c r="A6271">
        <v>6210</v>
      </c>
      <c r="B6271" s="138">
        <f>'Acct Summary 7-8'!G82</f>
        <v>31965</v>
      </c>
      <c r="D6271" s="2" t="str">
        <f t="shared" ref="D6271:D6334" si="97">IF(ISBLANK(B6271),"OK",IF(A6271-B6271=0,"OK","Error?"))</f>
        <v>Error?</v>
      </c>
      <c r="E6271" s="2" t="s">
        <v>199</v>
      </c>
    </row>
    <row r="6272" spans="1:5" x14ac:dyDescent="0.2">
      <c r="A6272">
        <v>6211</v>
      </c>
      <c r="B6272" s="138">
        <f>'Acct Summary 7-8'!H82</f>
        <v>-3293666</v>
      </c>
      <c r="D6272" s="2" t="str">
        <f t="shared" si="97"/>
        <v>Error?</v>
      </c>
      <c r="E6272" s="2" t="s">
        <v>199</v>
      </c>
    </row>
    <row r="6273" spans="1:5" x14ac:dyDescent="0.2">
      <c r="A6273">
        <v>6212</v>
      </c>
      <c r="B6273" s="138">
        <f>'Acct Summary 7-8'!I82</f>
        <v>10573</v>
      </c>
      <c r="D6273" s="2" t="str">
        <f t="shared" si="97"/>
        <v>Error?</v>
      </c>
      <c r="E6273" s="2" t="s">
        <v>199</v>
      </c>
    </row>
    <row r="6274" spans="1:5" x14ac:dyDescent="0.2">
      <c r="A6274">
        <v>6213</v>
      </c>
      <c r="B6274" s="138">
        <f>'Acct Summary 7-8'!J82</f>
        <v>-23624</v>
      </c>
      <c r="D6274" s="2" t="str">
        <f t="shared" si="97"/>
        <v>Error?</v>
      </c>
      <c r="E6274" s="2" t="s">
        <v>199</v>
      </c>
    </row>
    <row r="6275" spans="1:5" x14ac:dyDescent="0.2">
      <c r="A6275">
        <v>6214</v>
      </c>
      <c r="B6275" s="138">
        <f>'Acct Summary 7-8'!K82</f>
        <v>47490</v>
      </c>
      <c r="D6275" s="2" t="str">
        <f t="shared" si="97"/>
        <v>Error?</v>
      </c>
      <c r="E6275" s="2" t="s">
        <v>199</v>
      </c>
    </row>
    <row r="6276" spans="1:5" x14ac:dyDescent="0.2">
      <c r="A6276">
        <v>6215</v>
      </c>
      <c r="B6276" s="138">
        <f>'Acct Summary 7-8'!C83</f>
        <v>8.1650248761561697E-2</v>
      </c>
      <c r="D6276" s="2" t="str">
        <f t="shared" si="97"/>
        <v>Error?</v>
      </c>
      <c r="E6276" s="2" t="s">
        <v>199</v>
      </c>
    </row>
    <row r="6277" spans="1:5" x14ac:dyDescent="0.2">
      <c r="A6277">
        <v>6216</v>
      </c>
      <c r="B6277" s="138">
        <f>'Acct Summary 7-8'!D83</f>
        <v>0.62081739839513195</v>
      </c>
      <c r="D6277" s="2" t="str">
        <f t="shared" si="97"/>
        <v>Error?</v>
      </c>
      <c r="E6277" s="2" t="s">
        <v>199</v>
      </c>
    </row>
    <row r="6278" spans="1:5" x14ac:dyDescent="0.2">
      <c r="A6278">
        <v>6217</v>
      </c>
      <c r="B6278" s="138">
        <f>'Acct Summary 7-8'!E83</f>
        <v>-0.16608091990226617</v>
      </c>
      <c r="D6278" s="2" t="str">
        <f t="shared" si="97"/>
        <v>Error?</v>
      </c>
      <c r="E6278" s="2" t="s">
        <v>199</v>
      </c>
    </row>
    <row r="6279" spans="1:5" x14ac:dyDescent="0.2">
      <c r="A6279">
        <v>6218</v>
      </c>
      <c r="B6279" s="138">
        <f>'Acct Summary 7-8'!F83</f>
        <v>0.60250111543119378</v>
      </c>
      <c r="D6279" s="2" t="str">
        <f t="shared" si="97"/>
        <v>Error?</v>
      </c>
      <c r="E6279" s="2" t="s">
        <v>199</v>
      </c>
    </row>
    <row r="6280" spans="1:5" x14ac:dyDescent="0.2">
      <c r="A6280">
        <v>6219</v>
      </c>
      <c r="B6280" s="138">
        <f>'Acct Summary 7-8'!G83</f>
        <v>0.11184355548091154</v>
      </c>
      <c r="D6280" s="2" t="str">
        <f t="shared" si="97"/>
        <v>Error?</v>
      </c>
      <c r="E6280" s="2" t="s">
        <v>199</v>
      </c>
    </row>
    <row r="6281" spans="1:5" x14ac:dyDescent="0.2">
      <c r="A6281">
        <v>6220</v>
      </c>
      <c r="B6281" s="138">
        <f>'Acct Summary 7-8'!H83</f>
        <v>-1.1051194633151376</v>
      </c>
      <c r="D6281" s="2" t="str">
        <f t="shared" si="97"/>
        <v>Error?</v>
      </c>
      <c r="E6281" s="2" t="s">
        <v>199</v>
      </c>
    </row>
    <row r="6282" spans="1:5" x14ac:dyDescent="0.2">
      <c r="A6282">
        <v>6221</v>
      </c>
      <c r="B6282" s="138">
        <f>'Acct Summary 7-8'!I83</f>
        <v>1.9349478334550339E-2</v>
      </c>
      <c r="D6282" s="2" t="str">
        <f t="shared" si="97"/>
        <v>Error?</v>
      </c>
      <c r="E6282" s="2" t="s">
        <v>199</v>
      </c>
    </row>
    <row r="6283" spans="1:5" x14ac:dyDescent="0.2">
      <c r="A6283">
        <v>6222</v>
      </c>
      <c r="B6283" s="138">
        <f>'Acct Summary 7-8'!J83</f>
        <v>-0.10020869742267166</v>
      </c>
      <c r="D6283" s="2" t="str">
        <f t="shared" si="97"/>
        <v>Error?</v>
      </c>
      <c r="E6283" s="2" t="s">
        <v>199</v>
      </c>
    </row>
    <row r="6284" spans="1:5" x14ac:dyDescent="0.2">
      <c r="A6284">
        <v>6223</v>
      </c>
      <c r="B6284" s="138">
        <f>'Acct Summary 7-8'!K83</f>
        <v>0.30736471486728756</v>
      </c>
      <c r="D6284" s="2" t="str">
        <f t="shared" si="97"/>
        <v>Error?</v>
      </c>
      <c r="E6284" s="2" t="s">
        <v>199</v>
      </c>
    </row>
    <row r="6285" spans="1:5" x14ac:dyDescent="0.2">
      <c r="A6285">
        <v>6224</v>
      </c>
      <c r="B6285" s="138">
        <f>'Acct Summary 7-8'!E37</f>
        <v>0</v>
      </c>
      <c r="D6285" s="2" t="str">
        <f t="shared" si="97"/>
        <v>Error?</v>
      </c>
      <c r="E6285" s="2" t="s">
        <v>199</v>
      </c>
    </row>
    <row r="6286" spans="1:5" x14ac:dyDescent="0.2">
      <c r="A6286">
        <v>6225</v>
      </c>
      <c r="B6286" s="138">
        <f>'Acct Summary 7-8'!E38</f>
        <v>0</v>
      </c>
      <c r="D6286" s="2" t="str">
        <f t="shared" si="97"/>
        <v>Error?</v>
      </c>
      <c r="E6286" s="2" t="s">
        <v>199</v>
      </c>
    </row>
    <row r="6287" spans="1:5" x14ac:dyDescent="0.2">
      <c r="A6287">
        <v>6226</v>
      </c>
      <c r="B6287" s="138">
        <f>'Acct Summary 7-8'!E39</f>
        <v>0</v>
      </c>
      <c r="D6287" s="2" t="str">
        <f t="shared" si="97"/>
        <v>Error?</v>
      </c>
      <c r="E6287" s="2" t="s">
        <v>199</v>
      </c>
    </row>
    <row r="6288" spans="1:5" x14ac:dyDescent="0.2">
      <c r="A6288">
        <v>6227</v>
      </c>
      <c r="B6288" s="138">
        <f>'Acct Summary 7-8'!E40</f>
        <v>0</v>
      </c>
      <c r="D6288" s="2" t="str">
        <f t="shared" si="97"/>
        <v>Error?</v>
      </c>
      <c r="E6288" s="2" t="s">
        <v>199</v>
      </c>
    </row>
    <row r="6289" spans="1:5" x14ac:dyDescent="0.2">
      <c r="A6289">
        <v>6228</v>
      </c>
      <c r="B6289" s="138">
        <f>'Acct Summary 7-8'!H41</f>
        <v>0</v>
      </c>
      <c r="D6289" s="2" t="str">
        <f t="shared" si="97"/>
        <v>Error?</v>
      </c>
      <c r="E6289" s="2" t="s">
        <v>199</v>
      </c>
    </row>
    <row r="6290" spans="1:5" x14ac:dyDescent="0.2">
      <c r="A6290">
        <v>6229</v>
      </c>
      <c r="B6290" s="138">
        <f>'Acct Summary 7-8'!C42</f>
        <v>0</v>
      </c>
      <c r="D6290" s="2" t="str">
        <f t="shared" si="97"/>
        <v>Error?</v>
      </c>
      <c r="E6290" s="2" t="s">
        <v>199</v>
      </c>
    </row>
    <row r="6291" spans="1:5" x14ac:dyDescent="0.2">
      <c r="A6291">
        <v>6230</v>
      </c>
      <c r="B6291" s="138">
        <f>'Acct Summary 7-8'!D42</f>
        <v>0</v>
      </c>
      <c r="D6291" s="2" t="str">
        <f t="shared" si="97"/>
        <v>Error?</v>
      </c>
      <c r="E6291" s="2" t="s">
        <v>199</v>
      </c>
    </row>
    <row r="6292" spans="1:5" x14ac:dyDescent="0.2">
      <c r="A6292">
        <v>6231</v>
      </c>
      <c r="B6292" s="138">
        <f>'Acct Summary 7-8'!E42</f>
        <v>0</v>
      </c>
      <c r="D6292" s="2" t="str">
        <f t="shared" si="97"/>
        <v>Error?</v>
      </c>
      <c r="E6292" s="2" t="s">
        <v>199</v>
      </c>
    </row>
    <row r="6293" spans="1:5" x14ac:dyDescent="0.2">
      <c r="A6293">
        <v>6232</v>
      </c>
      <c r="B6293" s="138">
        <f>'Acct Summary 7-8'!F42</f>
        <v>0</v>
      </c>
      <c r="D6293" s="2" t="str">
        <f t="shared" si="97"/>
        <v>Error?</v>
      </c>
      <c r="E6293" s="2" t="s">
        <v>199</v>
      </c>
    </row>
    <row r="6294" spans="1:5" x14ac:dyDescent="0.2">
      <c r="A6294">
        <v>6233</v>
      </c>
      <c r="B6294" s="138">
        <f>'Acct Summary 7-8'!G42</f>
        <v>0</v>
      </c>
      <c r="D6294" s="2" t="str">
        <f t="shared" si="97"/>
        <v>Error?</v>
      </c>
      <c r="E6294" s="2" t="s">
        <v>199</v>
      </c>
    </row>
    <row r="6295" spans="1:5" x14ac:dyDescent="0.2">
      <c r="A6295">
        <v>6234</v>
      </c>
      <c r="B6295" s="138">
        <f>'Acct Summary 7-8'!H42</f>
        <v>0</v>
      </c>
      <c r="D6295" s="2" t="str">
        <f t="shared" si="97"/>
        <v>Error?</v>
      </c>
      <c r="E6295" s="2" t="s">
        <v>199</v>
      </c>
    </row>
    <row r="6296" spans="1:5" x14ac:dyDescent="0.2">
      <c r="A6296">
        <v>6235</v>
      </c>
      <c r="B6296" s="138">
        <f>'Acct Summary 7-8'!K42</f>
        <v>0</v>
      </c>
      <c r="D6296" s="2" t="str">
        <f t="shared" si="97"/>
        <v>Error?</v>
      </c>
      <c r="E6296" s="2" t="s">
        <v>199</v>
      </c>
    </row>
    <row r="6297" spans="1:5" x14ac:dyDescent="0.2">
      <c r="A6297">
        <v>6236</v>
      </c>
      <c r="B6297" s="138">
        <f>'Assets-Liab 5-6'!M15</f>
        <v>0</v>
      </c>
      <c r="D6297" s="2" t="str">
        <f t="shared" si="97"/>
        <v>Error?</v>
      </c>
      <c r="E6297" s="2" t="s">
        <v>199</v>
      </c>
    </row>
    <row r="6298" spans="1:5" x14ac:dyDescent="0.2">
      <c r="A6298">
        <v>6237</v>
      </c>
      <c r="B6298" s="138">
        <f>'Revenues 9-14'!J5</f>
        <v>282057</v>
      </c>
      <c r="D6298" s="2" t="str">
        <f t="shared" si="97"/>
        <v>Error?</v>
      </c>
      <c r="E6298" s="2" t="s">
        <v>199</v>
      </c>
    </row>
    <row r="6299" spans="1:5" x14ac:dyDescent="0.2">
      <c r="A6299">
        <v>6238</v>
      </c>
      <c r="B6299" s="138">
        <f>'Revenues 9-14'!H7</f>
        <v>0</v>
      </c>
      <c r="D6299" s="2" t="str">
        <f t="shared" si="97"/>
        <v>Error?</v>
      </c>
      <c r="E6299" s="2" t="s">
        <v>199</v>
      </c>
    </row>
    <row r="6300" spans="1:5" x14ac:dyDescent="0.2">
      <c r="A6300">
        <v>6239</v>
      </c>
      <c r="B6300" s="138">
        <f>'Revenues 9-14'!J11</f>
        <v>0</v>
      </c>
      <c r="D6300" s="2" t="str">
        <f t="shared" si="97"/>
        <v>Error?</v>
      </c>
      <c r="E6300" s="2" t="s">
        <v>199</v>
      </c>
    </row>
    <row r="6301" spans="1:5" x14ac:dyDescent="0.2">
      <c r="A6301">
        <v>6240</v>
      </c>
      <c r="B6301" s="138">
        <f>'Revenues 9-14'!J12</f>
        <v>282057</v>
      </c>
      <c r="D6301" s="2" t="str">
        <f t="shared" si="97"/>
        <v>Error?</v>
      </c>
      <c r="E6301" s="2" t="s">
        <v>199</v>
      </c>
    </row>
    <row r="6302" spans="1:5" x14ac:dyDescent="0.2">
      <c r="A6302">
        <v>6241</v>
      </c>
      <c r="B6302" s="138">
        <f>'Revenues 9-14'!J14</f>
        <v>600</v>
      </c>
      <c r="D6302" s="2" t="str">
        <f t="shared" si="97"/>
        <v>Error?</v>
      </c>
      <c r="E6302" s="2" t="s">
        <v>199</v>
      </c>
    </row>
    <row r="6303" spans="1:5" x14ac:dyDescent="0.2">
      <c r="A6303">
        <v>6242</v>
      </c>
      <c r="B6303" s="138">
        <f>'Revenues 9-14'!J15</f>
        <v>789</v>
      </c>
      <c r="D6303" s="2" t="str">
        <f t="shared" si="97"/>
        <v>Error?</v>
      </c>
      <c r="E6303" s="2" t="s">
        <v>199</v>
      </c>
    </row>
    <row r="6304" spans="1:5" x14ac:dyDescent="0.2">
      <c r="A6304">
        <v>6243</v>
      </c>
      <c r="B6304" s="138">
        <f>'Revenues 9-14'!J16</f>
        <v>0</v>
      </c>
      <c r="D6304" s="2" t="str">
        <f t="shared" si="97"/>
        <v>Error?</v>
      </c>
      <c r="E6304" s="2" t="s">
        <v>199</v>
      </c>
    </row>
    <row r="6305" spans="1:5" x14ac:dyDescent="0.2">
      <c r="A6305">
        <v>6244</v>
      </c>
      <c r="B6305" s="138">
        <f>'Revenues 9-14'!J17</f>
        <v>0</v>
      </c>
      <c r="D6305" s="2" t="str">
        <f t="shared" si="97"/>
        <v>Error?</v>
      </c>
      <c r="E6305" s="2" t="s">
        <v>199</v>
      </c>
    </row>
    <row r="6306" spans="1:5" x14ac:dyDescent="0.2">
      <c r="A6306">
        <v>6245</v>
      </c>
      <c r="B6306" s="138">
        <f>'Revenues 9-14'!J18</f>
        <v>1389</v>
      </c>
      <c r="D6306" s="2" t="str">
        <f t="shared" si="97"/>
        <v>Error?</v>
      </c>
      <c r="E6306" s="2" t="s">
        <v>199</v>
      </c>
    </row>
    <row r="6307" spans="1:5" x14ac:dyDescent="0.2">
      <c r="A6307">
        <v>6246</v>
      </c>
      <c r="B6307" s="138">
        <f>'Revenues 9-14'!C23</f>
        <v>0</v>
      </c>
      <c r="D6307" s="2" t="str">
        <f t="shared" si="97"/>
        <v>Error?</v>
      </c>
      <c r="E6307" s="2" t="s">
        <v>199</v>
      </c>
    </row>
    <row r="6308" spans="1:5" x14ac:dyDescent="0.2">
      <c r="A6308">
        <v>6247</v>
      </c>
      <c r="B6308" s="138">
        <f>'Revenues 9-14'!C27</f>
        <v>0</v>
      </c>
      <c r="D6308" s="2" t="str">
        <f t="shared" si="97"/>
        <v>Error?</v>
      </c>
      <c r="E6308" s="2" t="s">
        <v>199</v>
      </c>
    </row>
    <row r="6309" spans="1:5" x14ac:dyDescent="0.2">
      <c r="A6309">
        <v>6248</v>
      </c>
      <c r="B6309" s="138">
        <f>'Revenues 9-14'!C31</f>
        <v>0</v>
      </c>
      <c r="D6309" s="2" t="str">
        <f t="shared" si="97"/>
        <v>Error?</v>
      </c>
      <c r="E6309" s="2" t="s">
        <v>199</v>
      </c>
    </row>
    <row r="6310" spans="1:5" x14ac:dyDescent="0.2">
      <c r="A6310">
        <v>6249</v>
      </c>
      <c r="B6310" s="138">
        <f>'Revenues 9-14'!C35</f>
        <v>0</v>
      </c>
      <c r="D6310" s="2" t="str">
        <f t="shared" si="97"/>
        <v>Error?</v>
      </c>
      <c r="E6310" s="2" t="s">
        <v>199</v>
      </c>
    </row>
    <row r="6311" spans="1:5" x14ac:dyDescent="0.2">
      <c r="A6311">
        <v>6250</v>
      </c>
      <c r="B6311" s="138">
        <f>'Revenues 9-14'!C39</f>
        <v>0</v>
      </c>
      <c r="D6311" s="2" t="str">
        <f t="shared" si="97"/>
        <v>Error?</v>
      </c>
      <c r="E6311" s="2" t="s">
        <v>199</v>
      </c>
    </row>
    <row r="6312" spans="1:5" x14ac:dyDescent="0.2">
      <c r="A6312">
        <v>6251</v>
      </c>
      <c r="B6312" s="138">
        <f>'Revenues 9-14'!F46</f>
        <v>0</v>
      </c>
      <c r="D6312" s="2" t="str">
        <f t="shared" si="97"/>
        <v>Error?</v>
      </c>
      <c r="E6312" s="2" t="s">
        <v>199</v>
      </c>
    </row>
    <row r="6313" spans="1:5" x14ac:dyDescent="0.2">
      <c r="A6313">
        <v>6252</v>
      </c>
      <c r="B6313" s="138">
        <f>'Revenues 9-14'!F50</f>
        <v>0</v>
      </c>
      <c r="D6313" s="2" t="str">
        <f t="shared" si="97"/>
        <v>Error?</v>
      </c>
      <c r="E6313" s="2" t="s">
        <v>199</v>
      </c>
    </row>
    <row r="6314" spans="1:5" x14ac:dyDescent="0.2">
      <c r="A6314">
        <v>6253</v>
      </c>
      <c r="B6314" s="138">
        <f>'Revenues 9-14'!F54</f>
        <v>0</v>
      </c>
      <c r="D6314" s="2" t="str">
        <f t="shared" si="97"/>
        <v>Error?</v>
      </c>
      <c r="E6314" s="2" t="s">
        <v>199</v>
      </c>
    </row>
    <row r="6315" spans="1:5" x14ac:dyDescent="0.2">
      <c r="A6315">
        <v>6254</v>
      </c>
      <c r="B6315" s="138">
        <f>'Revenues 9-14'!F62</f>
        <v>0</v>
      </c>
      <c r="D6315" s="2" t="str">
        <f t="shared" si="97"/>
        <v>Error?</v>
      </c>
      <c r="E6315" s="2" t="s">
        <v>199</v>
      </c>
    </row>
    <row r="6316" spans="1:5" x14ac:dyDescent="0.2">
      <c r="A6316">
        <v>6255</v>
      </c>
      <c r="B6316" s="138">
        <f>'Revenues 9-14'!J65</f>
        <v>124</v>
      </c>
      <c r="D6316" s="2" t="str">
        <f t="shared" si="97"/>
        <v>Error?</v>
      </c>
      <c r="E6316" s="2" t="s">
        <v>199</v>
      </c>
    </row>
    <row r="6317" spans="1:5" x14ac:dyDescent="0.2">
      <c r="A6317">
        <v>6256</v>
      </c>
      <c r="B6317" s="138">
        <f>'Revenues 9-14'!J66</f>
        <v>0</v>
      </c>
      <c r="D6317" s="2" t="str">
        <f t="shared" si="97"/>
        <v>Error?</v>
      </c>
      <c r="E6317" s="2" t="s">
        <v>199</v>
      </c>
    </row>
    <row r="6318" spans="1:5" x14ac:dyDescent="0.2">
      <c r="A6318">
        <v>6257</v>
      </c>
      <c r="B6318" s="138">
        <f>'Revenues 9-14'!J67</f>
        <v>124</v>
      </c>
      <c r="D6318" s="2" t="str">
        <f t="shared" si="97"/>
        <v>Error?</v>
      </c>
      <c r="E6318" s="2" t="s">
        <v>199</v>
      </c>
    </row>
    <row r="6319" spans="1:5" x14ac:dyDescent="0.2">
      <c r="A6319">
        <v>6258</v>
      </c>
      <c r="B6319" s="138">
        <f>'Revenues 9-14'!J96</f>
        <v>0</v>
      </c>
      <c r="D6319" s="2" t="str">
        <f t="shared" si="97"/>
        <v>Error?</v>
      </c>
      <c r="E6319" s="2" t="s">
        <v>199</v>
      </c>
    </row>
    <row r="6320" spans="1:5" x14ac:dyDescent="0.2">
      <c r="A6320">
        <v>6259</v>
      </c>
      <c r="B6320" s="138">
        <f>'Revenues 9-14'!C97</f>
        <v>0</v>
      </c>
      <c r="D6320" s="2" t="str">
        <f t="shared" si="97"/>
        <v>Error?</v>
      </c>
      <c r="E6320" s="2" t="s">
        <v>199</v>
      </c>
    </row>
    <row r="6321" spans="1:5" x14ac:dyDescent="0.2">
      <c r="A6321">
        <v>6260</v>
      </c>
      <c r="B6321" s="138">
        <f>'Revenues 9-14'!D97</f>
        <v>0</v>
      </c>
      <c r="D6321" s="2" t="str">
        <f t="shared" si="97"/>
        <v>Error?</v>
      </c>
      <c r="E6321" s="2" t="s">
        <v>199</v>
      </c>
    </row>
    <row r="6322" spans="1:5" x14ac:dyDescent="0.2">
      <c r="A6322">
        <v>6261</v>
      </c>
      <c r="B6322" s="138">
        <f>'Revenues 9-14'!E97</f>
        <v>0</v>
      </c>
      <c r="D6322" s="2" t="str">
        <f t="shared" si="97"/>
        <v>Error?</v>
      </c>
      <c r="E6322" s="2" t="s">
        <v>199</v>
      </c>
    </row>
    <row r="6323" spans="1:5" x14ac:dyDescent="0.2">
      <c r="A6323">
        <v>6262</v>
      </c>
      <c r="B6323" s="138">
        <f>'Revenues 9-14'!F97</f>
        <v>0</v>
      </c>
      <c r="D6323" s="2" t="str">
        <f t="shared" si="97"/>
        <v>Error?</v>
      </c>
      <c r="E6323" s="2" t="s">
        <v>199</v>
      </c>
    </row>
    <row r="6324" spans="1:5" x14ac:dyDescent="0.2">
      <c r="A6324">
        <v>6263</v>
      </c>
      <c r="B6324" s="138">
        <f>'Revenues 9-14'!G97</f>
        <v>0</v>
      </c>
      <c r="D6324" s="2" t="str">
        <f t="shared" si="97"/>
        <v>Error?</v>
      </c>
      <c r="E6324" s="2" t="s">
        <v>199</v>
      </c>
    </row>
    <row r="6325" spans="1:5" x14ac:dyDescent="0.2">
      <c r="A6325">
        <v>6264</v>
      </c>
      <c r="B6325" s="138">
        <f>'Revenues 9-14'!H97</f>
        <v>0</v>
      </c>
      <c r="D6325" s="2" t="str">
        <f t="shared" si="97"/>
        <v>Error?</v>
      </c>
      <c r="E6325" s="2" t="s">
        <v>199</v>
      </c>
    </row>
    <row r="6326" spans="1:5" x14ac:dyDescent="0.2">
      <c r="A6326">
        <v>6265</v>
      </c>
      <c r="B6326" s="138">
        <f>'Revenues 9-14'!I97</f>
        <v>0</v>
      </c>
      <c r="D6326" s="2" t="str">
        <f t="shared" si="97"/>
        <v>Error?</v>
      </c>
      <c r="E6326" s="2" t="s">
        <v>199</v>
      </c>
    </row>
    <row r="6327" spans="1:5" x14ac:dyDescent="0.2">
      <c r="A6327">
        <v>6266</v>
      </c>
      <c r="B6327" s="138">
        <f>'Revenues 9-14'!J97</f>
        <v>0</v>
      </c>
      <c r="D6327" s="2" t="str">
        <f t="shared" si="97"/>
        <v>Error?</v>
      </c>
      <c r="E6327" s="2" t="s">
        <v>199</v>
      </c>
    </row>
    <row r="6328" spans="1:5" x14ac:dyDescent="0.2">
      <c r="A6328">
        <v>6267</v>
      </c>
      <c r="B6328" s="138">
        <f>'Revenues 9-14'!K97</f>
        <v>0</v>
      </c>
      <c r="D6328" s="2" t="str">
        <f t="shared" si="97"/>
        <v>Error?</v>
      </c>
      <c r="E6328" s="2" t="s">
        <v>199</v>
      </c>
    </row>
    <row r="6329" spans="1:5" x14ac:dyDescent="0.2">
      <c r="A6329">
        <v>6268</v>
      </c>
      <c r="B6329" s="138">
        <f>'Revenues 9-14'!J99</f>
        <v>0</v>
      </c>
      <c r="D6329" s="2" t="str">
        <f t="shared" si="97"/>
        <v>Error?</v>
      </c>
      <c r="E6329" s="2" t="s">
        <v>199</v>
      </c>
    </row>
    <row r="6330" spans="1:5" x14ac:dyDescent="0.2">
      <c r="A6330">
        <v>6269</v>
      </c>
      <c r="B6330" s="138">
        <f>'Revenues 9-14'!C100</f>
        <v>0</v>
      </c>
      <c r="D6330" s="2" t="str">
        <f t="shared" si="97"/>
        <v>Error?</v>
      </c>
      <c r="E6330" s="2" t="s">
        <v>199</v>
      </c>
    </row>
    <row r="6331" spans="1:5" x14ac:dyDescent="0.2">
      <c r="A6331">
        <v>6270</v>
      </c>
      <c r="B6331" s="138">
        <f>'Revenues 9-14'!D100</f>
        <v>293294</v>
      </c>
      <c r="D6331" s="2" t="str">
        <f t="shared" si="97"/>
        <v>Error?</v>
      </c>
      <c r="E6331" s="2" t="s">
        <v>199</v>
      </c>
    </row>
    <row r="6332" spans="1:5" x14ac:dyDescent="0.2">
      <c r="A6332">
        <v>6271</v>
      </c>
      <c r="B6332" s="138">
        <f>'Revenues 9-14'!E100</f>
        <v>0</v>
      </c>
      <c r="D6332" s="2" t="str">
        <f t="shared" si="97"/>
        <v>Error?</v>
      </c>
      <c r="E6332" s="2" t="s">
        <v>199</v>
      </c>
    </row>
    <row r="6333" spans="1:5" x14ac:dyDescent="0.2">
      <c r="A6333">
        <v>6272</v>
      </c>
      <c r="B6333" s="138">
        <f>'Revenues 9-14'!F100</f>
        <v>0</v>
      </c>
      <c r="D6333" s="2" t="str">
        <f t="shared" si="97"/>
        <v>Error?</v>
      </c>
      <c r="E6333" s="2" t="s">
        <v>199</v>
      </c>
    </row>
    <row r="6334" spans="1:5" x14ac:dyDescent="0.2">
      <c r="A6334">
        <v>6273</v>
      </c>
      <c r="B6334" s="138">
        <f>'Revenues 9-14'!G100</f>
        <v>0</v>
      </c>
      <c r="D6334" s="2" t="str">
        <f t="shared" si="97"/>
        <v>Error?</v>
      </c>
      <c r="E6334" s="2" t="s">
        <v>199</v>
      </c>
    </row>
    <row r="6335" spans="1:5" x14ac:dyDescent="0.2">
      <c r="A6335">
        <v>6274</v>
      </c>
      <c r="B6335" s="138">
        <f>'Revenues 9-14'!H100</f>
        <v>0</v>
      </c>
      <c r="D6335" s="2" t="str">
        <f t="shared" ref="D6335:D6398" si="98">IF(ISBLANK(B6335),"OK",IF(A6335-B6335=0,"OK","Error?"))</f>
        <v>Error?</v>
      </c>
      <c r="E6335" s="2" t="s">
        <v>199</v>
      </c>
    </row>
    <row r="6336" spans="1:5" x14ac:dyDescent="0.2">
      <c r="A6336">
        <v>6275</v>
      </c>
      <c r="B6336" s="138">
        <f>'Revenues 9-14'!I100</f>
        <v>0</v>
      </c>
      <c r="D6336" s="2" t="str">
        <f t="shared" si="98"/>
        <v>Error?</v>
      </c>
      <c r="E6336" s="2" t="s">
        <v>199</v>
      </c>
    </row>
    <row r="6337" spans="1:5" x14ac:dyDescent="0.2">
      <c r="A6337">
        <v>6276</v>
      </c>
      <c r="B6337" s="138">
        <f>'Revenues 9-14'!J100</f>
        <v>0</v>
      </c>
      <c r="D6337" s="2" t="str">
        <f t="shared" si="98"/>
        <v>Error?</v>
      </c>
      <c r="E6337" s="2" t="s">
        <v>199</v>
      </c>
    </row>
    <row r="6338" spans="1:5" x14ac:dyDescent="0.2">
      <c r="A6338">
        <v>6277</v>
      </c>
      <c r="B6338" s="138">
        <f>'Revenues 9-14'!K100</f>
        <v>0</v>
      </c>
      <c r="D6338" s="2" t="str">
        <f t="shared" si="98"/>
        <v>Error?</v>
      </c>
      <c r="E6338" s="2" t="s">
        <v>199</v>
      </c>
    </row>
    <row r="6339" spans="1:5" x14ac:dyDescent="0.2">
      <c r="A6339">
        <v>6278</v>
      </c>
      <c r="B6339" s="138">
        <f>'Revenues 9-14'!C101</f>
        <v>0</v>
      </c>
      <c r="D6339" s="2" t="str">
        <f t="shared" si="98"/>
        <v>Error?</v>
      </c>
      <c r="E6339" s="2" t="s">
        <v>199</v>
      </c>
    </row>
    <row r="6340" spans="1:5" x14ac:dyDescent="0.2">
      <c r="A6340">
        <v>6279</v>
      </c>
      <c r="B6340" s="138">
        <f>'Revenues 9-14'!C102</f>
        <v>0</v>
      </c>
      <c r="D6340" s="2" t="str">
        <f t="shared" si="98"/>
        <v>Error?</v>
      </c>
      <c r="E6340" s="2" t="s">
        <v>199</v>
      </c>
    </row>
    <row r="6341" spans="1:5" x14ac:dyDescent="0.2">
      <c r="A6341">
        <v>6280</v>
      </c>
      <c r="B6341" s="138">
        <f>'Revenues 9-14'!D102</f>
        <v>0</v>
      </c>
      <c r="D6341" s="2" t="str">
        <f t="shared" si="98"/>
        <v>Error?</v>
      </c>
      <c r="E6341" s="2" t="s">
        <v>199</v>
      </c>
    </row>
    <row r="6342" spans="1:5" x14ac:dyDescent="0.2">
      <c r="A6342">
        <v>6281</v>
      </c>
      <c r="B6342" s="138">
        <f>'Revenues 9-14'!E102</f>
        <v>0</v>
      </c>
      <c r="D6342" s="2" t="str">
        <f t="shared" si="98"/>
        <v>Error?</v>
      </c>
      <c r="E6342" s="2" t="s">
        <v>199</v>
      </c>
    </row>
    <row r="6343" spans="1:5" x14ac:dyDescent="0.2">
      <c r="A6343">
        <v>6282</v>
      </c>
      <c r="B6343" s="138">
        <f>'Revenues 9-14'!F102</f>
        <v>0</v>
      </c>
      <c r="D6343" s="2" t="str">
        <f t="shared" si="98"/>
        <v>Error?</v>
      </c>
      <c r="E6343" s="2" t="s">
        <v>199</v>
      </c>
    </row>
    <row r="6344" spans="1:5" x14ac:dyDescent="0.2">
      <c r="A6344">
        <v>6283</v>
      </c>
      <c r="B6344" s="138">
        <f>'Revenues 9-14'!G102</f>
        <v>0</v>
      </c>
      <c r="D6344" s="2" t="str">
        <f t="shared" si="98"/>
        <v>Error?</v>
      </c>
      <c r="E6344" s="2" t="s">
        <v>199</v>
      </c>
    </row>
    <row r="6345" spans="1:5" x14ac:dyDescent="0.2">
      <c r="A6345">
        <v>6284</v>
      </c>
      <c r="B6345" s="138">
        <f>'Revenues 9-14'!H102</f>
        <v>0</v>
      </c>
      <c r="D6345" s="2" t="str">
        <f t="shared" si="98"/>
        <v>Error?</v>
      </c>
      <c r="E6345" s="2" t="s">
        <v>199</v>
      </c>
    </row>
    <row r="6346" spans="1:5" x14ac:dyDescent="0.2">
      <c r="A6346">
        <v>6285</v>
      </c>
      <c r="B6346" s="138">
        <f>'Revenues 9-14'!I102</f>
        <v>0</v>
      </c>
      <c r="D6346" s="2" t="str">
        <f t="shared" si="98"/>
        <v>Error?</v>
      </c>
      <c r="E6346" s="2" t="s">
        <v>199</v>
      </c>
    </row>
    <row r="6347" spans="1:5" x14ac:dyDescent="0.2">
      <c r="A6347">
        <v>6286</v>
      </c>
      <c r="B6347" s="138">
        <f>'Revenues 9-14'!J102</f>
        <v>0</v>
      </c>
      <c r="D6347" s="2" t="str">
        <f t="shared" si="98"/>
        <v>Error?</v>
      </c>
      <c r="E6347" s="2" t="s">
        <v>199</v>
      </c>
    </row>
    <row r="6348" spans="1:5" x14ac:dyDescent="0.2">
      <c r="A6348">
        <v>6287</v>
      </c>
      <c r="B6348" s="138">
        <f>'Revenues 9-14'!K102</f>
        <v>0</v>
      </c>
      <c r="D6348" s="2" t="str">
        <f t="shared" si="98"/>
        <v>Error?</v>
      </c>
      <c r="E6348" s="2" t="s">
        <v>199</v>
      </c>
    </row>
    <row r="6349" spans="1:5" x14ac:dyDescent="0.2">
      <c r="A6349">
        <v>6288</v>
      </c>
      <c r="B6349" s="138">
        <f>'Revenues 9-14'!G104</f>
        <v>0</v>
      </c>
      <c r="D6349" s="2" t="str">
        <f t="shared" si="98"/>
        <v>Error?</v>
      </c>
      <c r="E6349" s="2" t="s">
        <v>199</v>
      </c>
    </row>
    <row r="6350" spans="1:5" x14ac:dyDescent="0.2">
      <c r="A6350">
        <v>6289</v>
      </c>
      <c r="B6350" s="138">
        <f>'Revenues 9-14'!J107</f>
        <v>4561</v>
      </c>
      <c r="D6350" s="2" t="str">
        <f t="shared" si="98"/>
        <v>Error?</v>
      </c>
      <c r="E6350" s="2" t="s">
        <v>199</v>
      </c>
    </row>
    <row r="6351" spans="1:5" x14ac:dyDescent="0.2">
      <c r="A6351">
        <v>6290</v>
      </c>
      <c r="B6351" s="138">
        <f>'Revenues 9-14'!J108</f>
        <v>4561</v>
      </c>
      <c r="D6351" s="2" t="str">
        <f t="shared" si="98"/>
        <v>Error?</v>
      </c>
      <c r="E6351" s="2" t="s">
        <v>199</v>
      </c>
    </row>
    <row r="6352" spans="1:5" x14ac:dyDescent="0.2">
      <c r="A6352">
        <v>6291</v>
      </c>
      <c r="B6352" s="138">
        <f>'Revenues 9-14'!J109</f>
        <v>288131</v>
      </c>
      <c r="D6352" s="2" t="str">
        <f t="shared" si="98"/>
        <v>Error?</v>
      </c>
      <c r="E6352" s="2" t="s">
        <v>199</v>
      </c>
    </row>
    <row r="6353" spans="1:5" x14ac:dyDescent="0.2">
      <c r="A6353">
        <v>6292</v>
      </c>
      <c r="B6353" s="138">
        <f>'Revenues 9-14'!J117</f>
        <v>0</v>
      </c>
      <c r="D6353" s="2" t="str">
        <f t="shared" si="98"/>
        <v>Error?</v>
      </c>
      <c r="E6353" s="2" t="s">
        <v>199</v>
      </c>
    </row>
    <row r="6354" spans="1:5" x14ac:dyDescent="0.2">
      <c r="A6354">
        <v>6293</v>
      </c>
      <c r="B6354" s="138">
        <f>'Revenues 9-14'!J118</f>
        <v>0</v>
      </c>
      <c r="D6354" s="2" t="str">
        <f t="shared" si="98"/>
        <v>Error?</v>
      </c>
      <c r="E6354" s="2" t="s">
        <v>199</v>
      </c>
    </row>
    <row r="6355" spans="1:5" x14ac:dyDescent="0.2">
      <c r="A6355">
        <v>6294</v>
      </c>
      <c r="B6355" s="138">
        <f>'Revenues 9-14'!J119</f>
        <v>0</v>
      </c>
      <c r="D6355" s="2" t="str">
        <f t="shared" si="98"/>
        <v>Error?</v>
      </c>
      <c r="E6355" s="2" t="s">
        <v>199</v>
      </c>
    </row>
    <row r="6356" spans="1:5" x14ac:dyDescent="0.2">
      <c r="A6356">
        <v>6295</v>
      </c>
      <c r="B6356" s="138">
        <f>'Revenues 9-14'!J120</f>
        <v>0</v>
      </c>
      <c r="D6356" s="2" t="str">
        <f t="shared" si="98"/>
        <v>Error?</v>
      </c>
      <c r="E6356" s="2" t="s">
        <v>199</v>
      </c>
    </row>
    <row r="6357" spans="1:5" x14ac:dyDescent="0.2">
      <c r="A6357">
        <v>6296</v>
      </c>
      <c r="B6357" s="138">
        <f>'Revenues 9-14'!J121</f>
        <v>0</v>
      </c>
      <c r="D6357" s="2" t="str">
        <f t="shared" si="98"/>
        <v>Error?</v>
      </c>
      <c r="E6357" s="2" t="s">
        <v>199</v>
      </c>
    </row>
    <row r="6358" spans="1:5" x14ac:dyDescent="0.2">
      <c r="A6358">
        <v>6297</v>
      </c>
      <c r="B6358" s="138">
        <f>'Revenues 9-14'!G134</f>
        <v>0</v>
      </c>
      <c r="D6358" s="2" t="str">
        <f t="shared" si="98"/>
        <v>Error?</v>
      </c>
      <c r="E6358" s="2" t="s">
        <v>199</v>
      </c>
    </row>
    <row r="6359" spans="1:5" x14ac:dyDescent="0.2">
      <c r="A6359">
        <v>6298</v>
      </c>
      <c r="B6359" s="138">
        <f>'Revenues 9-14'!C136</f>
        <v>0</v>
      </c>
      <c r="D6359" s="2" t="str">
        <f t="shared" si="98"/>
        <v>Error?</v>
      </c>
      <c r="E6359" s="2" t="s">
        <v>199</v>
      </c>
    </row>
    <row r="6360" spans="1:5" x14ac:dyDescent="0.2">
      <c r="A6360">
        <v>6299</v>
      </c>
      <c r="B6360" s="138">
        <f>'Revenues 9-14'!D136</f>
        <v>0</v>
      </c>
      <c r="D6360" s="2" t="str">
        <f t="shared" si="98"/>
        <v>Error?</v>
      </c>
      <c r="E6360" s="2" t="s">
        <v>199</v>
      </c>
    </row>
    <row r="6361" spans="1:5" x14ac:dyDescent="0.2">
      <c r="A6361">
        <v>6300</v>
      </c>
      <c r="B6361" s="138">
        <f>'Revenues 9-14'!G136</f>
        <v>0</v>
      </c>
      <c r="D6361" s="2" t="str">
        <f t="shared" si="98"/>
        <v>Error?</v>
      </c>
      <c r="E6361" s="2" t="s">
        <v>199</v>
      </c>
    </row>
    <row r="6362" spans="1:5" x14ac:dyDescent="0.2">
      <c r="A6362">
        <v>6301</v>
      </c>
      <c r="B6362" s="138">
        <f>'Revenues 9-14'!C137</f>
        <v>0</v>
      </c>
      <c r="D6362" s="2" t="str">
        <f t="shared" si="98"/>
        <v>Error?</v>
      </c>
      <c r="E6362" s="2" t="s">
        <v>199</v>
      </c>
    </row>
    <row r="6363" spans="1:5" x14ac:dyDescent="0.2">
      <c r="A6363">
        <v>6302</v>
      </c>
      <c r="B6363" s="138">
        <f>'Revenues 9-14'!D137</f>
        <v>0</v>
      </c>
      <c r="D6363" s="2" t="str">
        <f t="shared" si="98"/>
        <v>Error?</v>
      </c>
      <c r="E6363" s="2" t="s">
        <v>199</v>
      </c>
    </row>
    <row r="6364" spans="1:5" x14ac:dyDescent="0.2">
      <c r="A6364">
        <v>6303</v>
      </c>
      <c r="B6364" s="138">
        <f>'Revenues 9-14'!G137</f>
        <v>0</v>
      </c>
      <c r="D6364" s="2" t="str">
        <f t="shared" si="98"/>
        <v>Error?</v>
      </c>
      <c r="E6364" s="2" t="s">
        <v>199</v>
      </c>
    </row>
    <row r="6365" spans="1:5" x14ac:dyDescent="0.2">
      <c r="A6365">
        <v>6304</v>
      </c>
      <c r="B6365" s="138">
        <f>'Revenues 9-14'!C138</f>
        <v>0</v>
      </c>
      <c r="D6365" s="2" t="str">
        <f t="shared" si="98"/>
        <v>Error?</v>
      </c>
      <c r="E6365" s="2" t="s">
        <v>199</v>
      </c>
    </row>
    <row r="6366" spans="1:5" x14ac:dyDescent="0.2">
      <c r="A6366">
        <v>6305</v>
      </c>
      <c r="B6366" s="138">
        <f>'Revenues 9-14'!D138</f>
        <v>0</v>
      </c>
      <c r="D6366" s="2" t="str">
        <f t="shared" si="98"/>
        <v>Error?</v>
      </c>
      <c r="E6366" s="2" t="s">
        <v>199</v>
      </c>
    </row>
    <row r="6367" spans="1:5" x14ac:dyDescent="0.2">
      <c r="A6367">
        <v>6306</v>
      </c>
      <c r="B6367" s="138">
        <f>'Revenues 9-14'!G138</f>
        <v>0</v>
      </c>
      <c r="D6367" s="2" t="str">
        <f t="shared" si="98"/>
        <v>Error?</v>
      </c>
      <c r="E6367" s="2" t="s">
        <v>199</v>
      </c>
    </row>
    <row r="6368" spans="1:5" x14ac:dyDescent="0.2">
      <c r="A6368">
        <v>6307</v>
      </c>
      <c r="B6368" s="138">
        <f>'Revenues 9-14'!E148</f>
        <v>0</v>
      </c>
      <c r="D6368" s="2" t="str">
        <f t="shared" si="98"/>
        <v>Error?</v>
      </c>
      <c r="E6368" s="2" t="s">
        <v>199</v>
      </c>
    </row>
    <row r="6369" spans="1:5" x14ac:dyDescent="0.2">
      <c r="A6369">
        <v>6308</v>
      </c>
      <c r="B6369" s="138">
        <f>'Revenues 9-14'!F148</f>
        <v>0</v>
      </c>
      <c r="D6369" s="2" t="str">
        <f t="shared" si="98"/>
        <v>Error?</v>
      </c>
      <c r="E6369" s="2" t="s">
        <v>199</v>
      </c>
    </row>
    <row r="6370" spans="1:5" x14ac:dyDescent="0.2">
      <c r="A6370">
        <v>6309</v>
      </c>
      <c r="B6370" s="138">
        <f>'Revenues 9-14'!G148</f>
        <v>0</v>
      </c>
      <c r="D6370" s="2" t="str">
        <f t="shared" si="98"/>
        <v>Error?</v>
      </c>
      <c r="E6370" s="2" t="s">
        <v>199</v>
      </c>
    </row>
    <row r="6371" spans="1:5" x14ac:dyDescent="0.2">
      <c r="A6371">
        <v>6310</v>
      </c>
      <c r="B6371" s="138">
        <f>'Revenues 9-14'!H148</f>
        <v>0</v>
      </c>
      <c r="D6371" s="2" t="str">
        <f t="shared" si="98"/>
        <v>Error?</v>
      </c>
      <c r="E6371" s="2" t="s">
        <v>199</v>
      </c>
    </row>
    <row r="6372" spans="1:5" x14ac:dyDescent="0.2">
      <c r="A6372">
        <v>6311</v>
      </c>
      <c r="B6372" s="138">
        <f>'Revenues 9-14'!I148</f>
        <v>0</v>
      </c>
      <c r="D6372" s="2" t="str">
        <f t="shared" si="98"/>
        <v>Error?</v>
      </c>
      <c r="E6372" s="2" t="s">
        <v>199</v>
      </c>
    </row>
    <row r="6373" spans="1:5" x14ac:dyDescent="0.2">
      <c r="A6373">
        <v>6312</v>
      </c>
      <c r="B6373" s="138">
        <f>'Revenues 9-14'!J148</f>
        <v>0</v>
      </c>
      <c r="D6373" s="2" t="str">
        <f t="shared" si="98"/>
        <v>Error?</v>
      </c>
      <c r="E6373" s="2" t="s">
        <v>199</v>
      </c>
    </row>
    <row r="6374" spans="1:5" x14ac:dyDescent="0.2">
      <c r="A6374">
        <v>6313</v>
      </c>
      <c r="B6374" s="138">
        <f>'Revenues 9-14'!K148</f>
        <v>0</v>
      </c>
      <c r="D6374" s="2" t="str">
        <f t="shared" si="98"/>
        <v>Error?</v>
      </c>
      <c r="E6374" s="2" t="s">
        <v>199</v>
      </c>
    </row>
    <row r="6375" spans="1:5" x14ac:dyDescent="0.2">
      <c r="A6375">
        <v>6314</v>
      </c>
      <c r="B6375" s="138">
        <f>'Revenues 9-14'!E149</f>
        <v>0</v>
      </c>
      <c r="D6375" s="2" t="str">
        <f t="shared" si="98"/>
        <v>Error?</v>
      </c>
      <c r="E6375" s="2" t="s">
        <v>199</v>
      </c>
    </row>
    <row r="6376" spans="1:5" x14ac:dyDescent="0.2">
      <c r="A6376">
        <v>6315</v>
      </c>
      <c r="B6376" s="138">
        <f>'Revenues 9-14'!H149</f>
        <v>0</v>
      </c>
      <c r="D6376" s="2" t="str">
        <f t="shared" si="98"/>
        <v>Error?</v>
      </c>
      <c r="E6376" s="2" t="s">
        <v>199</v>
      </c>
    </row>
    <row r="6377" spans="1:5" x14ac:dyDescent="0.2">
      <c r="A6377">
        <v>6316</v>
      </c>
      <c r="B6377" s="138">
        <f>'Revenues 9-14'!I149</f>
        <v>0</v>
      </c>
      <c r="D6377" s="2" t="str">
        <f t="shared" si="98"/>
        <v>Error?</v>
      </c>
      <c r="E6377" s="2" t="s">
        <v>199</v>
      </c>
    </row>
    <row r="6378" spans="1:5" x14ac:dyDescent="0.2">
      <c r="A6378">
        <v>6317</v>
      </c>
      <c r="B6378" s="138">
        <f>'Revenues 9-14'!J149</f>
        <v>0</v>
      </c>
      <c r="D6378" s="2" t="str">
        <f t="shared" si="98"/>
        <v>Error?</v>
      </c>
      <c r="E6378" s="2" t="s">
        <v>199</v>
      </c>
    </row>
    <row r="6379" spans="1:5" x14ac:dyDescent="0.2">
      <c r="A6379">
        <v>6318</v>
      </c>
      <c r="B6379" s="138">
        <f>'Revenues 9-14'!K149</f>
        <v>0</v>
      </c>
      <c r="D6379" s="2" t="str">
        <f t="shared" si="98"/>
        <v>Error?</v>
      </c>
      <c r="E6379" s="2" t="s">
        <v>199</v>
      </c>
    </row>
    <row r="6380" spans="1:5" x14ac:dyDescent="0.2">
      <c r="A6380">
        <v>6319</v>
      </c>
      <c r="B6380" s="138">
        <f>'Revenues 9-14'!G151</f>
        <v>0</v>
      </c>
      <c r="D6380" s="2" t="str">
        <f t="shared" si="98"/>
        <v>Error?</v>
      </c>
      <c r="E6380" s="2" t="s">
        <v>199</v>
      </c>
    </row>
    <row r="6381" spans="1:5" x14ac:dyDescent="0.2">
      <c r="A6381">
        <v>6320</v>
      </c>
      <c r="B6381" s="138">
        <f>'Revenues 9-14'!G152</f>
        <v>0</v>
      </c>
      <c r="D6381" s="2" t="str">
        <f t="shared" si="98"/>
        <v>Error?</v>
      </c>
      <c r="E6381" s="2" t="s">
        <v>199</v>
      </c>
    </row>
    <row r="6382" spans="1:5" x14ac:dyDescent="0.2">
      <c r="A6382">
        <v>6321</v>
      </c>
      <c r="B6382" s="138">
        <f>'Revenues 9-14'!C161</f>
        <v>0</v>
      </c>
      <c r="D6382" s="2" t="str">
        <f t="shared" si="98"/>
        <v>Error?</v>
      </c>
      <c r="E6382" s="2" t="s">
        <v>199</v>
      </c>
    </row>
    <row r="6383" spans="1:5" x14ac:dyDescent="0.2">
      <c r="A6383">
        <v>6322</v>
      </c>
      <c r="B6383" s="138">
        <f>'Revenues 9-14'!F161</f>
        <v>0</v>
      </c>
      <c r="D6383" s="2" t="str">
        <f t="shared" si="98"/>
        <v>Error?</v>
      </c>
      <c r="E6383" s="2" t="s">
        <v>199</v>
      </c>
    </row>
    <row r="6384" spans="1:5" x14ac:dyDescent="0.2">
      <c r="A6384">
        <v>6323</v>
      </c>
      <c r="B6384" s="138">
        <f>'Revenues 9-14'!G161</f>
        <v>0</v>
      </c>
      <c r="D6384" s="2" t="str">
        <f t="shared" si="98"/>
        <v>Error?</v>
      </c>
      <c r="E6384" s="2" t="s">
        <v>199</v>
      </c>
    </row>
    <row r="6385" spans="1:5" x14ac:dyDescent="0.2">
      <c r="A6385">
        <v>6324</v>
      </c>
      <c r="B6385" s="138">
        <f>'Revenues 9-14'!C162</f>
        <v>0</v>
      </c>
      <c r="D6385" s="2" t="str">
        <f t="shared" si="98"/>
        <v>Error?</v>
      </c>
      <c r="E6385" s="2" t="s">
        <v>199</v>
      </c>
    </row>
    <row r="6386" spans="1:5" x14ac:dyDescent="0.2">
      <c r="A6386">
        <v>6325</v>
      </c>
      <c r="B6386" s="138">
        <f>'Revenues 9-14'!F162</f>
        <v>0</v>
      </c>
      <c r="D6386" s="2" t="str">
        <f t="shared" si="98"/>
        <v>Error?</v>
      </c>
      <c r="E6386" s="2" t="s">
        <v>199</v>
      </c>
    </row>
    <row r="6387" spans="1:5" x14ac:dyDescent="0.2">
      <c r="A6387">
        <v>6326</v>
      </c>
      <c r="B6387" s="138">
        <f>'Revenues 9-14'!G162</f>
        <v>0</v>
      </c>
      <c r="D6387" s="2" t="str">
        <f t="shared" si="98"/>
        <v>Error?</v>
      </c>
      <c r="E6387" s="2" t="s">
        <v>199</v>
      </c>
    </row>
    <row r="6388" spans="1:5" x14ac:dyDescent="0.2">
      <c r="A6388">
        <v>6327</v>
      </c>
      <c r="B6388" s="138">
        <f>'Revenues 9-14'!C166</f>
        <v>0</v>
      </c>
      <c r="D6388" s="2" t="str">
        <f t="shared" si="98"/>
        <v>Error?</v>
      </c>
      <c r="E6388" s="2" t="s">
        <v>199</v>
      </c>
    </row>
    <row r="6389" spans="1:5" x14ac:dyDescent="0.2">
      <c r="A6389">
        <v>6328</v>
      </c>
      <c r="B6389" s="138">
        <f>'Revenues 9-14'!D166</f>
        <v>0</v>
      </c>
      <c r="D6389" s="2" t="str">
        <f t="shared" si="98"/>
        <v>Error?</v>
      </c>
      <c r="E6389" s="2" t="s">
        <v>199</v>
      </c>
    </row>
    <row r="6390" spans="1:5" x14ac:dyDescent="0.2">
      <c r="A6390">
        <v>6329</v>
      </c>
      <c r="B6390" s="138">
        <f>'Revenues 9-14'!E166</f>
        <v>0</v>
      </c>
      <c r="D6390" s="2" t="str">
        <f t="shared" si="98"/>
        <v>Error?</v>
      </c>
      <c r="E6390" s="2" t="s">
        <v>199</v>
      </c>
    </row>
    <row r="6391" spans="1:5" x14ac:dyDescent="0.2">
      <c r="A6391">
        <v>6330</v>
      </c>
      <c r="B6391" s="138">
        <f>'Revenues 9-14'!F166</f>
        <v>0</v>
      </c>
      <c r="D6391" s="2" t="str">
        <f t="shared" si="98"/>
        <v>Error?</v>
      </c>
      <c r="E6391" s="2" t="s">
        <v>199</v>
      </c>
    </row>
    <row r="6392" spans="1:5" x14ac:dyDescent="0.2">
      <c r="A6392">
        <v>6331</v>
      </c>
      <c r="B6392" s="138">
        <f>'Revenues 9-14'!G166</f>
        <v>0</v>
      </c>
      <c r="D6392" s="2" t="str">
        <f t="shared" si="98"/>
        <v>Error?</v>
      </c>
      <c r="E6392" s="2" t="s">
        <v>199</v>
      </c>
    </row>
    <row r="6393" spans="1:5" x14ac:dyDescent="0.2">
      <c r="A6393">
        <v>6332</v>
      </c>
      <c r="B6393" s="138">
        <f>'Revenues 9-14'!H166</f>
        <v>0</v>
      </c>
      <c r="D6393" s="2" t="str">
        <f t="shared" si="98"/>
        <v>Error?</v>
      </c>
      <c r="E6393" s="2" t="s">
        <v>199</v>
      </c>
    </row>
    <row r="6394" spans="1:5" x14ac:dyDescent="0.2">
      <c r="A6394">
        <v>6333</v>
      </c>
      <c r="B6394" s="138">
        <f>'Revenues 9-14'!K166</f>
        <v>0</v>
      </c>
      <c r="D6394" s="2" t="str">
        <f t="shared" si="98"/>
        <v>Error?</v>
      </c>
      <c r="E6394" s="2" t="s">
        <v>199</v>
      </c>
    </row>
    <row r="6395" spans="1:5" x14ac:dyDescent="0.2">
      <c r="A6395">
        <v>6334</v>
      </c>
      <c r="B6395" s="138">
        <f>'Revenues 9-14'!J171</f>
        <v>0</v>
      </c>
      <c r="D6395" s="2" t="str">
        <f t="shared" si="98"/>
        <v>Error?</v>
      </c>
      <c r="E6395" s="2" t="s">
        <v>199</v>
      </c>
    </row>
    <row r="6396" spans="1:5" x14ac:dyDescent="0.2">
      <c r="A6396">
        <v>6335</v>
      </c>
      <c r="B6396" s="138">
        <f>'Revenues 9-14'!J172</f>
        <v>0</v>
      </c>
      <c r="D6396" s="2" t="str">
        <f t="shared" si="98"/>
        <v>Error?</v>
      </c>
      <c r="E6396" s="2" t="s">
        <v>199</v>
      </c>
    </row>
    <row r="6397" spans="1:5" x14ac:dyDescent="0.2">
      <c r="A6397">
        <v>6336</v>
      </c>
      <c r="B6397" s="138">
        <f>'Revenues 9-14'!J173</f>
        <v>0</v>
      </c>
      <c r="D6397" s="2" t="str">
        <f t="shared" si="98"/>
        <v>Error?</v>
      </c>
      <c r="E6397" s="2" t="s">
        <v>199</v>
      </c>
    </row>
    <row r="6398" spans="1:5" x14ac:dyDescent="0.2">
      <c r="A6398">
        <v>6337</v>
      </c>
      <c r="B6398" s="138">
        <f>'Revenues 9-14'!J176</f>
        <v>0</v>
      </c>
      <c r="D6398" s="2" t="str">
        <f t="shared" si="98"/>
        <v>Error?</v>
      </c>
      <c r="E6398" s="2" t="s">
        <v>199</v>
      </c>
    </row>
    <row r="6399" spans="1:5" x14ac:dyDescent="0.2">
      <c r="A6399">
        <v>6338</v>
      </c>
      <c r="B6399" s="138">
        <f>'Revenues 9-14'!J177</f>
        <v>0</v>
      </c>
      <c r="D6399" s="2" t="str">
        <f t="shared" ref="D6399:D6462" si="99">IF(ISBLANK(B6399),"OK",IF(A6399-B6399=0,"OK","Error?"))</f>
        <v>Error?</v>
      </c>
      <c r="E6399" s="2" t="s">
        <v>199</v>
      </c>
    </row>
    <row r="6400" spans="1:5" x14ac:dyDescent="0.2">
      <c r="A6400">
        <v>6339</v>
      </c>
      <c r="B6400" s="138">
        <f>'Revenues 9-14'!J178</f>
        <v>0</v>
      </c>
      <c r="D6400" s="2" t="str">
        <f t="shared" si="99"/>
        <v>Error?</v>
      </c>
      <c r="E6400" s="2" t="s">
        <v>199</v>
      </c>
    </row>
    <row r="6401" spans="1:5" x14ac:dyDescent="0.2">
      <c r="A6401">
        <v>6340</v>
      </c>
      <c r="B6401" s="138">
        <f>'Revenues 9-14'!C193</f>
        <v>0</v>
      </c>
      <c r="D6401" s="2" t="str">
        <f t="shared" si="99"/>
        <v>Error?</v>
      </c>
      <c r="E6401" s="2" t="s">
        <v>199</v>
      </c>
    </row>
    <row r="6402" spans="1:5" x14ac:dyDescent="0.2">
      <c r="A6402">
        <v>6341</v>
      </c>
      <c r="B6402" s="138">
        <f>'Revenues 9-14'!G193</f>
        <v>0</v>
      </c>
      <c r="D6402" s="2" t="str">
        <f t="shared" si="99"/>
        <v>Error?</v>
      </c>
      <c r="E6402" s="2" t="s">
        <v>199</v>
      </c>
    </row>
    <row r="6403" spans="1:5" x14ac:dyDescent="0.2">
      <c r="A6403">
        <v>6342</v>
      </c>
      <c r="B6403" s="138">
        <f>'Revenues 9-14'!G194</f>
        <v>0</v>
      </c>
      <c r="D6403" s="2" t="str">
        <f t="shared" si="99"/>
        <v>Error?</v>
      </c>
      <c r="E6403" s="2" t="s">
        <v>199</v>
      </c>
    </row>
    <row r="6404" spans="1:5" x14ac:dyDescent="0.2">
      <c r="A6404">
        <v>6343</v>
      </c>
      <c r="B6404" s="138">
        <f>'Revenues 9-14'!G195</f>
        <v>0</v>
      </c>
      <c r="D6404" s="2" t="str">
        <f t="shared" si="99"/>
        <v>Error?</v>
      </c>
      <c r="E6404" s="2" t="s">
        <v>199</v>
      </c>
    </row>
    <row r="6405" spans="1:5" x14ac:dyDescent="0.2">
      <c r="A6405">
        <v>6344</v>
      </c>
      <c r="B6405" s="138">
        <f>'Revenues 9-14'!G196</f>
        <v>0</v>
      </c>
      <c r="D6405" s="2" t="str">
        <f t="shared" si="99"/>
        <v>Error?</v>
      </c>
      <c r="E6405" s="2" t="s">
        <v>199</v>
      </c>
    </row>
    <row r="6406" spans="1:5" x14ac:dyDescent="0.2">
      <c r="A6406">
        <v>6345</v>
      </c>
      <c r="B6406" s="138">
        <f>'Revenues 9-14'!G197</f>
        <v>0</v>
      </c>
      <c r="D6406" s="2" t="str">
        <f t="shared" si="99"/>
        <v>Error?</v>
      </c>
      <c r="E6406" s="2" t="s">
        <v>199</v>
      </c>
    </row>
    <row r="6407" spans="1:5" x14ac:dyDescent="0.2">
      <c r="A6407">
        <v>6346</v>
      </c>
      <c r="B6407" s="138">
        <f>'Revenues 9-14'!G198</f>
        <v>0</v>
      </c>
      <c r="D6407" s="2" t="str">
        <f t="shared" si="99"/>
        <v>Error?</v>
      </c>
      <c r="E6407" s="2" t="s">
        <v>199</v>
      </c>
    </row>
    <row r="6408" spans="1:5" x14ac:dyDescent="0.2">
      <c r="A6408">
        <v>6347</v>
      </c>
      <c r="B6408" s="138">
        <f>'Revenues 9-14'!G200</f>
        <v>0</v>
      </c>
      <c r="D6408" s="2" t="str">
        <f t="shared" si="99"/>
        <v>Error?</v>
      </c>
      <c r="E6408" s="2" t="s">
        <v>199</v>
      </c>
    </row>
    <row r="6409" spans="1:5" x14ac:dyDescent="0.2">
      <c r="A6409">
        <v>6348</v>
      </c>
      <c r="B6409" s="138">
        <f>'Revenues 9-14'!G201</f>
        <v>0</v>
      </c>
      <c r="D6409" s="2" t="str">
        <f t="shared" si="99"/>
        <v>Error?</v>
      </c>
      <c r="E6409" s="2" t="s">
        <v>199</v>
      </c>
    </row>
    <row r="6410" spans="1:5" x14ac:dyDescent="0.2">
      <c r="A6410">
        <v>6349</v>
      </c>
      <c r="B6410" s="138">
        <f>'Revenues 9-14'!C208</f>
        <v>0</v>
      </c>
      <c r="D6410" s="2" t="str">
        <f t="shared" si="99"/>
        <v>Error?</v>
      </c>
      <c r="E6410" s="2" t="s">
        <v>199</v>
      </c>
    </row>
    <row r="6411" spans="1:5" x14ac:dyDescent="0.2">
      <c r="A6411">
        <v>6350</v>
      </c>
      <c r="B6411" s="138">
        <f>'Revenues 9-14'!D208</f>
        <v>0</v>
      </c>
      <c r="D6411" s="2" t="str">
        <f t="shared" si="99"/>
        <v>Error?</v>
      </c>
      <c r="E6411" s="2" t="s">
        <v>199</v>
      </c>
    </row>
    <row r="6412" spans="1:5" x14ac:dyDescent="0.2">
      <c r="A6412">
        <v>6351</v>
      </c>
      <c r="B6412" s="138">
        <f>'Revenues 9-14'!F208</f>
        <v>0</v>
      </c>
      <c r="D6412" s="2" t="str">
        <f t="shared" si="99"/>
        <v>Error?</v>
      </c>
      <c r="E6412" s="2" t="s">
        <v>199</v>
      </c>
    </row>
    <row r="6413" spans="1:5" x14ac:dyDescent="0.2">
      <c r="A6413">
        <v>6352</v>
      </c>
      <c r="B6413" s="138">
        <f>'Revenues 9-14'!G208</f>
        <v>0</v>
      </c>
      <c r="D6413" s="2" t="str">
        <f t="shared" si="99"/>
        <v>Error?</v>
      </c>
      <c r="E6413" s="2" t="s">
        <v>199</v>
      </c>
    </row>
    <row r="6414" spans="1:5" x14ac:dyDescent="0.2">
      <c r="A6414">
        <v>6353</v>
      </c>
      <c r="B6414" s="138">
        <f>'Cap Outlay Deprec 26'!C3</f>
        <v>0</v>
      </c>
      <c r="D6414" s="2" t="str">
        <f t="shared" si="99"/>
        <v>Error?</v>
      </c>
      <c r="E6414" s="2" t="s">
        <v>199</v>
      </c>
    </row>
    <row r="6415" spans="1:5" x14ac:dyDescent="0.2">
      <c r="A6415">
        <v>6354</v>
      </c>
      <c r="B6415" s="138">
        <f>'Cap Outlay Deprec 26'!D3</f>
        <v>0</v>
      </c>
      <c r="D6415" s="2" t="str">
        <f t="shared" si="99"/>
        <v>Error?</v>
      </c>
      <c r="E6415" s="2" t="s">
        <v>199</v>
      </c>
    </row>
    <row r="6416" spans="1:5" x14ac:dyDescent="0.2">
      <c r="A6416">
        <v>6355</v>
      </c>
      <c r="D6416" s="2" t="str">
        <f t="shared" si="99"/>
        <v>OK</v>
      </c>
      <c r="E6416" s="2" t="s">
        <v>201</v>
      </c>
    </row>
    <row r="6417" spans="1:5" x14ac:dyDescent="0.2">
      <c r="A6417">
        <v>6356</v>
      </c>
      <c r="D6417" s="2" t="str">
        <f t="shared" si="99"/>
        <v>OK</v>
      </c>
      <c r="E6417" s="2" t="s">
        <v>201</v>
      </c>
    </row>
    <row r="6418" spans="1:5" x14ac:dyDescent="0.2">
      <c r="A6418">
        <v>6357</v>
      </c>
      <c r="D6418" s="2" t="str">
        <f t="shared" si="99"/>
        <v>OK</v>
      </c>
      <c r="E6418" s="2" t="s">
        <v>201</v>
      </c>
    </row>
    <row r="6419" spans="1:5" x14ac:dyDescent="0.2">
      <c r="A6419">
        <v>6358</v>
      </c>
      <c r="D6419" s="2" t="str">
        <f t="shared" si="99"/>
        <v>OK</v>
      </c>
      <c r="E6419" s="2" t="s">
        <v>201</v>
      </c>
    </row>
    <row r="6420" spans="1:5" x14ac:dyDescent="0.2">
      <c r="A6420">
        <v>6359</v>
      </c>
      <c r="D6420" s="2" t="str">
        <f t="shared" si="99"/>
        <v>OK</v>
      </c>
      <c r="E6420" s="2" t="s">
        <v>201</v>
      </c>
    </row>
    <row r="6421" spans="1:5" x14ac:dyDescent="0.2">
      <c r="A6421">
        <v>6360</v>
      </c>
      <c r="D6421" s="2" t="str">
        <f t="shared" si="99"/>
        <v>OK</v>
      </c>
      <c r="E6421" s="2" t="s">
        <v>201</v>
      </c>
    </row>
    <row r="6422" spans="1:5" x14ac:dyDescent="0.2">
      <c r="A6422">
        <v>6361</v>
      </c>
      <c r="D6422" s="2" t="str">
        <f t="shared" si="99"/>
        <v>OK</v>
      </c>
      <c r="E6422" s="2" t="s">
        <v>201</v>
      </c>
    </row>
    <row r="6423" spans="1:5" x14ac:dyDescent="0.2">
      <c r="A6423">
        <v>6362</v>
      </c>
      <c r="D6423" s="2" t="str">
        <f t="shared" si="99"/>
        <v>OK</v>
      </c>
      <c r="E6423" s="2" t="s">
        <v>201</v>
      </c>
    </row>
    <row r="6424" spans="1:5" x14ac:dyDescent="0.2">
      <c r="A6424">
        <v>6363</v>
      </c>
      <c r="D6424" s="2" t="str">
        <f t="shared" si="99"/>
        <v>OK</v>
      </c>
      <c r="E6424" s="2" t="s">
        <v>201</v>
      </c>
    </row>
    <row r="6425" spans="1:5" x14ac:dyDescent="0.2">
      <c r="A6425">
        <v>6364</v>
      </c>
      <c r="D6425" s="2" t="str">
        <f t="shared" si="99"/>
        <v>OK</v>
      </c>
      <c r="E6425" s="2" t="s">
        <v>201</v>
      </c>
    </row>
    <row r="6426" spans="1:5" x14ac:dyDescent="0.2">
      <c r="A6426">
        <v>6365</v>
      </c>
      <c r="D6426" s="2" t="str">
        <f t="shared" si="99"/>
        <v>OK</v>
      </c>
      <c r="E6426" s="2" t="s">
        <v>201</v>
      </c>
    </row>
    <row r="6427" spans="1:5" x14ac:dyDescent="0.2">
      <c r="A6427">
        <v>6366</v>
      </c>
      <c r="D6427" s="2" t="str">
        <f t="shared" si="99"/>
        <v>OK</v>
      </c>
      <c r="E6427" s="2" t="s">
        <v>201</v>
      </c>
    </row>
    <row r="6428" spans="1:5" x14ac:dyDescent="0.2">
      <c r="A6428">
        <v>6367</v>
      </c>
      <c r="D6428" s="2" t="str">
        <f t="shared" si="99"/>
        <v>OK</v>
      </c>
      <c r="E6428" s="2" t="s">
        <v>201</v>
      </c>
    </row>
    <row r="6429" spans="1:5" x14ac:dyDescent="0.2">
      <c r="A6429">
        <v>6368</v>
      </c>
      <c r="D6429" s="2" t="str">
        <f t="shared" si="99"/>
        <v>OK</v>
      </c>
      <c r="E6429" s="2" t="s">
        <v>201</v>
      </c>
    </row>
    <row r="6430" spans="1:5" x14ac:dyDescent="0.2">
      <c r="A6430">
        <v>6369</v>
      </c>
      <c r="D6430" s="2" t="str">
        <f t="shared" si="99"/>
        <v>OK</v>
      </c>
      <c r="E6430" s="2" t="s">
        <v>201</v>
      </c>
    </row>
    <row r="6431" spans="1:5" x14ac:dyDescent="0.2">
      <c r="A6431">
        <v>6370</v>
      </c>
      <c r="D6431" s="2" t="str">
        <f t="shared" si="99"/>
        <v>OK</v>
      </c>
      <c r="E6431" s="2" t="s">
        <v>201</v>
      </c>
    </row>
    <row r="6432" spans="1:5" x14ac:dyDescent="0.2">
      <c r="A6432">
        <v>6371</v>
      </c>
      <c r="D6432" s="2" t="str">
        <f t="shared" si="99"/>
        <v>OK</v>
      </c>
      <c r="E6432" s="2" t="s">
        <v>201</v>
      </c>
    </row>
    <row r="6433" spans="1:5" x14ac:dyDescent="0.2">
      <c r="A6433">
        <v>6372</v>
      </c>
      <c r="D6433" s="2" t="str">
        <f t="shared" si="99"/>
        <v>OK</v>
      </c>
      <c r="E6433" s="2" t="s">
        <v>201</v>
      </c>
    </row>
    <row r="6434" spans="1:5" x14ac:dyDescent="0.2">
      <c r="A6434">
        <v>6373</v>
      </c>
      <c r="D6434" s="2" t="str">
        <f t="shared" si="99"/>
        <v>OK</v>
      </c>
      <c r="E6434" s="2" t="s">
        <v>201</v>
      </c>
    </row>
    <row r="6435" spans="1:5" x14ac:dyDescent="0.2">
      <c r="A6435">
        <v>6374</v>
      </c>
      <c r="D6435" s="2" t="str">
        <f t="shared" si="99"/>
        <v>OK</v>
      </c>
      <c r="E6435" s="2" t="s">
        <v>201</v>
      </c>
    </row>
    <row r="6436" spans="1:5" x14ac:dyDescent="0.2">
      <c r="A6436">
        <v>6375</v>
      </c>
      <c r="D6436" s="2" t="str">
        <f t="shared" si="99"/>
        <v>OK</v>
      </c>
      <c r="E6436" s="2" t="s">
        <v>201</v>
      </c>
    </row>
    <row r="6437" spans="1:5" x14ac:dyDescent="0.2">
      <c r="A6437">
        <v>6376</v>
      </c>
      <c r="D6437" s="2" t="str">
        <f t="shared" si="99"/>
        <v>OK</v>
      </c>
      <c r="E6437" s="2" t="s">
        <v>201</v>
      </c>
    </row>
    <row r="6438" spans="1:5" x14ac:dyDescent="0.2">
      <c r="A6438">
        <v>6377</v>
      </c>
      <c r="D6438" s="2" t="str">
        <f t="shared" si="99"/>
        <v>OK</v>
      </c>
      <c r="E6438" s="2" t="s">
        <v>201</v>
      </c>
    </row>
    <row r="6439" spans="1:5" x14ac:dyDescent="0.2">
      <c r="A6439">
        <v>6378</v>
      </c>
      <c r="D6439" s="2" t="str">
        <f t="shared" si="99"/>
        <v>OK</v>
      </c>
      <c r="E6439" s="2" t="s">
        <v>201</v>
      </c>
    </row>
    <row r="6440" spans="1:5" x14ac:dyDescent="0.2">
      <c r="A6440">
        <v>6379</v>
      </c>
      <c r="D6440" s="2" t="str">
        <f t="shared" si="99"/>
        <v>OK</v>
      </c>
      <c r="E6440" s="2" t="s">
        <v>201</v>
      </c>
    </row>
    <row r="6441" spans="1:5" x14ac:dyDescent="0.2">
      <c r="A6441">
        <v>6380</v>
      </c>
      <c r="D6441" s="2" t="str">
        <f t="shared" si="99"/>
        <v>OK</v>
      </c>
      <c r="E6441" s="2" t="s">
        <v>201</v>
      </c>
    </row>
    <row r="6442" spans="1:5" x14ac:dyDescent="0.2">
      <c r="A6442">
        <v>6381</v>
      </c>
      <c r="D6442" s="2" t="str">
        <f t="shared" si="99"/>
        <v>OK</v>
      </c>
      <c r="E6442" s="2" t="s">
        <v>201</v>
      </c>
    </row>
    <row r="6443" spans="1:5" x14ac:dyDescent="0.2">
      <c r="A6443">
        <v>6382</v>
      </c>
      <c r="D6443" s="2" t="str">
        <f t="shared" si="99"/>
        <v>OK</v>
      </c>
      <c r="E6443" s="2" t="s">
        <v>201</v>
      </c>
    </row>
    <row r="6444" spans="1:5" x14ac:dyDescent="0.2">
      <c r="A6444">
        <v>6383</v>
      </c>
      <c r="D6444" s="2" t="str">
        <f t="shared" si="99"/>
        <v>OK</v>
      </c>
      <c r="E6444" s="2" t="s">
        <v>201</v>
      </c>
    </row>
    <row r="6445" spans="1:5" x14ac:dyDescent="0.2">
      <c r="A6445">
        <v>6384</v>
      </c>
      <c r="D6445" s="2" t="str">
        <f t="shared" si="99"/>
        <v>OK</v>
      </c>
      <c r="E6445" s="2" t="s">
        <v>201</v>
      </c>
    </row>
    <row r="6446" spans="1:5" x14ac:dyDescent="0.2">
      <c r="A6446">
        <v>6385</v>
      </c>
      <c r="D6446" s="2" t="str">
        <f t="shared" si="99"/>
        <v>OK</v>
      </c>
      <c r="E6446" s="2" t="s">
        <v>201</v>
      </c>
    </row>
    <row r="6447" spans="1:5" x14ac:dyDescent="0.2">
      <c r="A6447">
        <v>6386</v>
      </c>
      <c r="D6447" s="2" t="str">
        <f t="shared" si="99"/>
        <v>OK</v>
      </c>
      <c r="E6447" s="2" t="s">
        <v>201</v>
      </c>
    </row>
    <row r="6448" spans="1:5" x14ac:dyDescent="0.2">
      <c r="A6448">
        <v>6387</v>
      </c>
      <c r="D6448" s="2" t="str">
        <f t="shared" si="99"/>
        <v>OK</v>
      </c>
      <c r="E6448" s="2" t="s">
        <v>201</v>
      </c>
    </row>
    <row r="6449" spans="1:5" x14ac:dyDescent="0.2">
      <c r="A6449">
        <v>6388</v>
      </c>
      <c r="D6449" s="2" t="str">
        <f t="shared" si="99"/>
        <v>OK</v>
      </c>
      <c r="E6449" s="2" t="s">
        <v>201</v>
      </c>
    </row>
    <row r="6450" spans="1:5" x14ac:dyDescent="0.2">
      <c r="A6450">
        <v>6389</v>
      </c>
      <c r="D6450" s="2" t="str">
        <f t="shared" si="99"/>
        <v>OK</v>
      </c>
      <c r="E6450" s="2" t="s">
        <v>201</v>
      </c>
    </row>
    <row r="6451" spans="1:5" x14ac:dyDescent="0.2">
      <c r="A6451">
        <v>6390</v>
      </c>
      <c r="D6451" s="2" t="str">
        <f t="shared" si="99"/>
        <v>OK</v>
      </c>
      <c r="E6451" s="2" t="s">
        <v>201</v>
      </c>
    </row>
    <row r="6452" spans="1:5" x14ac:dyDescent="0.2">
      <c r="A6452">
        <v>6391</v>
      </c>
      <c r="D6452" s="2" t="str">
        <f t="shared" si="99"/>
        <v>OK</v>
      </c>
      <c r="E6452" s="2" t="s">
        <v>201</v>
      </c>
    </row>
    <row r="6453" spans="1:5" x14ac:dyDescent="0.2">
      <c r="A6453">
        <v>6392</v>
      </c>
      <c r="D6453" s="2" t="str">
        <f t="shared" si="99"/>
        <v>OK</v>
      </c>
      <c r="E6453" s="2" t="s">
        <v>201</v>
      </c>
    </row>
    <row r="6454" spans="1:5" x14ac:dyDescent="0.2">
      <c r="A6454">
        <v>6393</v>
      </c>
      <c r="D6454" s="2" t="str">
        <f t="shared" si="99"/>
        <v>OK</v>
      </c>
      <c r="E6454" s="2" t="s">
        <v>201</v>
      </c>
    </row>
    <row r="6455" spans="1:5" x14ac:dyDescent="0.2">
      <c r="A6455">
        <v>6394</v>
      </c>
      <c r="D6455" s="2" t="str">
        <f t="shared" si="99"/>
        <v>OK</v>
      </c>
      <c r="E6455" s="2" t="s">
        <v>201</v>
      </c>
    </row>
    <row r="6456" spans="1:5" x14ac:dyDescent="0.2">
      <c r="A6456">
        <v>6395</v>
      </c>
      <c r="D6456" s="2" t="str">
        <f t="shared" si="99"/>
        <v>OK</v>
      </c>
      <c r="E6456" s="2" t="s">
        <v>201</v>
      </c>
    </row>
    <row r="6457" spans="1:5" x14ac:dyDescent="0.2">
      <c r="A6457">
        <v>6396</v>
      </c>
      <c r="D6457" s="2" t="str">
        <f t="shared" si="99"/>
        <v>OK</v>
      </c>
      <c r="E6457" s="2" t="s">
        <v>201</v>
      </c>
    </row>
    <row r="6458" spans="1:5" x14ac:dyDescent="0.2">
      <c r="A6458">
        <v>6397</v>
      </c>
      <c r="D6458" s="2" t="str">
        <f t="shared" si="99"/>
        <v>OK</v>
      </c>
      <c r="E6458" s="2" t="s">
        <v>201</v>
      </c>
    </row>
    <row r="6459" spans="1:5" x14ac:dyDescent="0.2">
      <c r="A6459">
        <v>6398</v>
      </c>
      <c r="D6459" s="2" t="str">
        <f t="shared" si="99"/>
        <v>OK</v>
      </c>
      <c r="E6459" s="2" t="s">
        <v>201</v>
      </c>
    </row>
    <row r="6460" spans="1:5" x14ac:dyDescent="0.2">
      <c r="A6460">
        <v>6399</v>
      </c>
      <c r="D6460" s="2" t="str">
        <f t="shared" si="99"/>
        <v>OK</v>
      </c>
      <c r="E6460" s="2" t="s">
        <v>201</v>
      </c>
    </row>
    <row r="6461" spans="1:5" x14ac:dyDescent="0.2">
      <c r="A6461">
        <v>6400</v>
      </c>
      <c r="D6461" s="2" t="str">
        <f t="shared" si="99"/>
        <v>OK</v>
      </c>
      <c r="E6461" s="2" t="s">
        <v>201</v>
      </c>
    </row>
    <row r="6462" spans="1:5" x14ac:dyDescent="0.2">
      <c r="A6462">
        <v>6401</v>
      </c>
      <c r="D6462" s="2" t="str">
        <f t="shared" si="99"/>
        <v>OK</v>
      </c>
      <c r="E6462" s="2" t="s">
        <v>201</v>
      </c>
    </row>
    <row r="6463" spans="1:5" x14ac:dyDescent="0.2">
      <c r="A6463">
        <v>6402</v>
      </c>
      <c r="D6463" s="2" t="str">
        <f t="shared" ref="D6463:D6526" si="100">IF(ISBLANK(B6463),"OK",IF(A6463-B6463=0,"OK","Error?"))</f>
        <v>OK</v>
      </c>
      <c r="E6463" s="2" t="s">
        <v>201</v>
      </c>
    </row>
    <row r="6464" spans="1:5" x14ac:dyDescent="0.2">
      <c r="A6464">
        <v>6403</v>
      </c>
      <c r="D6464" s="2" t="str">
        <f t="shared" si="100"/>
        <v>OK</v>
      </c>
      <c r="E6464" s="2" t="s">
        <v>201</v>
      </c>
    </row>
    <row r="6465" spans="1:5" x14ac:dyDescent="0.2">
      <c r="A6465">
        <v>6404</v>
      </c>
      <c r="D6465" s="2" t="str">
        <f t="shared" si="100"/>
        <v>OK</v>
      </c>
      <c r="E6465" s="2" t="s">
        <v>201</v>
      </c>
    </row>
    <row r="6466" spans="1:5" x14ac:dyDescent="0.2">
      <c r="A6466">
        <v>6405</v>
      </c>
      <c r="D6466" s="2" t="str">
        <f t="shared" si="100"/>
        <v>OK</v>
      </c>
      <c r="E6466" s="2" t="s">
        <v>201</v>
      </c>
    </row>
    <row r="6467" spans="1:5" x14ac:dyDescent="0.2">
      <c r="A6467">
        <v>6406</v>
      </c>
      <c r="D6467" s="2" t="str">
        <f t="shared" si="100"/>
        <v>OK</v>
      </c>
      <c r="E6467" s="2" t="s">
        <v>201</v>
      </c>
    </row>
    <row r="6468" spans="1:5" x14ac:dyDescent="0.2">
      <c r="A6468">
        <v>6407</v>
      </c>
      <c r="D6468" s="2" t="str">
        <f t="shared" si="100"/>
        <v>OK</v>
      </c>
      <c r="E6468" s="2" t="s">
        <v>201</v>
      </c>
    </row>
    <row r="6469" spans="1:5" x14ac:dyDescent="0.2">
      <c r="A6469">
        <v>6408</v>
      </c>
      <c r="D6469" s="2" t="str">
        <f t="shared" si="100"/>
        <v>OK</v>
      </c>
      <c r="E6469" s="2" t="s">
        <v>201</v>
      </c>
    </row>
    <row r="6470" spans="1:5" x14ac:dyDescent="0.2">
      <c r="A6470">
        <v>6409</v>
      </c>
      <c r="D6470" s="2" t="str">
        <f t="shared" si="100"/>
        <v>OK</v>
      </c>
      <c r="E6470" s="2" t="s">
        <v>201</v>
      </c>
    </row>
    <row r="6471" spans="1:5" x14ac:dyDescent="0.2">
      <c r="A6471">
        <v>6410</v>
      </c>
      <c r="D6471" s="2" t="str">
        <f t="shared" si="100"/>
        <v>OK</v>
      </c>
      <c r="E6471" s="2" t="s">
        <v>201</v>
      </c>
    </row>
    <row r="6472" spans="1:5" x14ac:dyDescent="0.2">
      <c r="A6472">
        <v>6411</v>
      </c>
      <c r="D6472" s="2" t="str">
        <f t="shared" si="100"/>
        <v>OK</v>
      </c>
      <c r="E6472" s="2" t="s">
        <v>201</v>
      </c>
    </row>
    <row r="6473" spans="1:5" x14ac:dyDescent="0.2">
      <c r="A6473">
        <v>6412</v>
      </c>
      <c r="D6473" s="2" t="str">
        <f t="shared" si="100"/>
        <v>OK</v>
      </c>
      <c r="E6473" s="2" t="s">
        <v>201</v>
      </c>
    </row>
    <row r="6474" spans="1:5" x14ac:dyDescent="0.2">
      <c r="A6474">
        <v>6413</v>
      </c>
      <c r="D6474" s="2" t="str">
        <f t="shared" si="100"/>
        <v>OK</v>
      </c>
      <c r="E6474" s="2" t="s">
        <v>201</v>
      </c>
    </row>
    <row r="6475" spans="1:5" x14ac:dyDescent="0.2">
      <c r="A6475">
        <v>6414</v>
      </c>
      <c r="D6475" s="2" t="str">
        <f t="shared" si="100"/>
        <v>OK</v>
      </c>
      <c r="E6475" s="2" t="s">
        <v>201</v>
      </c>
    </row>
    <row r="6476" spans="1:5" x14ac:dyDescent="0.2">
      <c r="A6476">
        <v>6415</v>
      </c>
      <c r="D6476" s="2" t="str">
        <f t="shared" si="100"/>
        <v>OK</v>
      </c>
      <c r="E6476" s="2" t="s">
        <v>201</v>
      </c>
    </row>
    <row r="6477" spans="1:5" x14ac:dyDescent="0.2">
      <c r="A6477">
        <v>6416</v>
      </c>
      <c r="D6477" s="2" t="str">
        <f t="shared" si="100"/>
        <v>OK</v>
      </c>
      <c r="E6477" s="2" t="s">
        <v>201</v>
      </c>
    </row>
    <row r="6478" spans="1:5" x14ac:dyDescent="0.2">
      <c r="A6478">
        <v>6417</v>
      </c>
      <c r="D6478" s="2" t="str">
        <f t="shared" si="100"/>
        <v>OK</v>
      </c>
      <c r="E6478" s="2" t="s">
        <v>201</v>
      </c>
    </row>
    <row r="6479" spans="1:5" x14ac:dyDescent="0.2">
      <c r="A6479">
        <v>6418</v>
      </c>
      <c r="D6479" s="2" t="str">
        <f t="shared" si="100"/>
        <v>OK</v>
      </c>
      <c r="E6479" s="2" t="s">
        <v>201</v>
      </c>
    </row>
    <row r="6480" spans="1:5" x14ac:dyDescent="0.2">
      <c r="A6480">
        <v>6419</v>
      </c>
      <c r="D6480" s="2" t="str">
        <f t="shared" si="100"/>
        <v>OK</v>
      </c>
      <c r="E6480" s="2" t="s">
        <v>201</v>
      </c>
    </row>
    <row r="6481" spans="1:5" x14ac:dyDescent="0.2">
      <c r="A6481">
        <v>6420</v>
      </c>
      <c r="D6481" s="2" t="str">
        <f t="shared" si="100"/>
        <v>OK</v>
      </c>
      <c r="E6481" s="2" t="s">
        <v>201</v>
      </c>
    </row>
    <row r="6482" spans="1:5" x14ac:dyDescent="0.2">
      <c r="A6482">
        <v>6421</v>
      </c>
      <c r="D6482" s="2" t="str">
        <f t="shared" si="100"/>
        <v>OK</v>
      </c>
      <c r="E6482" s="2" t="s">
        <v>201</v>
      </c>
    </row>
    <row r="6483" spans="1:5" x14ac:dyDescent="0.2">
      <c r="A6483">
        <v>6422</v>
      </c>
      <c r="D6483" s="2" t="str">
        <f t="shared" si="100"/>
        <v>OK</v>
      </c>
      <c r="E6483" s="2" t="s">
        <v>201</v>
      </c>
    </row>
    <row r="6484" spans="1:5" x14ac:dyDescent="0.2">
      <c r="A6484">
        <v>6423</v>
      </c>
      <c r="D6484" s="2" t="str">
        <f t="shared" si="100"/>
        <v>OK</v>
      </c>
      <c r="E6484" s="2" t="s">
        <v>201</v>
      </c>
    </row>
    <row r="6485" spans="1:5" x14ac:dyDescent="0.2">
      <c r="A6485">
        <v>6424</v>
      </c>
      <c r="D6485" s="2" t="str">
        <f t="shared" si="100"/>
        <v>OK</v>
      </c>
      <c r="E6485" s="2" t="s">
        <v>201</v>
      </c>
    </row>
    <row r="6486" spans="1:5" x14ac:dyDescent="0.2">
      <c r="A6486">
        <v>6425</v>
      </c>
      <c r="D6486" s="2" t="str">
        <f t="shared" si="100"/>
        <v>OK</v>
      </c>
      <c r="E6486" s="2" t="s">
        <v>201</v>
      </c>
    </row>
    <row r="6487" spans="1:5" x14ac:dyDescent="0.2">
      <c r="A6487">
        <v>6426</v>
      </c>
      <c r="D6487" s="2" t="str">
        <f t="shared" si="100"/>
        <v>OK</v>
      </c>
      <c r="E6487" s="2" t="s">
        <v>201</v>
      </c>
    </row>
    <row r="6488" spans="1:5" x14ac:dyDescent="0.2">
      <c r="A6488">
        <v>6427</v>
      </c>
      <c r="D6488" s="2" t="str">
        <f t="shared" si="100"/>
        <v>OK</v>
      </c>
      <c r="E6488" s="2" t="s">
        <v>201</v>
      </c>
    </row>
    <row r="6489" spans="1:5" x14ac:dyDescent="0.2">
      <c r="A6489">
        <v>6428</v>
      </c>
      <c r="D6489" s="2" t="str">
        <f t="shared" si="100"/>
        <v>OK</v>
      </c>
      <c r="E6489" s="2" t="s">
        <v>201</v>
      </c>
    </row>
    <row r="6490" spans="1:5" x14ac:dyDescent="0.2">
      <c r="A6490">
        <v>6429</v>
      </c>
      <c r="D6490" s="2" t="str">
        <f t="shared" si="100"/>
        <v>OK</v>
      </c>
      <c r="E6490" s="2" t="s">
        <v>201</v>
      </c>
    </row>
    <row r="6491" spans="1:5" x14ac:dyDescent="0.2">
      <c r="A6491">
        <v>6430</v>
      </c>
      <c r="D6491" s="2" t="str">
        <f t="shared" si="100"/>
        <v>OK</v>
      </c>
      <c r="E6491" s="2" t="s">
        <v>201</v>
      </c>
    </row>
    <row r="6492" spans="1:5" x14ac:dyDescent="0.2">
      <c r="A6492">
        <v>6431</v>
      </c>
      <c r="D6492" s="2" t="str">
        <f t="shared" si="100"/>
        <v>OK</v>
      </c>
      <c r="E6492" s="2" t="s">
        <v>201</v>
      </c>
    </row>
    <row r="6493" spans="1:5" x14ac:dyDescent="0.2">
      <c r="A6493">
        <v>6432</v>
      </c>
      <c r="D6493" s="2" t="str">
        <f t="shared" si="100"/>
        <v>OK</v>
      </c>
      <c r="E6493" s="2" t="s">
        <v>201</v>
      </c>
    </row>
    <row r="6494" spans="1:5" x14ac:dyDescent="0.2">
      <c r="A6494">
        <v>6433</v>
      </c>
      <c r="D6494" s="2" t="str">
        <f t="shared" si="100"/>
        <v>OK</v>
      </c>
      <c r="E6494" s="2" t="s">
        <v>201</v>
      </c>
    </row>
    <row r="6495" spans="1:5" x14ac:dyDescent="0.2">
      <c r="A6495">
        <v>6434</v>
      </c>
      <c r="D6495" s="2" t="str">
        <f t="shared" si="100"/>
        <v>OK</v>
      </c>
      <c r="E6495" s="2" t="s">
        <v>201</v>
      </c>
    </row>
    <row r="6496" spans="1:5" x14ac:dyDescent="0.2">
      <c r="A6496">
        <v>6435</v>
      </c>
      <c r="D6496" s="2" t="str">
        <f t="shared" si="100"/>
        <v>OK</v>
      </c>
      <c r="E6496" s="2" t="s">
        <v>201</v>
      </c>
    </row>
    <row r="6497" spans="1:5" x14ac:dyDescent="0.2">
      <c r="A6497">
        <v>6436</v>
      </c>
      <c r="D6497" s="2" t="str">
        <f t="shared" si="100"/>
        <v>OK</v>
      </c>
      <c r="E6497" s="2" t="s">
        <v>201</v>
      </c>
    </row>
    <row r="6498" spans="1:5" x14ac:dyDescent="0.2">
      <c r="A6498">
        <v>6437</v>
      </c>
      <c r="D6498" s="2" t="str">
        <f t="shared" si="100"/>
        <v>OK</v>
      </c>
      <c r="E6498" s="2" t="s">
        <v>201</v>
      </c>
    </row>
    <row r="6499" spans="1:5" x14ac:dyDescent="0.2">
      <c r="A6499">
        <v>6438</v>
      </c>
      <c r="D6499" s="2" t="str">
        <f t="shared" si="100"/>
        <v>OK</v>
      </c>
      <c r="E6499" s="2" t="s">
        <v>201</v>
      </c>
    </row>
    <row r="6500" spans="1:5" x14ac:dyDescent="0.2">
      <c r="A6500">
        <v>6439</v>
      </c>
      <c r="D6500" s="2" t="str">
        <f t="shared" si="100"/>
        <v>OK</v>
      </c>
      <c r="E6500" s="2" t="s">
        <v>201</v>
      </c>
    </row>
    <row r="6501" spans="1:5" x14ac:dyDescent="0.2">
      <c r="A6501">
        <v>6440</v>
      </c>
      <c r="D6501" s="2" t="str">
        <f t="shared" si="100"/>
        <v>OK</v>
      </c>
      <c r="E6501" s="2" t="s">
        <v>201</v>
      </c>
    </row>
    <row r="6502" spans="1:5" x14ac:dyDescent="0.2">
      <c r="A6502">
        <v>6441</v>
      </c>
      <c r="D6502" s="2" t="str">
        <f t="shared" si="100"/>
        <v>OK</v>
      </c>
      <c r="E6502" s="2" t="s">
        <v>201</v>
      </c>
    </row>
    <row r="6503" spans="1:5" x14ac:dyDescent="0.2">
      <c r="A6503">
        <v>6442</v>
      </c>
      <c r="D6503" s="2" t="str">
        <f t="shared" si="100"/>
        <v>OK</v>
      </c>
      <c r="E6503" s="2" t="s">
        <v>201</v>
      </c>
    </row>
    <row r="6504" spans="1:5" x14ac:dyDescent="0.2">
      <c r="A6504">
        <v>6443</v>
      </c>
      <c r="D6504" s="2" t="str">
        <f t="shared" si="100"/>
        <v>OK</v>
      </c>
      <c r="E6504" s="2" t="s">
        <v>201</v>
      </c>
    </row>
    <row r="6505" spans="1:5" x14ac:dyDescent="0.2">
      <c r="A6505">
        <v>6444</v>
      </c>
      <c r="D6505" s="2" t="str">
        <f t="shared" si="100"/>
        <v>OK</v>
      </c>
      <c r="E6505" s="2" t="s">
        <v>201</v>
      </c>
    </row>
    <row r="6506" spans="1:5" x14ac:dyDescent="0.2">
      <c r="A6506">
        <v>6445</v>
      </c>
      <c r="D6506" s="2" t="str">
        <f t="shared" si="100"/>
        <v>OK</v>
      </c>
      <c r="E6506" s="2" t="s">
        <v>201</v>
      </c>
    </row>
    <row r="6507" spans="1:5" x14ac:dyDescent="0.2">
      <c r="A6507">
        <v>6446</v>
      </c>
      <c r="D6507" s="2" t="str">
        <f t="shared" si="100"/>
        <v>OK</v>
      </c>
      <c r="E6507" s="2" t="s">
        <v>201</v>
      </c>
    </row>
    <row r="6508" spans="1:5" x14ac:dyDescent="0.2">
      <c r="A6508">
        <v>6447</v>
      </c>
      <c r="D6508" s="2" t="str">
        <f t="shared" si="100"/>
        <v>OK</v>
      </c>
      <c r="E6508" s="2" t="s">
        <v>201</v>
      </c>
    </row>
    <row r="6509" spans="1:5" x14ac:dyDescent="0.2">
      <c r="A6509">
        <v>6448</v>
      </c>
      <c r="D6509" s="2" t="str">
        <f t="shared" si="100"/>
        <v>OK</v>
      </c>
      <c r="E6509" s="2" t="s">
        <v>201</v>
      </c>
    </row>
    <row r="6510" spans="1:5" x14ac:dyDescent="0.2">
      <c r="A6510">
        <v>6449</v>
      </c>
      <c r="D6510" s="2" t="str">
        <f t="shared" si="100"/>
        <v>OK</v>
      </c>
      <c r="E6510" s="2" t="s">
        <v>201</v>
      </c>
    </row>
    <row r="6511" spans="1:5" x14ac:dyDescent="0.2">
      <c r="A6511">
        <v>6450</v>
      </c>
      <c r="D6511" s="2" t="str">
        <f t="shared" si="100"/>
        <v>OK</v>
      </c>
      <c r="E6511" s="2" t="s">
        <v>201</v>
      </c>
    </row>
    <row r="6512" spans="1:5" x14ac:dyDescent="0.2">
      <c r="A6512">
        <v>6451</v>
      </c>
      <c r="D6512" s="2" t="str">
        <f t="shared" si="100"/>
        <v>OK</v>
      </c>
      <c r="E6512" s="2" t="s">
        <v>201</v>
      </c>
    </row>
    <row r="6513" spans="1:5" x14ac:dyDescent="0.2">
      <c r="A6513">
        <v>6452</v>
      </c>
      <c r="D6513" s="2" t="str">
        <f t="shared" si="100"/>
        <v>OK</v>
      </c>
      <c r="E6513" s="2" t="s">
        <v>201</v>
      </c>
    </row>
    <row r="6514" spans="1:5" x14ac:dyDescent="0.2">
      <c r="A6514">
        <v>6453</v>
      </c>
      <c r="D6514" s="2" t="str">
        <f t="shared" si="100"/>
        <v>OK</v>
      </c>
      <c r="E6514" s="2" t="s">
        <v>201</v>
      </c>
    </row>
    <row r="6515" spans="1:5" x14ac:dyDescent="0.2">
      <c r="A6515">
        <v>6454</v>
      </c>
      <c r="D6515" s="2" t="str">
        <f t="shared" si="100"/>
        <v>OK</v>
      </c>
      <c r="E6515" s="2" t="s">
        <v>201</v>
      </c>
    </row>
    <row r="6516" spans="1:5" x14ac:dyDescent="0.2">
      <c r="A6516">
        <v>6455</v>
      </c>
      <c r="D6516" s="2" t="str">
        <f t="shared" si="100"/>
        <v>OK</v>
      </c>
      <c r="E6516" s="2" t="s">
        <v>201</v>
      </c>
    </row>
    <row r="6517" spans="1:5" x14ac:dyDescent="0.2">
      <c r="A6517">
        <v>6456</v>
      </c>
      <c r="D6517" s="2" t="str">
        <f t="shared" si="100"/>
        <v>OK</v>
      </c>
      <c r="E6517" s="2" t="s">
        <v>201</v>
      </c>
    </row>
    <row r="6518" spans="1:5" x14ac:dyDescent="0.2">
      <c r="A6518">
        <v>6457</v>
      </c>
      <c r="D6518" s="2" t="str">
        <f t="shared" si="100"/>
        <v>OK</v>
      </c>
      <c r="E6518" s="2" t="s">
        <v>201</v>
      </c>
    </row>
    <row r="6519" spans="1:5" x14ac:dyDescent="0.2">
      <c r="A6519">
        <v>6458</v>
      </c>
      <c r="D6519" s="2" t="str">
        <f t="shared" si="100"/>
        <v>OK</v>
      </c>
      <c r="E6519" s="2" t="s">
        <v>201</v>
      </c>
    </row>
    <row r="6520" spans="1:5" x14ac:dyDescent="0.2">
      <c r="A6520">
        <v>6459</v>
      </c>
      <c r="D6520" s="2" t="str">
        <f t="shared" si="100"/>
        <v>OK</v>
      </c>
      <c r="E6520" s="2" t="s">
        <v>201</v>
      </c>
    </row>
    <row r="6521" spans="1:5" x14ac:dyDescent="0.2">
      <c r="A6521">
        <v>6460</v>
      </c>
      <c r="D6521" s="2" t="str">
        <f t="shared" si="100"/>
        <v>OK</v>
      </c>
      <c r="E6521" s="2" t="s">
        <v>201</v>
      </c>
    </row>
    <row r="6522" spans="1:5" x14ac:dyDescent="0.2">
      <c r="A6522">
        <v>6461</v>
      </c>
      <c r="D6522" s="2" t="str">
        <f t="shared" si="100"/>
        <v>OK</v>
      </c>
      <c r="E6522" s="2" t="s">
        <v>201</v>
      </c>
    </row>
    <row r="6523" spans="1:5" x14ac:dyDescent="0.2">
      <c r="A6523">
        <v>6462</v>
      </c>
      <c r="D6523" s="2" t="str">
        <f t="shared" si="100"/>
        <v>OK</v>
      </c>
      <c r="E6523" s="2" t="s">
        <v>201</v>
      </c>
    </row>
    <row r="6524" spans="1:5" x14ac:dyDescent="0.2">
      <c r="A6524">
        <v>6463</v>
      </c>
      <c r="D6524" s="2" t="str">
        <f t="shared" si="100"/>
        <v>OK</v>
      </c>
      <c r="E6524" s="2" t="s">
        <v>201</v>
      </c>
    </row>
    <row r="6525" spans="1:5" x14ac:dyDescent="0.2">
      <c r="A6525">
        <v>6464</v>
      </c>
      <c r="D6525" s="2" t="str">
        <f t="shared" si="100"/>
        <v>OK</v>
      </c>
      <c r="E6525" s="2" t="s">
        <v>201</v>
      </c>
    </row>
    <row r="6526" spans="1:5" x14ac:dyDescent="0.2">
      <c r="A6526">
        <v>6465</v>
      </c>
      <c r="D6526" s="2" t="str">
        <f t="shared" si="100"/>
        <v>OK</v>
      </c>
      <c r="E6526" s="2" t="s">
        <v>201</v>
      </c>
    </row>
    <row r="6527" spans="1:5" x14ac:dyDescent="0.2">
      <c r="A6527">
        <v>6466</v>
      </c>
      <c r="D6527" s="2" t="str">
        <f t="shared" ref="D6527:D6590" si="101">IF(ISBLANK(B6527),"OK",IF(A6527-B6527=0,"OK","Error?"))</f>
        <v>OK</v>
      </c>
      <c r="E6527" s="2" t="s">
        <v>201</v>
      </c>
    </row>
    <row r="6528" spans="1:5" x14ac:dyDescent="0.2">
      <c r="A6528">
        <v>6467</v>
      </c>
      <c r="D6528" s="2" t="str">
        <f t="shared" si="101"/>
        <v>OK</v>
      </c>
      <c r="E6528" s="2" t="s">
        <v>201</v>
      </c>
    </row>
    <row r="6529" spans="1:5" x14ac:dyDescent="0.2">
      <c r="A6529">
        <v>6468</v>
      </c>
      <c r="D6529" s="2" t="str">
        <f t="shared" si="101"/>
        <v>OK</v>
      </c>
      <c r="E6529" s="2" t="s">
        <v>201</v>
      </c>
    </row>
    <row r="6530" spans="1:5" x14ac:dyDescent="0.2">
      <c r="A6530">
        <v>6469</v>
      </c>
      <c r="D6530" s="2" t="str">
        <f t="shared" si="101"/>
        <v>OK</v>
      </c>
      <c r="E6530" s="2" t="s">
        <v>201</v>
      </c>
    </row>
    <row r="6531" spans="1:5" x14ac:dyDescent="0.2">
      <c r="A6531">
        <v>6470</v>
      </c>
      <c r="D6531" s="2" t="str">
        <f t="shared" si="101"/>
        <v>OK</v>
      </c>
      <c r="E6531" s="2" t="s">
        <v>201</v>
      </c>
    </row>
    <row r="6532" spans="1:5" x14ac:dyDescent="0.2">
      <c r="A6532">
        <v>6471</v>
      </c>
      <c r="D6532" s="2" t="str">
        <f t="shared" si="101"/>
        <v>OK</v>
      </c>
      <c r="E6532" s="2" t="s">
        <v>201</v>
      </c>
    </row>
    <row r="6533" spans="1:5" x14ac:dyDescent="0.2">
      <c r="A6533">
        <v>6472</v>
      </c>
      <c r="D6533" s="2" t="str">
        <f t="shared" si="101"/>
        <v>OK</v>
      </c>
      <c r="E6533" s="2" t="s">
        <v>201</v>
      </c>
    </row>
    <row r="6534" spans="1:5" x14ac:dyDescent="0.2">
      <c r="A6534">
        <v>6473</v>
      </c>
      <c r="D6534" s="2" t="str">
        <f t="shared" si="101"/>
        <v>OK</v>
      </c>
      <c r="E6534" s="2" t="s">
        <v>201</v>
      </c>
    </row>
    <row r="6535" spans="1:5" x14ac:dyDescent="0.2">
      <c r="A6535">
        <v>6474</v>
      </c>
      <c r="D6535" s="2" t="str">
        <f t="shared" si="101"/>
        <v>OK</v>
      </c>
      <c r="E6535" s="2" t="s">
        <v>201</v>
      </c>
    </row>
    <row r="6536" spans="1:5" x14ac:dyDescent="0.2">
      <c r="A6536">
        <v>6475</v>
      </c>
      <c r="D6536" s="2" t="str">
        <f t="shared" si="101"/>
        <v>OK</v>
      </c>
      <c r="E6536" s="2" t="s">
        <v>201</v>
      </c>
    </row>
    <row r="6537" spans="1:5" x14ac:dyDescent="0.2">
      <c r="A6537">
        <v>6476</v>
      </c>
      <c r="D6537" s="2" t="str">
        <f t="shared" si="101"/>
        <v>OK</v>
      </c>
      <c r="E6537" s="2" t="s">
        <v>201</v>
      </c>
    </row>
    <row r="6538" spans="1:5" x14ac:dyDescent="0.2">
      <c r="A6538">
        <v>6477</v>
      </c>
      <c r="D6538" s="2" t="str">
        <f t="shared" si="101"/>
        <v>OK</v>
      </c>
      <c r="E6538" s="2" t="s">
        <v>201</v>
      </c>
    </row>
    <row r="6539" spans="1:5" x14ac:dyDescent="0.2">
      <c r="A6539">
        <v>6478</v>
      </c>
      <c r="D6539" s="2" t="str">
        <f t="shared" si="101"/>
        <v>OK</v>
      </c>
      <c r="E6539" s="2" t="s">
        <v>201</v>
      </c>
    </row>
    <row r="6540" spans="1:5" x14ac:dyDescent="0.2">
      <c r="A6540">
        <v>6479</v>
      </c>
      <c r="D6540" s="2" t="str">
        <f t="shared" si="101"/>
        <v>OK</v>
      </c>
      <c r="E6540" s="2" t="s">
        <v>201</v>
      </c>
    </row>
    <row r="6541" spans="1:5" x14ac:dyDescent="0.2">
      <c r="A6541">
        <v>6480</v>
      </c>
      <c r="D6541" s="2" t="str">
        <f t="shared" si="101"/>
        <v>OK</v>
      </c>
      <c r="E6541" s="2" t="s">
        <v>201</v>
      </c>
    </row>
    <row r="6542" spans="1:5" x14ac:dyDescent="0.2">
      <c r="A6542">
        <v>6481</v>
      </c>
      <c r="D6542" s="2" t="str">
        <f t="shared" si="101"/>
        <v>OK</v>
      </c>
      <c r="E6542" s="2" t="s">
        <v>201</v>
      </c>
    </row>
    <row r="6543" spans="1:5" x14ac:dyDescent="0.2">
      <c r="A6543">
        <v>6482</v>
      </c>
      <c r="D6543" s="2" t="str">
        <f t="shared" si="101"/>
        <v>OK</v>
      </c>
      <c r="E6543" s="2" t="s">
        <v>201</v>
      </c>
    </row>
    <row r="6544" spans="1:5" x14ac:dyDescent="0.2">
      <c r="A6544">
        <v>6483</v>
      </c>
      <c r="D6544" s="2" t="str">
        <f t="shared" si="101"/>
        <v>OK</v>
      </c>
      <c r="E6544" s="2" t="s">
        <v>201</v>
      </c>
    </row>
    <row r="6545" spans="1:5" x14ac:dyDescent="0.2">
      <c r="A6545">
        <v>6484</v>
      </c>
      <c r="D6545" s="2" t="str">
        <f t="shared" si="101"/>
        <v>OK</v>
      </c>
      <c r="E6545" s="2" t="s">
        <v>201</v>
      </c>
    </row>
    <row r="6546" spans="1:5" x14ac:dyDescent="0.2">
      <c r="A6546">
        <v>6485</v>
      </c>
      <c r="D6546" s="2" t="str">
        <f t="shared" si="101"/>
        <v>OK</v>
      </c>
      <c r="E6546" s="2" t="s">
        <v>201</v>
      </c>
    </row>
    <row r="6547" spans="1:5" x14ac:dyDescent="0.2">
      <c r="A6547">
        <v>6486</v>
      </c>
      <c r="D6547" s="2" t="str">
        <f t="shared" si="101"/>
        <v>OK</v>
      </c>
      <c r="E6547" s="2" t="s">
        <v>201</v>
      </c>
    </row>
    <row r="6548" spans="1:5" x14ac:dyDescent="0.2">
      <c r="A6548">
        <v>6487</v>
      </c>
      <c r="D6548" s="2" t="str">
        <f t="shared" si="101"/>
        <v>OK</v>
      </c>
      <c r="E6548" s="2" t="s">
        <v>201</v>
      </c>
    </row>
    <row r="6549" spans="1:5" x14ac:dyDescent="0.2">
      <c r="A6549">
        <v>6488</v>
      </c>
      <c r="D6549" s="2" t="str">
        <f t="shared" si="101"/>
        <v>OK</v>
      </c>
      <c r="E6549" s="2" t="s">
        <v>201</v>
      </c>
    </row>
    <row r="6550" spans="1:5" x14ac:dyDescent="0.2">
      <c r="A6550">
        <v>6489</v>
      </c>
      <c r="D6550" s="2" t="str">
        <f t="shared" si="101"/>
        <v>OK</v>
      </c>
      <c r="E6550" s="2" t="s">
        <v>201</v>
      </c>
    </row>
    <row r="6551" spans="1:5" x14ac:dyDescent="0.2">
      <c r="A6551">
        <v>6490</v>
      </c>
      <c r="D6551" s="2" t="str">
        <f t="shared" si="101"/>
        <v>OK</v>
      </c>
      <c r="E6551" s="2" t="s">
        <v>201</v>
      </c>
    </row>
    <row r="6552" spans="1:5" x14ac:dyDescent="0.2">
      <c r="A6552">
        <v>6491</v>
      </c>
      <c r="D6552" s="2" t="str">
        <f t="shared" si="101"/>
        <v>OK</v>
      </c>
      <c r="E6552" s="2" t="s">
        <v>201</v>
      </c>
    </row>
    <row r="6553" spans="1:5" x14ac:dyDescent="0.2">
      <c r="A6553">
        <v>6492</v>
      </c>
      <c r="D6553" s="2" t="str">
        <f t="shared" si="101"/>
        <v>OK</v>
      </c>
      <c r="E6553" s="2" t="s">
        <v>201</v>
      </c>
    </row>
    <row r="6554" spans="1:5" x14ac:dyDescent="0.2">
      <c r="A6554">
        <v>6493</v>
      </c>
      <c r="D6554" s="2" t="str">
        <f t="shared" si="101"/>
        <v>OK</v>
      </c>
      <c r="E6554" s="2" t="s">
        <v>201</v>
      </c>
    </row>
    <row r="6555" spans="1:5" x14ac:dyDescent="0.2">
      <c r="A6555">
        <v>6494</v>
      </c>
      <c r="D6555" s="2" t="str">
        <f t="shared" si="101"/>
        <v>OK</v>
      </c>
      <c r="E6555" s="2" t="s">
        <v>201</v>
      </c>
    </row>
    <row r="6556" spans="1:5" x14ac:dyDescent="0.2">
      <c r="A6556">
        <v>6495</v>
      </c>
      <c r="D6556" s="2" t="str">
        <f t="shared" si="101"/>
        <v>OK</v>
      </c>
      <c r="E6556" s="2" t="s">
        <v>201</v>
      </c>
    </row>
    <row r="6557" spans="1:5" x14ac:dyDescent="0.2">
      <c r="A6557">
        <v>6496</v>
      </c>
      <c r="D6557" s="2" t="str">
        <f t="shared" si="101"/>
        <v>OK</v>
      </c>
      <c r="E6557" s="2" t="s">
        <v>201</v>
      </c>
    </row>
    <row r="6558" spans="1:5" x14ac:dyDescent="0.2">
      <c r="A6558">
        <v>6497</v>
      </c>
      <c r="D6558" s="2" t="str">
        <f t="shared" si="101"/>
        <v>OK</v>
      </c>
      <c r="E6558" s="2" t="s">
        <v>201</v>
      </c>
    </row>
    <row r="6559" spans="1:5" x14ac:dyDescent="0.2">
      <c r="A6559">
        <v>6498</v>
      </c>
      <c r="D6559" s="2" t="str">
        <f t="shared" si="101"/>
        <v>OK</v>
      </c>
      <c r="E6559" s="2" t="s">
        <v>201</v>
      </c>
    </row>
    <row r="6560" spans="1:5" x14ac:dyDescent="0.2">
      <c r="A6560">
        <v>6499</v>
      </c>
      <c r="D6560" s="2" t="str">
        <f t="shared" si="101"/>
        <v>OK</v>
      </c>
      <c r="E6560" s="2" t="s">
        <v>201</v>
      </c>
    </row>
    <row r="6561" spans="1:5" x14ac:dyDescent="0.2">
      <c r="A6561">
        <v>6500</v>
      </c>
      <c r="D6561" s="2" t="str">
        <f t="shared" si="101"/>
        <v>OK</v>
      </c>
      <c r="E6561" s="2" t="s">
        <v>201</v>
      </c>
    </row>
    <row r="6562" spans="1:5" x14ac:dyDescent="0.2">
      <c r="A6562">
        <v>6501</v>
      </c>
      <c r="D6562" s="2" t="str">
        <f t="shared" si="101"/>
        <v>OK</v>
      </c>
      <c r="E6562" s="2" t="s">
        <v>201</v>
      </c>
    </row>
    <row r="6563" spans="1:5" x14ac:dyDescent="0.2">
      <c r="A6563">
        <v>6502</v>
      </c>
      <c r="D6563" s="2" t="str">
        <f t="shared" si="101"/>
        <v>OK</v>
      </c>
      <c r="E6563" s="2" t="s">
        <v>201</v>
      </c>
    </row>
    <row r="6564" spans="1:5" x14ac:dyDescent="0.2">
      <c r="A6564">
        <v>6503</v>
      </c>
      <c r="D6564" s="2" t="str">
        <f t="shared" si="101"/>
        <v>OK</v>
      </c>
      <c r="E6564" s="2" t="s">
        <v>201</v>
      </c>
    </row>
    <row r="6565" spans="1:5" x14ac:dyDescent="0.2">
      <c r="A6565">
        <v>6504</v>
      </c>
      <c r="D6565" s="2" t="str">
        <f t="shared" si="101"/>
        <v>OK</v>
      </c>
      <c r="E6565" s="2" t="s">
        <v>201</v>
      </c>
    </row>
    <row r="6566" spans="1:5" x14ac:dyDescent="0.2">
      <c r="A6566">
        <v>6505</v>
      </c>
      <c r="D6566" s="2" t="str">
        <f t="shared" si="101"/>
        <v>OK</v>
      </c>
      <c r="E6566" s="2" t="s">
        <v>201</v>
      </c>
    </row>
    <row r="6567" spans="1:5" x14ac:dyDescent="0.2">
      <c r="A6567">
        <v>6506</v>
      </c>
      <c r="D6567" s="2" t="str">
        <f t="shared" si="101"/>
        <v>OK</v>
      </c>
      <c r="E6567" s="2" t="s">
        <v>201</v>
      </c>
    </row>
    <row r="6568" spans="1:5" x14ac:dyDescent="0.2">
      <c r="A6568">
        <v>6507</v>
      </c>
      <c r="D6568" s="2" t="str">
        <f t="shared" si="101"/>
        <v>OK</v>
      </c>
      <c r="E6568" s="2" t="s">
        <v>201</v>
      </c>
    </row>
    <row r="6569" spans="1:5" x14ac:dyDescent="0.2">
      <c r="A6569">
        <v>6508</v>
      </c>
      <c r="D6569" s="2" t="str">
        <f t="shared" si="101"/>
        <v>OK</v>
      </c>
      <c r="E6569" s="2" t="s">
        <v>201</v>
      </c>
    </row>
    <row r="6570" spans="1:5" x14ac:dyDescent="0.2">
      <c r="A6570">
        <v>6509</v>
      </c>
      <c r="D6570" s="2" t="str">
        <f t="shared" si="101"/>
        <v>OK</v>
      </c>
      <c r="E6570" s="2" t="s">
        <v>201</v>
      </c>
    </row>
    <row r="6571" spans="1:5" x14ac:dyDescent="0.2">
      <c r="A6571">
        <v>6510</v>
      </c>
      <c r="D6571" s="2" t="str">
        <f t="shared" si="101"/>
        <v>OK</v>
      </c>
      <c r="E6571" s="2" t="s">
        <v>201</v>
      </c>
    </row>
    <row r="6572" spans="1:5" x14ac:dyDescent="0.2">
      <c r="A6572">
        <v>6511</v>
      </c>
      <c r="D6572" s="2" t="str">
        <f t="shared" si="101"/>
        <v>OK</v>
      </c>
      <c r="E6572" s="2" t="s">
        <v>201</v>
      </c>
    </row>
    <row r="6573" spans="1:5" x14ac:dyDescent="0.2">
      <c r="A6573">
        <v>6512</v>
      </c>
      <c r="D6573" s="2" t="str">
        <f t="shared" si="101"/>
        <v>OK</v>
      </c>
      <c r="E6573" s="2" t="s">
        <v>201</v>
      </c>
    </row>
    <row r="6574" spans="1:5" x14ac:dyDescent="0.2">
      <c r="A6574">
        <v>6513</v>
      </c>
      <c r="D6574" s="2" t="str">
        <f t="shared" si="101"/>
        <v>OK</v>
      </c>
      <c r="E6574" s="2" t="s">
        <v>201</v>
      </c>
    </row>
    <row r="6575" spans="1:5" x14ac:dyDescent="0.2">
      <c r="A6575">
        <v>6514</v>
      </c>
      <c r="D6575" s="2" t="str">
        <f t="shared" si="101"/>
        <v>OK</v>
      </c>
      <c r="E6575" s="2" t="s">
        <v>201</v>
      </c>
    </row>
    <row r="6576" spans="1:5" x14ac:dyDescent="0.2">
      <c r="A6576">
        <v>6515</v>
      </c>
      <c r="D6576" s="2" t="str">
        <f t="shared" si="101"/>
        <v>OK</v>
      </c>
      <c r="E6576" s="2" t="s">
        <v>201</v>
      </c>
    </row>
    <row r="6577" spans="1:5" x14ac:dyDescent="0.2">
      <c r="A6577">
        <v>6516</v>
      </c>
      <c r="D6577" s="2" t="str">
        <f t="shared" si="101"/>
        <v>OK</v>
      </c>
      <c r="E6577" s="2" t="s">
        <v>201</v>
      </c>
    </row>
    <row r="6578" spans="1:5" x14ac:dyDescent="0.2">
      <c r="A6578">
        <v>6517</v>
      </c>
      <c r="D6578" s="2" t="str">
        <f t="shared" si="101"/>
        <v>OK</v>
      </c>
      <c r="E6578" s="2" t="s">
        <v>201</v>
      </c>
    </row>
    <row r="6579" spans="1:5" x14ac:dyDescent="0.2">
      <c r="A6579">
        <v>6518</v>
      </c>
      <c r="D6579" s="2" t="str">
        <f t="shared" si="101"/>
        <v>OK</v>
      </c>
      <c r="E6579" s="2" t="s">
        <v>201</v>
      </c>
    </row>
    <row r="6580" spans="1:5" x14ac:dyDescent="0.2">
      <c r="A6580">
        <v>6519</v>
      </c>
      <c r="D6580" s="2" t="str">
        <f t="shared" si="101"/>
        <v>OK</v>
      </c>
      <c r="E6580" s="2" t="s">
        <v>201</v>
      </c>
    </row>
    <row r="6581" spans="1:5" x14ac:dyDescent="0.2">
      <c r="A6581">
        <v>6520</v>
      </c>
      <c r="D6581" s="2" t="str">
        <f t="shared" si="101"/>
        <v>OK</v>
      </c>
      <c r="E6581" s="2" t="s">
        <v>201</v>
      </c>
    </row>
    <row r="6582" spans="1:5" x14ac:dyDescent="0.2">
      <c r="A6582">
        <v>6521</v>
      </c>
      <c r="D6582" s="2" t="str">
        <f t="shared" si="101"/>
        <v>OK</v>
      </c>
      <c r="E6582" s="2" t="s">
        <v>201</v>
      </c>
    </row>
    <row r="6583" spans="1:5" x14ac:dyDescent="0.2">
      <c r="A6583">
        <v>6522</v>
      </c>
      <c r="D6583" s="2" t="str">
        <f t="shared" si="101"/>
        <v>OK</v>
      </c>
      <c r="E6583" s="2" t="s">
        <v>201</v>
      </c>
    </row>
    <row r="6584" spans="1:5" x14ac:dyDescent="0.2">
      <c r="A6584">
        <v>6523</v>
      </c>
      <c r="D6584" s="2" t="str">
        <f t="shared" si="101"/>
        <v>OK</v>
      </c>
      <c r="E6584" s="2" t="s">
        <v>201</v>
      </c>
    </row>
    <row r="6585" spans="1:5" x14ac:dyDescent="0.2">
      <c r="A6585">
        <v>6524</v>
      </c>
      <c r="D6585" s="2" t="str">
        <f t="shared" si="101"/>
        <v>OK</v>
      </c>
      <c r="E6585" s="2" t="s">
        <v>201</v>
      </c>
    </row>
    <row r="6586" spans="1:5" x14ac:dyDescent="0.2">
      <c r="A6586">
        <v>6525</v>
      </c>
      <c r="D6586" s="2" t="str">
        <f t="shared" si="101"/>
        <v>OK</v>
      </c>
      <c r="E6586" s="2" t="s">
        <v>201</v>
      </c>
    </row>
    <row r="6587" spans="1:5" x14ac:dyDescent="0.2">
      <c r="A6587">
        <v>6526</v>
      </c>
      <c r="D6587" s="2" t="str">
        <f t="shared" si="101"/>
        <v>OK</v>
      </c>
      <c r="E6587" s="2" t="s">
        <v>201</v>
      </c>
    </row>
    <row r="6588" spans="1:5" x14ac:dyDescent="0.2">
      <c r="A6588">
        <v>6527</v>
      </c>
      <c r="D6588" s="2" t="str">
        <f t="shared" si="101"/>
        <v>OK</v>
      </c>
      <c r="E6588" s="2" t="s">
        <v>201</v>
      </c>
    </row>
    <row r="6589" spans="1:5" x14ac:dyDescent="0.2">
      <c r="A6589">
        <v>6528</v>
      </c>
      <c r="D6589" s="2" t="str">
        <f t="shared" si="101"/>
        <v>OK</v>
      </c>
      <c r="E6589" s="2" t="s">
        <v>201</v>
      </c>
    </row>
    <row r="6590" spans="1:5" x14ac:dyDescent="0.2">
      <c r="A6590">
        <v>6529</v>
      </c>
      <c r="D6590" s="2" t="str">
        <f t="shared" si="101"/>
        <v>OK</v>
      </c>
      <c r="E6590" s="2" t="s">
        <v>201</v>
      </c>
    </row>
    <row r="6591" spans="1:5" x14ac:dyDescent="0.2">
      <c r="A6591">
        <v>6530</v>
      </c>
      <c r="D6591" s="2" t="str">
        <f t="shared" ref="D6591:D6654" si="102">IF(ISBLANK(B6591),"OK",IF(A6591-B6591=0,"OK","Error?"))</f>
        <v>OK</v>
      </c>
      <c r="E6591" s="2" t="s">
        <v>201</v>
      </c>
    </row>
    <row r="6592" spans="1:5" x14ac:dyDescent="0.2">
      <c r="A6592">
        <v>6531</v>
      </c>
      <c r="D6592" s="2" t="str">
        <f t="shared" si="102"/>
        <v>OK</v>
      </c>
      <c r="E6592" s="2" t="s">
        <v>201</v>
      </c>
    </row>
    <row r="6593" spans="1:5" x14ac:dyDescent="0.2">
      <c r="A6593">
        <v>6532</v>
      </c>
      <c r="D6593" s="2" t="str">
        <f t="shared" si="102"/>
        <v>OK</v>
      </c>
      <c r="E6593" s="2" t="s">
        <v>201</v>
      </c>
    </row>
    <row r="6594" spans="1:5" x14ac:dyDescent="0.2">
      <c r="A6594">
        <v>6533</v>
      </c>
      <c r="D6594" s="2" t="str">
        <f t="shared" si="102"/>
        <v>OK</v>
      </c>
      <c r="E6594" s="2" t="s">
        <v>201</v>
      </c>
    </row>
    <row r="6595" spans="1:5" x14ac:dyDescent="0.2">
      <c r="A6595">
        <v>6534</v>
      </c>
      <c r="D6595" s="2" t="str">
        <f t="shared" si="102"/>
        <v>OK</v>
      </c>
      <c r="E6595" s="2" t="s">
        <v>201</v>
      </c>
    </row>
    <row r="6596" spans="1:5" x14ac:dyDescent="0.2">
      <c r="A6596">
        <v>6535</v>
      </c>
      <c r="D6596" s="2" t="str">
        <f t="shared" si="102"/>
        <v>OK</v>
      </c>
      <c r="E6596" s="2" t="s">
        <v>201</v>
      </c>
    </row>
    <row r="6597" spans="1:5" x14ac:dyDescent="0.2">
      <c r="A6597">
        <v>6536</v>
      </c>
      <c r="D6597" s="2" t="str">
        <f t="shared" si="102"/>
        <v>OK</v>
      </c>
      <c r="E6597" s="2" t="s">
        <v>201</v>
      </c>
    </row>
    <row r="6598" spans="1:5" x14ac:dyDescent="0.2">
      <c r="A6598">
        <v>6537</v>
      </c>
      <c r="D6598" s="2" t="str">
        <f t="shared" si="102"/>
        <v>OK</v>
      </c>
      <c r="E6598" s="2" t="s">
        <v>201</v>
      </c>
    </row>
    <row r="6599" spans="1:5" x14ac:dyDescent="0.2">
      <c r="A6599">
        <v>6538</v>
      </c>
      <c r="D6599" s="2" t="str">
        <f t="shared" si="102"/>
        <v>OK</v>
      </c>
      <c r="E6599" s="2" t="s">
        <v>201</v>
      </c>
    </row>
    <row r="6600" spans="1:5" x14ac:dyDescent="0.2">
      <c r="A6600">
        <v>6539</v>
      </c>
      <c r="D6600" s="2" t="str">
        <f t="shared" si="102"/>
        <v>OK</v>
      </c>
      <c r="E6600" s="2" t="s">
        <v>201</v>
      </c>
    </row>
    <row r="6601" spans="1:5" x14ac:dyDescent="0.2">
      <c r="A6601">
        <v>6540</v>
      </c>
      <c r="D6601" s="2" t="str">
        <f t="shared" si="102"/>
        <v>OK</v>
      </c>
      <c r="E6601" s="2" t="s">
        <v>201</v>
      </c>
    </row>
    <row r="6602" spans="1:5" x14ac:dyDescent="0.2">
      <c r="A6602">
        <v>6541</v>
      </c>
      <c r="D6602" s="2" t="str">
        <f t="shared" si="102"/>
        <v>OK</v>
      </c>
      <c r="E6602" s="2" t="s">
        <v>201</v>
      </c>
    </row>
    <row r="6603" spans="1:5" x14ac:dyDescent="0.2">
      <c r="A6603">
        <v>6542</v>
      </c>
      <c r="D6603" s="2" t="str">
        <f t="shared" si="102"/>
        <v>OK</v>
      </c>
      <c r="E6603" s="2" t="s">
        <v>201</v>
      </c>
    </row>
    <row r="6604" spans="1:5" x14ac:dyDescent="0.2">
      <c r="A6604">
        <v>6543</v>
      </c>
      <c r="D6604" s="2" t="str">
        <f t="shared" si="102"/>
        <v>OK</v>
      </c>
      <c r="E6604" s="2" t="s">
        <v>201</v>
      </c>
    </row>
    <row r="6605" spans="1:5" x14ac:dyDescent="0.2">
      <c r="A6605">
        <v>6544</v>
      </c>
      <c r="D6605" s="2" t="str">
        <f t="shared" si="102"/>
        <v>OK</v>
      </c>
      <c r="E6605" s="2" t="s">
        <v>201</v>
      </c>
    </row>
    <row r="6606" spans="1:5" x14ac:dyDescent="0.2">
      <c r="A6606">
        <v>6545</v>
      </c>
      <c r="D6606" s="2" t="str">
        <f t="shared" si="102"/>
        <v>OK</v>
      </c>
      <c r="E6606" s="2" t="s">
        <v>201</v>
      </c>
    </row>
    <row r="6607" spans="1:5" x14ac:dyDescent="0.2">
      <c r="A6607">
        <v>6546</v>
      </c>
      <c r="D6607" s="2" t="str">
        <f t="shared" si="102"/>
        <v>OK</v>
      </c>
      <c r="E6607" s="2" t="s">
        <v>201</v>
      </c>
    </row>
    <row r="6608" spans="1:5" x14ac:dyDescent="0.2">
      <c r="A6608">
        <v>6547</v>
      </c>
      <c r="D6608" s="2" t="str">
        <f t="shared" si="102"/>
        <v>OK</v>
      </c>
      <c r="E6608" s="2" t="s">
        <v>201</v>
      </c>
    </row>
    <row r="6609" spans="1:5" x14ac:dyDescent="0.2">
      <c r="A6609">
        <v>6548</v>
      </c>
      <c r="D6609" s="2" t="str">
        <f t="shared" si="102"/>
        <v>OK</v>
      </c>
      <c r="E6609" s="2" t="s">
        <v>201</v>
      </c>
    </row>
    <row r="6610" spans="1:5" x14ac:dyDescent="0.2">
      <c r="A6610">
        <v>6549</v>
      </c>
      <c r="D6610" s="2" t="str">
        <f t="shared" si="102"/>
        <v>OK</v>
      </c>
      <c r="E6610" s="2" t="s">
        <v>201</v>
      </c>
    </row>
    <row r="6611" spans="1:5" x14ac:dyDescent="0.2">
      <c r="A6611">
        <v>6550</v>
      </c>
      <c r="D6611" s="2" t="str">
        <f t="shared" si="102"/>
        <v>OK</v>
      </c>
      <c r="E6611" s="2" t="s">
        <v>201</v>
      </c>
    </row>
    <row r="6612" spans="1:5" x14ac:dyDescent="0.2">
      <c r="A6612">
        <v>6551</v>
      </c>
      <c r="D6612" s="2" t="str">
        <f t="shared" si="102"/>
        <v>OK</v>
      </c>
      <c r="E6612" s="2" t="s">
        <v>201</v>
      </c>
    </row>
    <row r="6613" spans="1:5" x14ac:dyDescent="0.2">
      <c r="A6613">
        <v>6552</v>
      </c>
      <c r="D6613" s="2" t="str">
        <f t="shared" si="102"/>
        <v>OK</v>
      </c>
      <c r="E6613" s="2" t="s">
        <v>201</v>
      </c>
    </row>
    <row r="6614" spans="1:5" x14ac:dyDescent="0.2">
      <c r="A6614">
        <v>6553</v>
      </c>
      <c r="B6614" s="138">
        <f>'Revenues 9-14'!C230</f>
        <v>0</v>
      </c>
      <c r="D6614" s="2" t="str">
        <f t="shared" si="102"/>
        <v>Error?</v>
      </c>
      <c r="E6614" s="2" t="s">
        <v>199</v>
      </c>
    </row>
    <row r="6615" spans="1:5" x14ac:dyDescent="0.2">
      <c r="A6615">
        <v>6554</v>
      </c>
      <c r="B6615" s="138">
        <f>'Revenues 9-14'!D230</f>
        <v>0</v>
      </c>
      <c r="D6615" s="2" t="str">
        <f t="shared" si="102"/>
        <v>Error?</v>
      </c>
      <c r="E6615" s="2" t="s">
        <v>199</v>
      </c>
    </row>
    <row r="6616" spans="1:5" x14ac:dyDescent="0.2">
      <c r="A6616">
        <v>6555</v>
      </c>
      <c r="B6616" s="138">
        <f>'Revenues 9-14'!E230</f>
        <v>0</v>
      </c>
      <c r="D6616" s="2" t="str">
        <f t="shared" si="102"/>
        <v>Error?</v>
      </c>
      <c r="E6616" s="2" t="s">
        <v>199</v>
      </c>
    </row>
    <row r="6617" spans="1:5" x14ac:dyDescent="0.2">
      <c r="A6617">
        <v>6556</v>
      </c>
      <c r="B6617" s="138">
        <f>'Revenues 9-14'!F230</f>
        <v>0</v>
      </c>
      <c r="D6617" s="2" t="str">
        <f t="shared" si="102"/>
        <v>Error?</v>
      </c>
      <c r="E6617" s="2" t="s">
        <v>199</v>
      </c>
    </row>
    <row r="6618" spans="1:5" x14ac:dyDescent="0.2">
      <c r="A6618">
        <v>6557</v>
      </c>
      <c r="B6618" s="138">
        <f>'Revenues 9-14'!G230</f>
        <v>0</v>
      </c>
      <c r="D6618" s="2" t="str">
        <f t="shared" si="102"/>
        <v>Error?</v>
      </c>
      <c r="E6618" s="2" t="s">
        <v>199</v>
      </c>
    </row>
    <row r="6619" spans="1:5" x14ac:dyDescent="0.2">
      <c r="A6619">
        <v>6558</v>
      </c>
      <c r="B6619" s="138">
        <f>'Revenues 9-14'!H230</f>
        <v>0</v>
      </c>
      <c r="D6619" s="2" t="str">
        <f t="shared" si="102"/>
        <v>Error?</v>
      </c>
      <c r="E6619" s="2" t="s">
        <v>199</v>
      </c>
    </row>
    <row r="6620" spans="1:5" x14ac:dyDescent="0.2">
      <c r="A6620">
        <v>6559</v>
      </c>
      <c r="B6620" s="138">
        <f>'Revenues 9-14'!J230</f>
        <v>0</v>
      </c>
      <c r="D6620" s="2" t="str">
        <f t="shared" si="102"/>
        <v>Error?</v>
      </c>
      <c r="E6620" s="2" t="s">
        <v>199</v>
      </c>
    </row>
    <row r="6621" spans="1:5" x14ac:dyDescent="0.2">
      <c r="A6621">
        <v>6560</v>
      </c>
      <c r="B6621" s="138">
        <f>'Revenues 9-14'!K230</f>
        <v>0</v>
      </c>
      <c r="D6621" s="2" t="str">
        <f t="shared" si="102"/>
        <v>Error?</v>
      </c>
      <c r="E6621" s="2" t="s">
        <v>199</v>
      </c>
    </row>
    <row r="6622" spans="1:5" x14ac:dyDescent="0.2">
      <c r="A6622">
        <v>6561</v>
      </c>
      <c r="B6622" s="138">
        <f>'Revenues 9-14'!C231</f>
        <v>0</v>
      </c>
      <c r="D6622" s="2" t="str">
        <f t="shared" si="102"/>
        <v>Error?</v>
      </c>
      <c r="E6622" s="2" t="s">
        <v>199</v>
      </c>
    </row>
    <row r="6623" spans="1:5" x14ac:dyDescent="0.2">
      <c r="A6623">
        <v>6562</v>
      </c>
      <c r="B6623" s="138">
        <f>'Revenues 9-14'!D231</f>
        <v>0</v>
      </c>
      <c r="D6623" s="2" t="str">
        <f t="shared" si="102"/>
        <v>Error?</v>
      </c>
      <c r="E6623" s="2" t="s">
        <v>199</v>
      </c>
    </row>
    <row r="6624" spans="1:5" x14ac:dyDescent="0.2">
      <c r="A6624">
        <v>6563</v>
      </c>
      <c r="B6624" s="138">
        <f>'Revenues 9-14'!F231</f>
        <v>0</v>
      </c>
      <c r="D6624" s="2" t="str">
        <f t="shared" si="102"/>
        <v>Error?</v>
      </c>
      <c r="E6624" s="2" t="s">
        <v>199</v>
      </c>
    </row>
    <row r="6625" spans="1:5" x14ac:dyDescent="0.2">
      <c r="A6625">
        <v>6564</v>
      </c>
      <c r="B6625" s="138">
        <f>'Revenues 9-14'!G231</f>
        <v>0</v>
      </c>
      <c r="D6625" s="2" t="str">
        <f t="shared" si="102"/>
        <v>Error?</v>
      </c>
      <c r="E6625" s="2" t="s">
        <v>199</v>
      </c>
    </row>
    <row r="6626" spans="1:5" x14ac:dyDescent="0.2">
      <c r="A6626">
        <v>6565</v>
      </c>
      <c r="B6626" s="138">
        <f>'Revenues 9-14'!C232</f>
        <v>0</v>
      </c>
      <c r="D6626" s="2" t="str">
        <f t="shared" si="102"/>
        <v>Error?</v>
      </c>
      <c r="E6626" s="2" t="s">
        <v>199</v>
      </c>
    </row>
    <row r="6627" spans="1:5" x14ac:dyDescent="0.2">
      <c r="A6627">
        <v>6566</v>
      </c>
      <c r="B6627" s="138">
        <f>'Revenues 9-14'!D232</f>
        <v>0</v>
      </c>
      <c r="D6627" s="2" t="str">
        <f t="shared" si="102"/>
        <v>Error?</v>
      </c>
      <c r="E6627" s="2" t="s">
        <v>199</v>
      </c>
    </row>
    <row r="6628" spans="1:5" x14ac:dyDescent="0.2">
      <c r="A6628">
        <v>6567</v>
      </c>
      <c r="B6628" s="138">
        <f>'Revenues 9-14'!E232</f>
        <v>0</v>
      </c>
      <c r="D6628" s="2" t="str">
        <f t="shared" si="102"/>
        <v>Error?</v>
      </c>
      <c r="E6628" s="2" t="s">
        <v>199</v>
      </c>
    </row>
    <row r="6629" spans="1:5" x14ac:dyDescent="0.2">
      <c r="A6629">
        <v>6568</v>
      </c>
      <c r="B6629" s="138">
        <f>'Revenues 9-14'!F232</f>
        <v>0</v>
      </c>
      <c r="D6629" s="2" t="str">
        <f t="shared" si="102"/>
        <v>Error?</v>
      </c>
      <c r="E6629" s="2" t="s">
        <v>199</v>
      </c>
    </row>
    <row r="6630" spans="1:5" x14ac:dyDescent="0.2">
      <c r="A6630">
        <v>6569</v>
      </c>
      <c r="B6630" s="138">
        <f>'Revenues 9-14'!G232</f>
        <v>0</v>
      </c>
      <c r="D6630" s="2" t="str">
        <f t="shared" si="102"/>
        <v>Error?</v>
      </c>
      <c r="E6630" s="2" t="s">
        <v>199</v>
      </c>
    </row>
    <row r="6631" spans="1:5" x14ac:dyDescent="0.2">
      <c r="A6631">
        <v>6570</v>
      </c>
      <c r="B6631" s="138">
        <f>'Revenues 9-14'!H232</f>
        <v>0</v>
      </c>
      <c r="D6631" s="2" t="str">
        <f t="shared" si="102"/>
        <v>Error?</v>
      </c>
      <c r="E6631" s="2" t="s">
        <v>199</v>
      </c>
    </row>
    <row r="6632" spans="1:5" x14ac:dyDescent="0.2">
      <c r="A6632">
        <v>6571</v>
      </c>
      <c r="B6632" s="138">
        <f>'Revenues 9-14'!J232</f>
        <v>0</v>
      </c>
      <c r="D6632" s="2" t="str">
        <f t="shared" si="102"/>
        <v>Error?</v>
      </c>
      <c r="E6632" s="2" t="s">
        <v>199</v>
      </c>
    </row>
    <row r="6633" spans="1:5" x14ac:dyDescent="0.2">
      <c r="A6633">
        <v>6572</v>
      </c>
      <c r="B6633" s="138">
        <f>'Revenues 9-14'!K232</f>
        <v>0</v>
      </c>
      <c r="D6633" s="2" t="str">
        <f t="shared" si="102"/>
        <v>Error?</v>
      </c>
      <c r="E6633" s="2" t="s">
        <v>199</v>
      </c>
    </row>
    <row r="6634" spans="1:5" x14ac:dyDescent="0.2">
      <c r="A6634">
        <v>6573</v>
      </c>
      <c r="B6634" s="138">
        <f>'Revenues 9-14'!C233</f>
        <v>0</v>
      </c>
      <c r="D6634" s="2" t="str">
        <f t="shared" si="102"/>
        <v>Error?</v>
      </c>
      <c r="E6634" s="2" t="s">
        <v>199</v>
      </c>
    </row>
    <row r="6635" spans="1:5" x14ac:dyDescent="0.2">
      <c r="A6635">
        <v>6574</v>
      </c>
      <c r="B6635" s="138">
        <f>'Revenues 9-14'!D233</f>
        <v>0</v>
      </c>
      <c r="D6635" s="2" t="str">
        <f t="shared" si="102"/>
        <v>Error?</v>
      </c>
      <c r="E6635" s="2" t="s">
        <v>199</v>
      </c>
    </row>
    <row r="6636" spans="1:5" x14ac:dyDescent="0.2">
      <c r="A6636">
        <v>6575</v>
      </c>
      <c r="B6636" s="138">
        <f>'Revenues 9-14'!E233</f>
        <v>0</v>
      </c>
      <c r="D6636" s="2" t="str">
        <f t="shared" si="102"/>
        <v>Error?</v>
      </c>
      <c r="E6636" s="2" t="s">
        <v>199</v>
      </c>
    </row>
    <row r="6637" spans="1:5" x14ac:dyDescent="0.2">
      <c r="A6637">
        <v>6576</v>
      </c>
      <c r="B6637" s="138">
        <f>'Revenues 9-14'!F233</f>
        <v>0</v>
      </c>
      <c r="D6637" s="2" t="str">
        <f t="shared" si="102"/>
        <v>Error?</v>
      </c>
      <c r="E6637" s="2" t="s">
        <v>199</v>
      </c>
    </row>
    <row r="6638" spans="1:5" x14ac:dyDescent="0.2">
      <c r="A6638">
        <v>6577</v>
      </c>
      <c r="B6638" s="138">
        <f>'Revenues 9-14'!G233</f>
        <v>0</v>
      </c>
      <c r="D6638" s="2" t="str">
        <f t="shared" si="102"/>
        <v>Error?</v>
      </c>
      <c r="E6638" s="2" t="s">
        <v>199</v>
      </c>
    </row>
    <row r="6639" spans="1:5" x14ac:dyDescent="0.2">
      <c r="A6639">
        <v>6578</v>
      </c>
      <c r="B6639" s="138">
        <f>'Revenues 9-14'!H233</f>
        <v>0</v>
      </c>
      <c r="D6639" s="2" t="str">
        <f t="shared" si="102"/>
        <v>Error?</v>
      </c>
      <c r="E6639" s="2" t="s">
        <v>199</v>
      </c>
    </row>
    <row r="6640" spans="1:5" x14ac:dyDescent="0.2">
      <c r="A6640">
        <v>6579</v>
      </c>
      <c r="B6640" s="138">
        <f>'Revenues 9-14'!J233</f>
        <v>0</v>
      </c>
      <c r="D6640" s="2" t="str">
        <f t="shared" si="102"/>
        <v>Error?</v>
      </c>
      <c r="E6640" s="2" t="s">
        <v>199</v>
      </c>
    </row>
    <row r="6641" spans="1:5" x14ac:dyDescent="0.2">
      <c r="A6641">
        <v>6580</v>
      </c>
      <c r="B6641" s="138">
        <f>'Revenues 9-14'!K233</f>
        <v>0</v>
      </c>
      <c r="D6641" s="2" t="str">
        <f t="shared" si="102"/>
        <v>Error?</v>
      </c>
      <c r="E6641" s="2" t="s">
        <v>199</v>
      </c>
    </row>
    <row r="6642" spans="1:5" x14ac:dyDescent="0.2">
      <c r="A6642">
        <v>6581</v>
      </c>
      <c r="B6642" s="138">
        <f>'Revenues 9-14'!C234</f>
        <v>0</v>
      </c>
      <c r="D6642" s="2" t="str">
        <f t="shared" si="102"/>
        <v>Error?</v>
      </c>
      <c r="E6642" s="2" t="s">
        <v>199</v>
      </c>
    </row>
    <row r="6643" spans="1:5" x14ac:dyDescent="0.2">
      <c r="A6643">
        <v>6582</v>
      </c>
      <c r="B6643" s="138">
        <f>'Revenues 9-14'!D234</f>
        <v>0</v>
      </c>
      <c r="D6643" s="2" t="str">
        <f t="shared" si="102"/>
        <v>Error?</v>
      </c>
      <c r="E6643" s="2" t="s">
        <v>199</v>
      </c>
    </row>
    <row r="6644" spans="1:5" x14ac:dyDescent="0.2">
      <c r="A6644">
        <v>6583</v>
      </c>
      <c r="B6644" s="138">
        <f>'Revenues 9-14'!E234</f>
        <v>0</v>
      </c>
      <c r="D6644" s="2" t="str">
        <f t="shared" si="102"/>
        <v>Error?</v>
      </c>
      <c r="E6644" s="2" t="s">
        <v>199</v>
      </c>
    </row>
    <row r="6645" spans="1:5" x14ac:dyDescent="0.2">
      <c r="A6645">
        <v>6584</v>
      </c>
      <c r="B6645" s="138">
        <f>'Revenues 9-14'!F234</f>
        <v>0</v>
      </c>
      <c r="D6645" s="2" t="str">
        <f t="shared" si="102"/>
        <v>Error?</v>
      </c>
      <c r="E6645" s="2" t="s">
        <v>199</v>
      </c>
    </row>
    <row r="6646" spans="1:5" x14ac:dyDescent="0.2">
      <c r="A6646">
        <v>6585</v>
      </c>
      <c r="B6646" s="138">
        <f>'Revenues 9-14'!G234</f>
        <v>0</v>
      </c>
      <c r="D6646" s="2" t="str">
        <f t="shared" si="102"/>
        <v>Error?</v>
      </c>
      <c r="E6646" s="2" t="s">
        <v>199</v>
      </c>
    </row>
    <row r="6647" spans="1:5" x14ac:dyDescent="0.2">
      <c r="A6647">
        <v>6586</v>
      </c>
      <c r="B6647" s="138">
        <f>'Revenues 9-14'!H234</f>
        <v>0</v>
      </c>
      <c r="D6647" s="2" t="str">
        <f t="shared" si="102"/>
        <v>Error?</v>
      </c>
      <c r="E6647" s="2" t="s">
        <v>199</v>
      </c>
    </row>
    <row r="6648" spans="1:5" x14ac:dyDescent="0.2">
      <c r="A6648">
        <v>6587</v>
      </c>
      <c r="B6648" s="138">
        <f>'Revenues 9-14'!J234</f>
        <v>0</v>
      </c>
      <c r="D6648" s="2" t="str">
        <f t="shared" si="102"/>
        <v>Error?</v>
      </c>
      <c r="E6648" s="2" t="s">
        <v>199</v>
      </c>
    </row>
    <row r="6649" spans="1:5" x14ac:dyDescent="0.2">
      <c r="A6649">
        <v>6588</v>
      </c>
      <c r="B6649" s="138">
        <f>'Revenues 9-14'!K234</f>
        <v>0</v>
      </c>
      <c r="D6649" s="2" t="str">
        <f t="shared" si="102"/>
        <v>Error?</v>
      </c>
      <c r="E6649" s="2" t="s">
        <v>199</v>
      </c>
    </row>
    <row r="6650" spans="1:5" x14ac:dyDescent="0.2">
      <c r="A6650">
        <v>6589</v>
      </c>
      <c r="B6650" s="138">
        <f>'Revenues 9-14'!C235</f>
        <v>0</v>
      </c>
      <c r="D6650" s="2" t="str">
        <f t="shared" si="102"/>
        <v>Error?</v>
      </c>
      <c r="E6650" s="2" t="s">
        <v>199</v>
      </c>
    </row>
    <row r="6651" spans="1:5" x14ac:dyDescent="0.2">
      <c r="A6651">
        <v>6590</v>
      </c>
      <c r="B6651" s="138">
        <f>'Revenues 9-14'!D235</f>
        <v>0</v>
      </c>
      <c r="D6651" s="2" t="str">
        <f t="shared" si="102"/>
        <v>Error?</v>
      </c>
      <c r="E6651" s="2" t="s">
        <v>199</v>
      </c>
    </row>
    <row r="6652" spans="1:5" x14ac:dyDescent="0.2">
      <c r="A6652">
        <v>6591</v>
      </c>
      <c r="B6652" s="138">
        <f>'Revenues 9-14'!E235</f>
        <v>0</v>
      </c>
      <c r="D6652" s="2" t="str">
        <f t="shared" si="102"/>
        <v>Error?</v>
      </c>
      <c r="E6652" s="2" t="s">
        <v>199</v>
      </c>
    </row>
    <row r="6653" spans="1:5" x14ac:dyDescent="0.2">
      <c r="A6653">
        <v>6592</v>
      </c>
      <c r="B6653" s="138">
        <f>'Revenues 9-14'!F235</f>
        <v>0</v>
      </c>
      <c r="D6653" s="2" t="str">
        <f t="shared" si="102"/>
        <v>Error?</v>
      </c>
      <c r="E6653" s="2" t="s">
        <v>199</v>
      </c>
    </row>
    <row r="6654" spans="1:5" x14ac:dyDescent="0.2">
      <c r="A6654">
        <v>6593</v>
      </c>
      <c r="B6654" s="138">
        <f>'Revenues 9-14'!G235</f>
        <v>0</v>
      </c>
      <c r="D6654" s="2" t="str">
        <f t="shared" si="102"/>
        <v>Error?</v>
      </c>
      <c r="E6654" s="2" t="s">
        <v>199</v>
      </c>
    </row>
    <row r="6655" spans="1:5" x14ac:dyDescent="0.2">
      <c r="A6655">
        <v>6594</v>
      </c>
      <c r="B6655" s="138">
        <f>'Revenues 9-14'!H235</f>
        <v>0</v>
      </c>
      <c r="D6655" s="2" t="str">
        <f t="shared" ref="D6655:D6718" si="103">IF(ISBLANK(B6655),"OK",IF(A6655-B6655=0,"OK","Error?"))</f>
        <v>Error?</v>
      </c>
      <c r="E6655" s="2" t="s">
        <v>199</v>
      </c>
    </row>
    <row r="6656" spans="1:5" x14ac:dyDescent="0.2">
      <c r="A6656">
        <v>6595</v>
      </c>
      <c r="B6656" s="138">
        <f>'Revenues 9-14'!J235</f>
        <v>0</v>
      </c>
      <c r="D6656" s="2" t="str">
        <f t="shared" si="103"/>
        <v>Error?</v>
      </c>
      <c r="E6656" s="2" t="s">
        <v>199</v>
      </c>
    </row>
    <row r="6657" spans="1:5" x14ac:dyDescent="0.2">
      <c r="A6657">
        <v>6596</v>
      </c>
      <c r="B6657" s="138">
        <f>'Revenues 9-14'!K235</f>
        <v>0</v>
      </c>
      <c r="D6657" s="2" t="str">
        <f t="shared" si="103"/>
        <v>Error?</v>
      </c>
      <c r="E6657" s="2" t="s">
        <v>199</v>
      </c>
    </row>
    <row r="6658" spans="1:5" x14ac:dyDescent="0.2">
      <c r="A6658">
        <v>6597</v>
      </c>
      <c r="B6658" s="138">
        <f>'Revenues 9-14'!C236</f>
        <v>0</v>
      </c>
      <c r="D6658" s="2" t="str">
        <f t="shared" si="103"/>
        <v>Error?</v>
      </c>
      <c r="E6658" s="2" t="s">
        <v>199</v>
      </c>
    </row>
    <row r="6659" spans="1:5" x14ac:dyDescent="0.2">
      <c r="A6659">
        <v>6598</v>
      </c>
      <c r="B6659" s="138">
        <f>'Revenues 9-14'!D236</f>
        <v>0</v>
      </c>
      <c r="D6659" s="2" t="str">
        <f t="shared" si="103"/>
        <v>Error?</v>
      </c>
      <c r="E6659" s="2" t="s">
        <v>199</v>
      </c>
    </row>
    <row r="6660" spans="1:5" x14ac:dyDescent="0.2">
      <c r="A6660">
        <v>6599</v>
      </c>
      <c r="B6660" s="138">
        <f>'Revenues 9-14'!E236</f>
        <v>0</v>
      </c>
      <c r="D6660" s="2" t="str">
        <f t="shared" si="103"/>
        <v>Error?</v>
      </c>
      <c r="E6660" s="2" t="s">
        <v>199</v>
      </c>
    </row>
    <row r="6661" spans="1:5" x14ac:dyDescent="0.2">
      <c r="A6661">
        <v>6600</v>
      </c>
      <c r="B6661" s="138">
        <f>'Revenues 9-14'!F236</f>
        <v>0</v>
      </c>
      <c r="D6661" s="2" t="str">
        <f t="shared" si="103"/>
        <v>Error?</v>
      </c>
      <c r="E6661" s="2" t="s">
        <v>199</v>
      </c>
    </row>
    <row r="6662" spans="1:5" x14ac:dyDescent="0.2">
      <c r="A6662">
        <v>6601</v>
      </c>
      <c r="B6662" s="138">
        <f>'Revenues 9-14'!G236</f>
        <v>0</v>
      </c>
      <c r="D6662" s="2" t="str">
        <f t="shared" si="103"/>
        <v>Error?</v>
      </c>
      <c r="E6662" s="2" t="s">
        <v>199</v>
      </c>
    </row>
    <row r="6663" spans="1:5" x14ac:dyDescent="0.2">
      <c r="A6663">
        <v>6602</v>
      </c>
      <c r="B6663" s="138">
        <f>'Revenues 9-14'!H236</f>
        <v>0</v>
      </c>
      <c r="D6663" s="2" t="str">
        <f t="shared" si="103"/>
        <v>Error?</v>
      </c>
      <c r="E6663" s="2" t="s">
        <v>199</v>
      </c>
    </row>
    <row r="6664" spans="1:5" x14ac:dyDescent="0.2">
      <c r="A6664">
        <v>6603</v>
      </c>
      <c r="B6664" s="138">
        <f>'Revenues 9-14'!J236</f>
        <v>0</v>
      </c>
      <c r="D6664" s="2" t="str">
        <f t="shared" si="103"/>
        <v>Error?</v>
      </c>
      <c r="E6664" s="2" t="s">
        <v>199</v>
      </c>
    </row>
    <row r="6665" spans="1:5" x14ac:dyDescent="0.2">
      <c r="A6665">
        <v>6604</v>
      </c>
      <c r="B6665" s="138">
        <f>'Revenues 9-14'!K236</f>
        <v>0</v>
      </c>
      <c r="D6665" s="2" t="str">
        <f t="shared" si="103"/>
        <v>Error?</v>
      </c>
      <c r="E6665" s="2" t="s">
        <v>199</v>
      </c>
    </row>
    <row r="6666" spans="1:5" x14ac:dyDescent="0.2">
      <c r="A6666">
        <v>6605</v>
      </c>
      <c r="B6666" s="138">
        <f>'Revenues 9-14'!C237</f>
        <v>0</v>
      </c>
      <c r="D6666" s="2" t="str">
        <f t="shared" si="103"/>
        <v>Error?</v>
      </c>
      <c r="E6666" s="2" t="s">
        <v>199</v>
      </c>
    </row>
    <row r="6667" spans="1:5" x14ac:dyDescent="0.2">
      <c r="A6667">
        <v>6606</v>
      </c>
      <c r="B6667" s="138">
        <f>'Revenues 9-14'!D237</f>
        <v>0</v>
      </c>
      <c r="D6667" s="2" t="str">
        <f t="shared" si="103"/>
        <v>Error?</v>
      </c>
      <c r="E6667" s="2" t="s">
        <v>199</v>
      </c>
    </row>
    <row r="6668" spans="1:5" x14ac:dyDescent="0.2">
      <c r="A6668">
        <v>6607</v>
      </c>
      <c r="B6668" s="138">
        <f>'Revenues 9-14'!E237</f>
        <v>0</v>
      </c>
      <c r="D6668" s="2" t="str">
        <f t="shared" si="103"/>
        <v>Error?</v>
      </c>
      <c r="E6668" s="2" t="s">
        <v>199</v>
      </c>
    </row>
    <row r="6669" spans="1:5" x14ac:dyDescent="0.2">
      <c r="A6669">
        <v>6608</v>
      </c>
      <c r="B6669" s="138">
        <f>'Revenues 9-14'!F237</f>
        <v>0</v>
      </c>
      <c r="D6669" s="2" t="str">
        <f t="shared" si="103"/>
        <v>Error?</v>
      </c>
      <c r="E6669" s="2" t="s">
        <v>199</v>
      </c>
    </row>
    <row r="6670" spans="1:5" x14ac:dyDescent="0.2">
      <c r="A6670">
        <v>6609</v>
      </c>
      <c r="B6670" s="138">
        <f>'Revenues 9-14'!G237</f>
        <v>0</v>
      </c>
      <c r="D6670" s="2" t="str">
        <f t="shared" si="103"/>
        <v>Error?</v>
      </c>
      <c r="E6670" s="2" t="s">
        <v>199</v>
      </c>
    </row>
    <row r="6671" spans="1:5" x14ac:dyDescent="0.2">
      <c r="A6671">
        <v>6610</v>
      </c>
      <c r="B6671" s="138">
        <f>'Revenues 9-14'!H237</f>
        <v>0</v>
      </c>
      <c r="D6671" s="2" t="str">
        <f t="shared" si="103"/>
        <v>Error?</v>
      </c>
      <c r="E6671" s="2" t="s">
        <v>199</v>
      </c>
    </row>
    <row r="6672" spans="1:5" x14ac:dyDescent="0.2">
      <c r="A6672">
        <v>6611</v>
      </c>
      <c r="B6672" s="138">
        <f>'Revenues 9-14'!J237</f>
        <v>0</v>
      </c>
      <c r="D6672" s="2" t="str">
        <f t="shared" si="103"/>
        <v>Error?</v>
      </c>
      <c r="E6672" s="2" t="s">
        <v>199</v>
      </c>
    </row>
    <row r="6673" spans="1:5" x14ac:dyDescent="0.2">
      <c r="A6673">
        <v>6612</v>
      </c>
      <c r="B6673" s="138">
        <f>'Revenues 9-14'!K237</f>
        <v>0</v>
      </c>
      <c r="D6673" s="2" t="str">
        <f t="shared" si="103"/>
        <v>Error?</v>
      </c>
      <c r="E6673" s="2" t="s">
        <v>199</v>
      </c>
    </row>
    <row r="6674" spans="1:5" x14ac:dyDescent="0.2">
      <c r="A6674">
        <v>6613</v>
      </c>
      <c r="B6674" s="138">
        <f>'Revenues 9-14'!C238</f>
        <v>0</v>
      </c>
      <c r="D6674" s="2" t="str">
        <f t="shared" si="103"/>
        <v>Error?</v>
      </c>
      <c r="E6674" s="2" t="s">
        <v>199</v>
      </c>
    </row>
    <row r="6675" spans="1:5" x14ac:dyDescent="0.2">
      <c r="A6675">
        <v>6614</v>
      </c>
      <c r="B6675" s="138">
        <f>'Revenues 9-14'!D238</f>
        <v>0</v>
      </c>
      <c r="D6675" s="2" t="str">
        <f t="shared" si="103"/>
        <v>Error?</v>
      </c>
      <c r="E6675" s="2" t="s">
        <v>199</v>
      </c>
    </row>
    <row r="6676" spans="1:5" x14ac:dyDescent="0.2">
      <c r="A6676">
        <v>6615</v>
      </c>
      <c r="B6676" s="138">
        <f>'Revenues 9-14'!E238</f>
        <v>0</v>
      </c>
      <c r="D6676" s="2" t="str">
        <f t="shared" si="103"/>
        <v>Error?</v>
      </c>
      <c r="E6676" s="2" t="s">
        <v>199</v>
      </c>
    </row>
    <row r="6677" spans="1:5" x14ac:dyDescent="0.2">
      <c r="A6677">
        <v>6616</v>
      </c>
      <c r="B6677" s="138">
        <f>'Revenues 9-14'!F238</f>
        <v>0</v>
      </c>
      <c r="D6677" s="2" t="str">
        <f t="shared" si="103"/>
        <v>Error?</v>
      </c>
      <c r="E6677" s="2" t="s">
        <v>199</v>
      </c>
    </row>
    <row r="6678" spans="1:5" x14ac:dyDescent="0.2">
      <c r="A6678">
        <v>6617</v>
      </c>
      <c r="B6678" s="138">
        <f>'Revenues 9-14'!G238</f>
        <v>0</v>
      </c>
      <c r="D6678" s="2" t="str">
        <f t="shared" si="103"/>
        <v>Error?</v>
      </c>
      <c r="E6678" s="2" t="s">
        <v>199</v>
      </c>
    </row>
    <row r="6679" spans="1:5" x14ac:dyDescent="0.2">
      <c r="A6679">
        <v>6618</v>
      </c>
      <c r="B6679" s="138">
        <f>'Revenues 9-14'!H238</f>
        <v>0</v>
      </c>
      <c r="D6679" s="2" t="str">
        <f t="shared" si="103"/>
        <v>Error?</v>
      </c>
      <c r="E6679" s="2" t="s">
        <v>199</v>
      </c>
    </row>
    <row r="6680" spans="1:5" x14ac:dyDescent="0.2">
      <c r="A6680">
        <v>6619</v>
      </c>
      <c r="B6680" s="138">
        <f>'Revenues 9-14'!J238</f>
        <v>0</v>
      </c>
      <c r="D6680" s="2" t="str">
        <f t="shared" si="103"/>
        <v>Error?</v>
      </c>
      <c r="E6680" s="2" t="s">
        <v>199</v>
      </c>
    </row>
    <row r="6681" spans="1:5" x14ac:dyDescent="0.2">
      <c r="A6681">
        <v>6620</v>
      </c>
      <c r="B6681" s="138">
        <f>'Revenues 9-14'!K238</f>
        <v>0</v>
      </c>
      <c r="D6681" s="2" t="str">
        <f t="shared" si="103"/>
        <v>Error?</v>
      </c>
      <c r="E6681" s="2" t="s">
        <v>199</v>
      </c>
    </row>
    <row r="6682" spans="1:5" x14ac:dyDescent="0.2">
      <c r="A6682">
        <v>6621</v>
      </c>
      <c r="B6682" s="138">
        <f>'Revenues 9-14'!C239</f>
        <v>0</v>
      </c>
      <c r="D6682" s="2" t="str">
        <f t="shared" si="103"/>
        <v>Error?</v>
      </c>
      <c r="E6682" s="2" t="s">
        <v>199</v>
      </c>
    </row>
    <row r="6683" spans="1:5" x14ac:dyDescent="0.2">
      <c r="A6683">
        <v>6622</v>
      </c>
      <c r="B6683" s="138">
        <f>'Revenues 9-14'!D239</f>
        <v>0</v>
      </c>
      <c r="D6683" s="2" t="str">
        <f t="shared" si="103"/>
        <v>Error?</v>
      </c>
      <c r="E6683" s="2" t="s">
        <v>199</v>
      </c>
    </row>
    <row r="6684" spans="1:5" x14ac:dyDescent="0.2">
      <c r="A6684">
        <v>6623</v>
      </c>
      <c r="B6684" s="138">
        <f>'Revenues 9-14'!E239</f>
        <v>0</v>
      </c>
      <c r="D6684" s="2" t="str">
        <f t="shared" si="103"/>
        <v>Error?</v>
      </c>
      <c r="E6684" s="2" t="s">
        <v>199</v>
      </c>
    </row>
    <row r="6685" spans="1:5" x14ac:dyDescent="0.2">
      <c r="A6685">
        <v>6624</v>
      </c>
      <c r="B6685" s="138">
        <f>'Revenues 9-14'!F239</f>
        <v>0</v>
      </c>
      <c r="D6685" s="2" t="str">
        <f t="shared" si="103"/>
        <v>Error?</v>
      </c>
      <c r="E6685" s="2" t="s">
        <v>199</v>
      </c>
    </row>
    <row r="6686" spans="1:5" x14ac:dyDescent="0.2">
      <c r="A6686">
        <v>6625</v>
      </c>
      <c r="B6686" s="138">
        <f>'Revenues 9-14'!G239</f>
        <v>0</v>
      </c>
      <c r="D6686" s="2" t="str">
        <f t="shared" si="103"/>
        <v>Error?</v>
      </c>
      <c r="E6686" s="2" t="s">
        <v>199</v>
      </c>
    </row>
    <row r="6687" spans="1:5" x14ac:dyDescent="0.2">
      <c r="A6687">
        <v>6626</v>
      </c>
      <c r="B6687" s="138">
        <f>'Revenues 9-14'!H239</f>
        <v>0</v>
      </c>
      <c r="D6687" s="2" t="str">
        <f t="shared" si="103"/>
        <v>Error?</v>
      </c>
      <c r="E6687" s="2" t="s">
        <v>199</v>
      </c>
    </row>
    <row r="6688" spans="1:5" x14ac:dyDescent="0.2">
      <c r="A6688">
        <v>6627</v>
      </c>
      <c r="B6688" s="138">
        <f>'Revenues 9-14'!J239</f>
        <v>0</v>
      </c>
      <c r="D6688" s="2" t="str">
        <f t="shared" si="103"/>
        <v>Error?</v>
      </c>
      <c r="E6688" s="2" t="s">
        <v>199</v>
      </c>
    </row>
    <row r="6689" spans="1:5" x14ac:dyDescent="0.2">
      <c r="A6689">
        <v>6628</v>
      </c>
      <c r="B6689" s="138">
        <f>'Revenues 9-14'!K239</f>
        <v>0</v>
      </c>
      <c r="D6689" s="2" t="str">
        <f t="shared" si="103"/>
        <v>Error?</v>
      </c>
      <c r="E6689" s="2" t="s">
        <v>199</v>
      </c>
    </row>
    <row r="6690" spans="1:5" x14ac:dyDescent="0.2">
      <c r="A6690">
        <v>6629</v>
      </c>
      <c r="B6690" s="138">
        <f>'Revenues 9-14'!C240</f>
        <v>0</v>
      </c>
      <c r="D6690" s="2" t="str">
        <f t="shared" si="103"/>
        <v>Error?</v>
      </c>
      <c r="E6690" s="2" t="s">
        <v>199</v>
      </c>
    </row>
    <row r="6691" spans="1:5" x14ac:dyDescent="0.2">
      <c r="A6691">
        <v>6630</v>
      </c>
      <c r="B6691" s="138">
        <f>'Revenues 9-14'!D240</f>
        <v>0</v>
      </c>
      <c r="D6691" s="2" t="str">
        <f t="shared" si="103"/>
        <v>Error?</v>
      </c>
      <c r="E6691" s="2" t="s">
        <v>199</v>
      </c>
    </row>
    <row r="6692" spans="1:5" x14ac:dyDescent="0.2">
      <c r="A6692">
        <v>6631</v>
      </c>
      <c r="B6692" s="138">
        <f>'Revenues 9-14'!F240</f>
        <v>0</v>
      </c>
      <c r="D6692" s="2" t="str">
        <f t="shared" si="103"/>
        <v>Error?</v>
      </c>
      <c r="E6692" s="2" t="s">
        <v>199</v>
      </c>
    </row>
    <row r="6693" spans="1:5" x14ac:dyDescent="0.2">
      <c r="A6693">
        <v>6632</v>
      </c>
      <c r="B6693" s="138">
        <f>'Revenues 9-14'!G240</f>
        <v>0</v>
      </c>
      <c r="D6693" s="2" t="str">
        <f t="shared" si="103"/>
        <v>Error?</v>
      </c>
      <c r="E6693" s="2" t="s">
        <v>199</v>
      </c>
    </row>
    <row r="6694" spans="1:5" x14ac:dyDescent="0.2">
      <c r="A6694">
        <v>6633</v>
      </c>
      <c r="B6694" s="138">
        <f>'Revenues 9-14'!C241</f>
        <v>0</v>
      </c>
      <c r="D6694" s="2" t="str">
        <f t="shared" si="103"/>
        <v>Error?</v>
      </c>
      <c r="E6694" s="2" t="s">
        <v>199</v>
      </c>
    </row>
    <row r="6695" spans="1:5" x14ac:dyDescent="0.2">
      <c r="A6695">
        <v>6634</v>
      </c>
      <c r="B6695" s="138">
        <f>'Revenues 9-14'!D241</f>
        <v>0</v>
      </c>
      <c r="D6695" s="2" t="str">
        <f t="shared" si="103"/>
        <v>Error?</v>
      </c>
      <c r="E6695" s="2" t="s">
        <v>199</v>
      </c>
    </row>
    <row r="6696" spans="1:5" x14ac:dyDescent="0.2">
      <c r="A6696">
        <v>6635</v>
      </c>
      <c r="B6696" s="138">
        <f>'Revenues 9-14'!C242</f>
        <v>0</v>
      </c>
      <c r="D6696" s="2" t="str">
        <f t="shared" si="103"/>
        <v>Error?</v>
      </c>
      <c r="E6696" s="2" t="s">
        <v>199</v>
      </c>
    </row>
    <row r="6697" spans="1:5" x14ac:dyDescent="0.2">
      <c r="A6697">
        <v>6636</v>
      </c>
      <c r="B6697" s="138">
        <f>'Revenues 9-14'!D242</f>
        <v>0</v>
      </c>
      <c r="D6697" s="2" t="str">
        <f t="shared" si="103"/>
        <v>Error?</v>
      </c>
      <c r="E6697" s="2" t="s">
        <v>199</v>
      </c>
    </row>
    <row r="6698" spans="1:5" x14ac:dyDescent="0.2">
      <c r="A6698">
        <v>6637</v>
      </c>
      <c r="B6698" s="138">
        <f>'Revenues 9-14'!E242</f>
        <v>0</v>
      </c>
      <c r="D6698" s="2" t="str">
        <f t="shared" si="103"/>
        <v>Error?</v>
      </c>
      <c r="E6698" s="2" t="s">
        <v>199</v>
      </c>
    </row>
    <row r="6699" spans="1:5" x14ac:dyDescent="0.2">
      <c r="A6699">
        <v>6638</v>
      </c>
      <c r="B6699" s="138">
        <f>'Revenues 9-14'!F242</f>
        <v>0</v>
      </c>
      <c r="D6699" s="2" t="str">
        <f t="shared" si="103"/>
        <v>Error?</v>
      </c>
      <c r="E6699" s="2" t="s">
        <v>199</v>
      </c>
    </row>
    <row r="6700" spans="1:5" x14ac:dyDescent="0.2">
      <c r="A6700">
        <v>6639</v>
      </c>
      <c r="B6700" s="138">
        <f>'Revenues 9-14'!G242</f>
        <v>0</v>
      </c>
      <c r="D6700" s="2" t="str">
        <f t="shared" si="103"/>
        <v>Error?</v>
      </c>
      <c r="E6700" s="2" t="s">
        <v>199</v>
      </c>
    </row>
    <row r="6701" spans="1:5" x14ac:dyDescent="0.2">
      <c r="A6701">
        <v>6640</v>
      </c>
      <c r="B6701" s="138">
        <f>'Revenues 9-14'!H242</f>
        <v>0</v>
      </c>
      <c r="D6701" s="2" t="str">
        <f t="shared" si="103"/>
        <v>Error?</v>
      </c>
      <c r="E6701" s="2" t="s">
        <v>199</v>
      </c>
    </row>
    <row r="6702" spans="1:5" x14ac:dyDescent="0.2">
      <c r="A6702">
        <v>6641</v>
      </c>
      <c r="B6702" s="138">
        <f>'Revenues 9-14'!J242</f>
        <v>0</v>
      </c>
      <c r="D6702" s="2" t="str">
        <f t="shared" si="103"/>
        <v>Error?</v>
      </c>
      <c r="E6702" s="2" t="s">
        <v>199</v>
      </c>
    </row>
    <row r="6703" spans="1:5" x14ac:dyDescent="0.2">
      <c r="A6703">
        <v>6642</v>
      </c>
      <c r="B6703" s="138">
        <f>'Revenues 9-14'!K242</f>
        <v>0</v>
      </c>
      <c r="D6703" s="2" t="str">
        <f t="shared" si="103"/>
        <v>Error?</v>
      </c>
      <c r="E6703" s="2" t="s">
        <v>199</v>
      </c>
    </row>
    <row r="6704" spans="1:5" x14ac:dyDescent="0.2">
      <c r="A6704">
        <v>6643</v>
      </c>
      <c r="B6704" s="138">
        <f>'Revenues 9-14'!C243</f>
        <v>0</v>
      </c>
      <c r="D6704" s="2" t="str">
        <f t="shared" si="103"/>
        <v>Error?</v>
      </c>
      <c r="E6704" s="2" t="s">
        <v>199</v>
      </c>
    </row>
    <row r="6705" spans="1:5" x14ac:dyDescent="0.2">
      <c r="A6705">
        <v>6644</v>
      </c>
      <c r="B6705" s="138">
        <f>'Revenues 9-14'!D243</f>
        <v>0</v>
      </c>
      <c r="D6705" s="2" t="str">
        <f t="shared" si="103"/>
        <v>Error?</v>
      </c>
      <c r="E6705" s="2" t="s">
        <v>199</v>
      </c>
    </row>
    <row r="6706" spans="1:5" x14ac:dyDescent="0.2">
      <c r="A6706">
        <v>6645</v>
      </c>
      <c r="B6706" s="138">
        <f>'Revenues 9-14'!E243</f>
        <v>0</v>
      </c>
      <c r="D6706" s="2" t="str">
        <f t="shared" si="103"/>
        <v>Error?</v>
      </c>
      <c r="E6706" s="2" t="s">
        <v>199</v>
      </c>
    </row>
    <row r="6707" spans="1:5" x14ac:dyDescent="0.2">
      <c r="A6707">
        <v>6646</v>
      </c>
      <c r="B6707" s="138">
        <f>'Revenues 9-14'!F243</f>
        <v>0</v>
      </c>
      <c r="D6707" s="2" t="str">
        <f t="shared" si="103"/>
        <v>Error?</v>
      </c>
      <c r="E6707" s="2" t="s">
        <v>199</v>
      </c>
    </row>
    <row r="6708" spans="1:5" x14ac:dyDescent="0.2">
      <c r="A6708">
        <v>6647</v>
      </c>
      <c r="B6708" s="138">
        <f>'Revenues 9-14'!G243</f>
        <v>0</v>
      </c>
      <c r="D6708" s="2" t="str">
        <f t="shared" si="103"/>
        <v>Error?</v>
      </c>
      <c r="E6708" s="2" t="s">
        <v>199</v>
      </c>
    </row>
    <row r="6709" spans="1:5" x14ac:dyDescent="0.2">
      <c r="A6709">
        <v>6648</v>
      </c>
      <c r="B6709" s="138">
        <f>'Revenues 9-14'!H243</f>
        <v>0</v>
      </c>
      <c r="D6709" s="2" t="str">
        <f t="shared" si="103"/>
        <v>Error?</v>
      </c>
      <c r="E6709" s="2" t="s">
        <v>199</v>
      </c>
    </row>
    <row r="6710" spans="1:5" x14ac:dyDescent="0.2">
      <c r="A6710">
        <v>6649</v>
      </c>
      <c r="B6710" s="138">
        <f>'Revenues 9-14'!J243</f>
        <v>0</v>
      </c>
      <c r="D6710" s="2" t="str">
        <f t="shared" si="103"/>
        <v>Error?</v>
      </c>
      <c r="E6710" s="2" t="s">
        <v>199</v>
      </c>
    </row>
    <row r="6711" spans="1:5" x14ac:dyDescent="0.2">
      <c r="A6711">
        <v>6650</v>
      </c>
      <c r="B6711" s="138">
        <f>'Revenues 9-14'!K243</f>
        <v>0</v>
      </c>
      <c r="D6711" s="2" t="str">
        <f t="shared" si="103"/>
        <v>Error?</v>
      </c>
      <c r="E6711" s="2" t="s">
        <v>199</v>
      </c>
    </row>
    <row r="6712" spans="1:5" x14ac:dyDescent="0.2">
      <c r="A6712">
        <v>6651</v>
      </c>
      <c r="B6712" s="138">
        <f>'Revenues 9-14'!C244</f>
        <v>0</v>
      </c>
      <c r="D6712" s="2" t="str">
        <f t="shared" si="103"/>
        <v>Error?</v>
      </c>
      <c r="E6712" s="2" t="s">
        <v>199</v>
      </c>
    </row>
    <row r="6713" spans="1:5" x14ac:dyDescent="0.2">
      <c r="A6713">
        <v>6652</v>
      </c>
      <c r="B6713" s="138">
        <f>'Revenues 9-14'!D244</f>
        <v>0</v>
      </c>
      <c r="D6713" s="2" t="str">
        <f t="shared" si="103"/>
        <v>Error?</v>
      </c>
      <c r="E6713" s="2" t="s">
        <v>199</v>
      </c>
    </row>
    <row r="6714" spans="1:5" x14ac:dyDescent="0.2">
      <c r="A6714">
        <v>6653</v>
      </c>
      <c r="B6714" s="138">
        <f>'Revenues 9-14'!E244</f>
        <v>0</v>
      </c>
      <c r="D6714" s="2" t="str">
        <f t="shared" si="103"/>
        <v>Error?</v>
      </c>
      <c r="E6714" s="2" t="s">
        <v>199</v>
      </c>
    </row>
    <row r="6715" spans="1:5" x14ac:dyDescent="0.2">
      <c r="A6715">
        <v>6654</v>
      </c>
      <c r="B6715" s="138">
        <f>'Revenues 9-14'!F244</f>
        <v>0</v>
      </c>
      <c r="D6715" s="2" t="str">
        <f t="shared" si="103"/>
        <v>Error?</v>
      </c>
      <c r="E6715" s="2" t="s">
        <v>199</v>
      </c>
    </row>
    <row r="6716" spans="1:5" x14ac:dyDescent="0.2">
      <c r="A6716">
        <v>6655</v>
      </c>
      <c r="B6716" s="138">
        <f>'Revenues 9-14'!G244</f>
        <v>0</v>
      </c>
      <c r="D6716" s="2" t="str">
        <f t="shared" si="103"/>
        <v>Error?</v>
      </c>
      <c r="E6716" s="2" t="s">
        <v>199</v>
      </c>
    </row>
    <row r="6717" spans="1:5" x14ac:dyDescent="0.2">
      <c r="A6717">
        <v>6656</v>
      </c>
      <c r="B6717" s="138">
        <f>'Revenues 9-14'!H244</f>
        <v>0</v>
      </c>
      <c r="D6717" s="2" t="str">
        <f t="shared" si="103"/>
        <v>Error?</v>
      </c>
      <c r="E6717" s="2" t="s">
        <v>199</v>
      </c>
    </row>
    <row r="6718" spans="1:5" x14ac:dyDescent="0.2">
      <c r="A6718">
        <v>6657</v>
      </c>
      <c r="B6718" s="138">
        <f>'Revenues 9-14'!J244</f>
        <v>0</v>
      </c>
      <c r="D6718" s="2" t="str">
        <f t="shared" si="103"/>
        <v>Error?</v>
      </c>
      <c r="E6718" s="2" t="s">
        <v>199</v>
      </c>
    </row>
    <row r="6719" spans="1:5" x14ac:dyDescent="0.2">
      <c r="A6719">
        <v>6658</v>
      </c>
      <c r="B6719" s="138">
        <f>'Revenues 9-14'!K244</f>
        <v>0</v>
      </c>
      <c r="D6719" s="2" t="str">
        <f t="shared" ref="D6719:D6782" si="104">IF(ISBLANK(B6719),"OK",IF(A6719-B6719=0,"OK","Error?"))</f>
        <v>Error?</v>
      </c>
      <c r="E6719" s="2" t="s">
        <v>199</v>
      </c>
    </row>
    <row r="6720" spans="1:5" x14ac:dyDescent="0.2">
      <c r="A6720">
        <v>6659</v>
      </c>
      <c r="B6720" s="138">
        <f>'Revenues 9-14'!C245</f>
        <v>0</v>
      </c>
      <c r="D6720" s="2" t="str">
        <f t="shared" si="104"/>
        <v>Error?</v>
      </c>
      <c r="E6720" s="2" t="s">
        <v>199</v>
      </c>
    </row>
    <row r="6721" spans="1:5" x14ac:dyDescent="0.2">
      <c r="A6721">
        <v>6660</v>
      </c>
      <c r="B6721" s="138">
        <f>'Revenues 9-14'!D245</f>
        <v>0</v>
      </c>
      <c r="D6721" s="2" t="str">
        <f t="shared" si="104"/>
        <v>Error?</v>
      </c>
      <c r="E6721" s="2" t="s">
        <v>199</v>
      </c>
    </row>
    <row r="6722" spans="1:5" x14ac:dyDescent="0.2">
      <c r="A6722">
        <v>6661</v>
      </c>
      <c r="B6722" s="138">
        <f>'Revenues 9-14'!E245</f>
        <v>0</v>
      </c>
      <c r="D6722" s="2" t="str">
        <f t="shared" si="104"/>
        <v>Error?</v>
      </c>
      <c r="E6722" s="2" t="s">
        <v>199</v>
      </c>
    </row>
    <row r="6723" spans="1:5" x14ac:dyDescent="0.2">
      <c r="A6723">
        <v>6662</v>
      </c>
      <c r="B6723" s="138">
        <f>'Revenues 9-14'!F245</f>
        <v>0</v>
      </c>
      <c r="D6723" s="2" t="str">
        <f t="shared" si="104"/>
        <v>Error?</v>
      </c>
      <c r="E6723" s="2" t="s">
        <v>199</v>
      </c>
    </row>
    <row r="6724" spans="1:5" x14ac:dyDescent="0.2">
      <c r="A6724">
        <v>6663</v>
      </c>
      <c r="B6724" s="138">
        <f>'Revenues 9-14'!G245</f>
        <v>0</v>
      </c>
      <c r="D6724" s="2" t="str">
        <f t="shared" si="104"/>
        <v>Error?</v>
      </c>
      <c r="E6724" s="2" t="s">
        <v>199</v>
      </c>
    </row>
    <row r="6725" spans="1:5" x14ac:dyDescent="0.2">
      <c r="A6725">
        <v>6664</v>
      </c>
      <c r="B6725" s="138">
        <f>'Revenues 9-14'!H245</f>
        <v>0</v>
      </c>
      <c r="D6725" s="2" t="str">
        <f t="shared" si="104"/>
        <v>Error?</v>
      </c>
      <c r="E6725" s="2" t="s">
        <v>199</v>
      </c>
    </row>
    <row r="6726" spans="1:5" x14ac:dyDescent="0.2">
      <c r="A6726">
        <v>6665</v>
      </c>
      <c r="B6726" s="138">
        <f>'Revenues 9-14'!J245</f>
        <v>0</v>
      </c>
      <c r="D6726" s="2" t="str">
        <f t="shared" si="104"/>
        <v>Error?</v>
      </c>
      <c r="E6726" s="2" t="s">
        <v>199</v>
      </c>
    </row>
    <row r="6727" spans="1:5" x14ac:dyDescent="0.2">
      <c r="A6727" s="8">
        <v>6666</v>
      </c>
      <c r="B6727" s="138">
        <f>'Expenditures 15-22'!C7</f>
        <v>247626</v>
      </c>
      <c r="D6727" s="2" t="str">
        <f t="shared" si="104"/>
        <v>Error?</v>
      </c>
      <c r="E6727" s="2" t="s">
        <v>200</v>
      </c>
    </row>
    <row r="6728" spans="1:5" x14ac:dyDescent="0.2">
      <c r="A6728">
        <v>6667</v>
      </c>
      <c r="B6728" s="138">
        <f>'Revenues 9-14'!K245</f>
        <v>0</v>
      </c>
      <c r="D6728" s="2" t="str">
        <f t="shared" si="104"/>
        <v>Error?</v>
      </c>
      <c r="E6728" s="2" t="s">
        <v>199</v>
      </c>
    </row>
    <row r="6729" spans="1:5" x14ac:dyDescent="0.2">
      <c r="A6729">
        <v>6668</v>
      </c>
      <c r="B6729" s="138">
        <f>'Revenues 9-14'!C246</f>
        <v>0</v>
      </c>
      <c r="D6729" s="2" t="str">
        <f t="shared" si="104"/>
        <v>Error?</v>
      </c>
      <c r="E6729" s="2" t="s">
        <v>199</v>
      </c>
    </row>
    <row r="6730" spans="1:5" x14ac:dyDescent="0.2">
      <c r="A6730">
        <v>6669</v>
      </c>
      <c r="B6730" s="138">
        <f>'Revenues 9-14'!D246</f>
        <v>0</v>
      </c>
      <c r="D6730" s="2" t="str">
        <f t="shared" si="104"/>
        <v>Error?</v>
      </c>
      <c r="E6730" s="2" t="s">
        <v>199</v>
      </c>
    </row>
    <row r="6731" spans="1:5" x14ac:dyDescent="0.2">
      <c r="A6731">
        <v>6670</v>
      </c>
      <c r="B6731" s="138">
        <f>'Revenues 9-14'!E246</f>
        <v>0</v>
      </c>
      <c r="D6731" s="2" t="str">
        <f t="shared" si="104"/>
        <v>Error?</v>
      </c>
      <c r="E6731" s="2" t="s">
        <v>199</v>
      </c>
    </row>
    <row r="6732" spans="1:5" x14ac:dyDescent="0.2">
      <c r="A6732">
        <v>6671</v>
      </c>
      <c r="B6732" s="138">
        <f>'Revenues 9-14'!F246</f>
        <v>0</v>
      </c>
      <c r="D6732" s="2" t="str">
        <f t="shared" si="104"/>
        <v>Error?</v>
      </c>
      <c r="E6732" s="2" t="s">
        <v>199</v>
      </c>
    </row>
    <row r="6733" spans="1:5" x14ac:dyDescent="0.2">
      <c r="A6733">
        <v>6672</v>
      </c>
      <c r="B6733" s="138">
        <f>'Revenues 9-14'!G246</f>
        <v>0</v>
      </c>
      <c r="D6733" s="2" t="str">
        <f t="shared" si="104"/>
        <v>Error?</v>
      </c>
      <c r="E6733" s="2" t="s">
        <v>199</v>
      </c>
    </row>
    <row r="6734" spans="1:5" x14ac:dyDescent="0.2">
      <c r="A6734">
        <v>6673</v>
      </c>
      <c r="B6734" s="138">
        <f>'Revenues 9-14'!H246</f>
        <v>0</v>
      </c>
      <c r="D6734" s="2" t="str">
        <f t="shared" si="104"/>
        <v>Error?</v>
      </c>
      <c r="E6734" s="2" t="s">
        <v>199</v>
      </c>
    </row>
    <row r="6735" spans="1:5" x14ac:dyDescent="0.2">
      <c r="A6735">
        <v>6674</v>
      </c>
      <c r="B6735" s="138">
        <f>'Revenues 9-14'!J246</f>
        <v>0</v>
      </c>
      <c r="D6735" s="2" t="str">
        <f t="shared" si="104"/>
        <v>Error?</v>
      </c>
      <c r="E6735" s="2" t="s">
        <v>199</v>
      </c>
    </row>
    <row r="6736" spans="1:5" x14ac:dyDescent="0.2">
      <c r="A6736">
        <v>6675</v>
      </c>
      <c r="B6736" s="138">
        <f>'Revenues 9-14'!K246</f>
        <v>0</v>
      </c>
      <c r="D6736" s="2" t="str">
        <f t="shared" si="104"/>
        <v>Error?</v>
      </c>
      <c r="E6736" s="2" t="s">
        <v>199</v>
      </c>
    </row>
    <row r="6737" spans="1:5" x14ac:dyDescent="0.2">
      <c r="A6737">
        <v>6676</v>
      </c>
      <c r="B6737" s="138">
        <f>'Revenues 9-14'!C247</f>
        <v>0</v>
      </c>
      <c r="D6737" s="2" t="str">
        <f t="shared" si="104"/>
        <v>Error?</v>
      </c>
      <c r="E6737" s="2" t="s">
        <v>199</v>
      </c>
    </row>
    <row r="6738" spans="1:5" x14ac:dyDescent="0.2">
      <c r="A6738">
        <v>6677</v>
      </c>
      <c r="B6738" s="138">
        <f>'Revenues 9-14'!D247</f>
        <v>0</v>
      </c>
      <c r="D6738" s="2" t="str">
        <f t="shared" si="104"/>
        <v>Error?</v>
      </c>
      <c r="E6738" s="2" t="s">
        <v>199</v>
      </c>
    </row>
    <row r="6739" spans="1:5" x14ac:dyDescent="0.2">
      <c r="A6739">
        <v>6678</v>
      </c>
      <c r="B6739" s="138">
        <f>'Revenues 9-14'!E247</f>
        <v>773693</v>
      </c>
      <c r="D6739" s="2" t="str">
        <f t="shared" si="104"/>
        <v>Error?</v>
      </c>
      <c r="E6739" s="2" t="s">
        <v>199</v>
      </c>
    </row>
    <row r="6740" spans="1:5" x14ac:dyDescent="0.2">
      <c r="A6740">
        <v>6679</v>
      </c>
      <c r="B6740" s="138">
        <f>'Revenues 9-14'!F247</f>
        <v>0</v>
      </c>
      <c r="D6740" s="2" t="str">
        <f t="shared" si="104"/>
        <v>Error?</v>
      </c>
      <c r="E6740" s="2" t="s">
        <v>199</v>
      </c>
    </row>
    <row r="6741" spans="1:5" x14ac:dyDescent="0.2">
      <c r="A6741">
        <v>6680</v>
      </c>
      <c r="B6741" s="138">
        <f>'Revenues 9-14'!G247</f>
        <v>0</v>
      </c>
      <c r="D6741" s="2" t="str">
        <f t="shared" si="104"/>
        <v>Error?</v>
      </c>
      <c r="E6741" s="2" t="s">
        <v>199</v>
      </c>
    </row>
    <row r="6742" spans="1:5" x14ac:dyDescent="0.2">
      <c r="A6742">
        <v>6681</v>
      </c>
      <c r="B6742" s="138">
        <f>'Revenues 9-14'!H247</f>
        <v>0</v>
      </c>
      <c r="D6742" s="2" t="str">
        <f t="shared" si="104"/>
        <v>Error?</v>
      </c>
      <c r="E6742" s="2" t="s">
        <v>199</v>
      </c>
    </row>
    <row r="6743" spans="1:5" x14ac:dyDescent="0.2">
      <c r="A6743">
        <v>6682</v>
      </c>
      <c r="B6743" s="138">
        <f>'Revenues 9-14'!J247</f>
        <v>0</v>
      </c>
      <c r="D6743" s="2" t="str">
        <f t="shared" si="104"/>
        <v>Error?</v>
      </c>
      <c r="E6743" s="2" t="s">
        <v>199</v>
      </c>
    </row>
    <row r="6744" spans="1:5" x14ac:dyDescent="0.2">
      <c r="A6744">
        <v>6683</v>
      </c>
      <c r="B6744" s="138">
        <f>'Revenues 9-14'!K247</f>
        <v>0</v>
      </c>
      <c r="D6744" s="2" t="str">
        <f t="shared" si="104"/>
        <v>Error?</v>
      </c>
      <c r="E6744" s="2" t="s">
        <v>199</v>
      </c>
    </row>
    <row r="6745" spans="1:5" x14ac:dyDescent="0.2">
      <c r="A6745">
        <v>6684</v>
      </c>
      <c r="B6745" s="138">
        <f>'Revenues 9-14'!C248</f>
        <v>0</v>
      </c>
      <c r="D6745" s="2" t="str">
        <f t="shared" si="104"/>
        <v>Error?</v>
      </c>
      <c r="E6745" s="2" t="s">
        <v>199</v>
      </c>
    </row>
    <row r="6746" spans="1:5" x14ac:dyDescent="0.2">
      <c r="A6746">
        <v>6685</v>
      </c>
      <c r="B6746" s="138">
        <f>'Revenues 9-14'!D248</f>
        <v>0</v>
      </c>
      <c r="D6746" s="2" t="str">
        <f t="shared" si="104"/>
        <v>Error?</v>
      </c>
      <c r="E6746" s="2" t="s">
        <v>199</v>
      </c>
    </row>
    <row r="6747" spans="1:5" x14ac:dyDescent="0.2">
      <c r="A6747">
        <v>6686</v>
      </c>
      <c r="B6747" s="138">
        <f>'Revenues 9-14'!E248</f>
        <v>0</v>
      </c>
      <c r="D6747" s="2" t="str">
        <f t="shared" si="104"/>
        <v>Error?</v>
      </c>
      <c r="E6747" s="2" t="s">
        <v>199</v>
      </c>
    </row>
    <row r="6748" spans="1:5" x14ac:dyDescent="0.2">
      <c r="A6748">
        <v>6687</v>
      </c>
      <c r="B6748" s="138">
        <f>'Revenues 9-14'!F248</f>
        <v>0</v>
      </c>
      <c r="D6748" s="2" t="str">
        <f t="shared" si="104"/>
        <v>Error?</v>
      </c>
      <c r="E6748" s="2" t="s">
        <v>199</v>
      </c>
    </row>
    <row r="6749" spans="1:5" x14ac:dyDescent="0.2">
      <c r="A6749">
        <v>6688</v>
      </c>
      <c r="B6749" s="138">
        <f>'Revenues 9-14'!G248</f>
        <v>0</v>
      </c>
      <c r="D6749" s="2" t="str">
        <f t="shared" si="104"/>
        <v>Error?</v>
      </c>
      <c r="E6749" s="2" t="s">
        <v>199</v>
      </c>
    </row>
    <row r="6750" spans="1:5" x14ac:dyDescent="0.2">
      <c r="A6750">
        <v>6689</v>
      </c>
      <c r="B6750" s="138">
        <f>'Revenues 9-14'!H248</f>
        <v>0</v>
      </c>
      <c r="D6750" s="2" t="str">
        <f t="shared" si="104"/>
        <v>Error?</v>
      </c>
      <c r="E6750" s="2" t="s">
        <v>199</v>
      </c>
    </row>
    <row r="6751" spans="1:5" x14ac:dyDescent="0.2">
      <c r="A6751">
        <v>6690</v>
      </c>
      <c r="B6751" s="138">
        <f>'Revenues 9-14'!J248</f>
        <v>0</v>
      </c>
      <c r="D6751" s="2" t="str">
        <f t="shared" si="104"/>
        <v>Error?</v>
      </c>
      <c r="E6751" s="2" t="s">
        <v>199</v>
      </c>
    </row>
    <row r="6752" spans="1:5" x14ac:dyDescent="0.2">
      <c r="A6752">
        <v>6691</v>
      </c>
      <c r="B6752" s="138">
        <f>'Revenues 9-14'!K248</f>
        <v>0</v>
      </c>
      <c r="D6752" s="2" t="str">
        <f t="shared" si="104"/>
        <v>Error?</v>
      </c>
      <c r="E6752" s="2" t="s">
        <v>199</v>
      </c>
    </row>
    <row r="6753" spans="1:5" x14ac:dyDescent="0.2">
      <c r="A6753">
        <v>6692</v>
      </c>
      <c r="B6753" s="138">
        <f>'Revenues 9-14'!C249</f>
        <v>0</v>
      </c>
      <c r="D6753" s="2" t="str">
        <f t="shared" si="104"/>
        <v>Error?</v>
      </c>
      <c r="E6753" s="2" t="s">
        <v>199</v>
      </c>
    </row>
    <row r="6754" spans="1:5" x14ac:dyDescent="0.2">
      <c r="A6754">
        <v>6693</v>
      </c>
      <c r="B6754" s="138">
        <f>'Revenues 9-14'!D249</f>
        <v>0</v>
      </c>
      <c r="D6754" s="2" t="str">
        <f t="shared" si="104"/>
        <v>Error?</v>
      </c>
      <c r="E6754" s="2" t="s">
        <v>199</v>
      </c>
    </row>
    <row r="6755" spans="1:5" x14ac:dyDescent="0.2">
      <c r="A6755">
        <v>6694</v>
      </c>
      <c r="B6755" s="138">
        <f>'Revenues 9-14'!E249</f>
        <v>0</v>
      </c>
      <c r="D6755" s="2" t="str">
        <f t="shared" si="104"/>
        <v>Error?</v>
      </c>
      <c r="E6755" s="2" t="s">
        <v>199</v>
      </c>
    </row>
    <row r="6756" spans="1:5" x14ac:dyDescent="0.2">
      <c r="A6756">
        <v>6695</v>
      </c>
      <c r="B6756" s="138">
        <f>'Revenues 9-14'!F249</f>
        <v>0</v>
      </c>
      <c r="D6756" s="2" t="str">
        <f t="shared" si="104"/>
        <v>Error?</v>
      </c>
      <c r="E6756" s="2" t="s">
        <v>199</v>
      </c>
    </row>
    <row r="6757" spans="1:5" x14ac:dyDescent="0.2">
      <c r="A6757">
        <v>6696</v>
      </c>
      <c r="B6757" s="138">
        <f>'Revenues 9-14'!G249</f>
        <v>0</v>
      </c>
      <c r="D6757" s="2" t="str">
        <f t="shared" si="104"/>
        <v>Error?</v>
      </c>
      <c r="E6757" s="2" t="s">
        <v>199</v>
      </c>
    </row>
    <row r="6758" spans="1:5" x14ac:dyDescent="0.2">
      <c r="A6758">
        <v>6697</v>
      </c>
      <c r="B6758" s="138">
        <f>'Revenues 9-14'!H249</f>
        <v>0</v>
      </c>
      <c r="D6758" s="2" t="str">
        <f t="shared" si="104"/>
        <v>Error?</v>
      </c>
      <c r="E6758" s="2" t="s">
        <v>199</v>
      </c>
    </row>
    <row r="6759" spans="1:5" x14ac:dyDescent="0.2">
      <c r="A6759">
        <v>6698</v>
      </c>
      <c r="B6759" s="138">
        <f>'Revenues 9-14'!J249</f>
        <v>0</v>
      </c>
      <c r="D6759" s="2" t="str">
        <f t="shared" si="104"/>
        <v>Error?</v>
      </c>
      <c r="E6759" s="2" t="s">
        <v>199</v>
      </c>
    </row>
    <row r="6760" spans="1:5" x14ac:dyDescent="0.2">
      <c r="A6760">
        <v>6699</v>
      </c>
      <c r="B6760" s="138">
        <f>'Revenues 9-14'!K249</f>
        <v>0</v>
      </c>
      <c r="D6760" s="2" t="str">
        <f t="shared" si="104"/>
        <v>Error?</v>
      </c>
      <c r="E6760" s="2" t="s">
        <v>199</v>
      </c>
    </row>
    <row r="6761" spans="1:5" x14ac:dyDescent="0.2">
      <c r="A6761">
        <v>6700</v>
      </c>
      <c r="B6761" s="138">
        <f>'Revenues 9-14'!C250</f>
        <v>0</v>
      </c>
      <c r="D6761" s="2" t="str">
        <f t="shared" si="104"/>
        <v>Error?</v>
      </c>
      <c r="E6761" s="2" t="s">
        <v>199</v>
      </c>
    </row>
    <row r="6762" spans="1:5" x14ac:dyDescent="0.2">
      <c r="A6762">
        <v>6701</v>
      </c>
      <c r="B6762" s="138">
        <f>'Revenues 9-14'!D250</f>
        <v>0</v>
      </c>
      <c r="D6762" s="2" t="str">
        <f t="shared" si="104"/>
        <v>Error?</v>
      </c>
      <c r="E6762" s="2" t="s">
        <v>199</v>
      </c>
    </row>
    <row r="6763" spans="1:5" x14ac:dyDescent="0.2">
      <c r="A6763">
        <v>6702</v>
      </c>
      <c r="B6763" s="138">
        <f>'Revenues 9-14'!E250</f>
        <v>0</v>
      </c>
      <c r="D6763" s="2" t="str">
        <f t="shared" si="104"/>
        <v>Error?</v>
      </c>
      <c r="E6763" s="2" t="s">
        <v>199</v>
      </c>
    </row>
    <row r="6764" spans="1:5" x14ac:dyDescent="0.2">
      <c r="A6764">
        <v>6703</v>
      </c>
      <c r="B6764" s="138">
        <f>'Revenues 9-14'!F250</f>
        <v>0</v>
      </c>
      <c r="D6764" s="2" t="str">
        <f t="shared" si="104"/>
        <v>Error?</v>
      </c>
      <c r="E6764" s="2" t="s">
        <v>199</v>
      </c>
    </row>
    <row r="6765" spans="1:5" x14ac:dyDescent="0.2">
      <c r="A6765">
        <v>6704</v>
      </c>
      <c r="B6765" s="138">
        <f>'Revenues 9-14'!G250</f>
        <v>0</v>
      </c>
      <c r="D6765" s="2" t="str">
        <f t="shared" si="104"/>
        <v>Error?</v>
      </c>
      <c r="E6765" s="2" t="s">
        <v>199</v>
      </c>
    </row>
    <row r="6766" spans="1:5" x14ac:dyDescent="0.2">
      <c r="A6766">
        <v>6705</v>
      </c>
      <c r="B6766" s="138">
        <f>'Revenues 9-14'!H250</f>
        <v>0</v>
      </c>
      <c r="D6766" s="2" t="str">
        <f t="shared" si="104"/>
        <v>Error?</v>
      </c>
      <c r="E6766" s="2" t="s">
        <v>199</v>
      </c>
    </row>
    <row r="6767" spans="1:5" x14ac:dyDescent="0.2">
      <c r="A6767">
        <v>6706</v>
      </c>
      <c r="B6767" s="138">
        <f>'Revenues 9-14'!J250</f>
        <v>0</v>
      </c>
      <c r="D6767" s="2" t="str">
        <f t="shared" si="104"/>
        <v>Error?</v>
      </c>
      <c r="E6767" s="2" t="s">
        <v>199</v>
      </c>
    </row>
    <row r="6768" spans="1:5" x14ac:dyDescent="0.2">
      <c r="A6768">
        <v>6707</v>
      </c>
      <c r="B6768" s="138">
        <f>'Revenues 9-14'!K250</f>
        <v>0</v>
      </c>
      <c r="D6768" s="2" t="str">
        <f t="shared" si="104"/>
        <v>Error?</v>
      </c>
      <c r="E6768" s="2" t="s">
        <v>199</v>
      </c>
    </row>
    <row r="6769" spans="1:5" x14ac:dyDescent="0.2">
      <c r="A6769">
        <v>6708</v>
      </c>
      <c r="B6769" s="138">
        <f>'Revenues 9-14'!C251</f>
        <v>0</v>
      </c>
      <c r="D6769" s="2" t="str">
        <f t="shared" si="104"/>
        <v>Error?</v>
      </c>
      <c r="E6769" s="2" t="s">
        <v>199</v>
      </c>
    </row>
    <row r="6770" spans="1:5" x14ac:dyDescent="0.2">
      <c r="A6770">
        <v>6709</v>
      </c>
      <c r="B6770" s="138">
        <f>'Revenues 9-14'!D251</f>
        <v>0</v>
      </c>
      <c r="D6770" s="2" t="str">
        <f t="shared" si="104"/>
        <v>Error?</v>
      </c>
      <c r="E6770" s="2" t="s">
        <v>199</v>
      </c>
    </row>
    <row r="6771" spans="1:5" x14ac:dyDescent="0.2">
      <c r="A6771">
        <v>6710</v>
      </c>
      <c r="B6771" s="138">
        <f>'Revenues 9-14'!E251</f>
        <v>0</v>
      </c>
      <c r="D6771" s="2" t="str">
        <f t="shared" si="104"/>
        <v>Error?</v>
      </c>
      <c r="E6771" s="2" t="s">
        <v>199</v>
      </c>
    </row>
    <row r="6772" spans="1:5" x14ac:dyDescent="0.2">
      <c r="A6772">
        <v>6711</v>
      </c>
      <c r="B6772" s="138">
        <f>'Revenues 9-14'!F251</f>
        <v>0</v>
      </c>
      <c r="D6772" s="2" t="str">
        <f t="shared" si="104"/>
        <v>Error?</v>
      </c>
      <c r="E6772" s="2" t="s">
        <v>199</v>
      </c>
    </row>
    <row r="6773" spans="1:5" x14ac:dyDescent="0.2">
      <c r="A6773">
        <v>6712</v>
      </c>
      <c r="B6773" s="138">
        <f>'Revenues 9-14'!G251</f>
        <v>0</v>
      </c>
      <c r="D6773" s="2" t="str">
        <f t="shared" si="104"/>
        <v>Error?</v>
      </c>
      <c r="E6773" s="2" t="s">
        <v>199</v>
      </c>
    </row>
    <row r="6774" spans="1:5" x14ac:dyDescent="0.2">
      <c r="A6774">
        <v>6713</v>
      </c>
      <c r="B6774" s="138">
        <f>'Revenues 9-14'!H251</f>
        <v>0</v>
      </c>
      <c r="D6774" s="2" t="str">
        <f t="shared" si="104"/>
        <v>Error?</v>
      </c>
      <c r="E6774" s="2" t="s">
        <v>199</v>
      </c>
    </row>
    <row r="6775" spans="1:5" x14ac:dyDescent="0.2">
      <c r="A6775">
        <v>6714</v>
      </c>
      <c r="B6775" s="138">
        <f>'Revenues 9-14'!J251</f>
        <v>0</v>
      </c>
      <c r="D6775" s="2" t="str">
        <f t="shared" si="104"/>
        <v>Error?</v>
      </c>
      <c r="E6775" s="2" t="s">
        <v>199</v>
      </c>
    </row>
    <row r="6776" spans="1:5" x14ac:dyDescent="0.2">
      <c r="A6776">
        <v>6715</v>
      </c>
      <c r="B6776" s="138">
        <f>'Revenues 9-14'!K251</f>
        <v>0</v>
      </c>
      <c r="D6776" s="2" t="str">
        <f t="shared" si="104"/>
        <v>Error?</v>
      </c>
      <c r="E6776" s="2" t="s">
        <v>199</v>
      </c>
    </row>
    <row r="6777" spans="1:5" x14ac:dyDescent="0.2">
      <c r="A6777">
        <v>6716</v>
      </c>
      <c r="B6777" s="138">
        <f>'Revenues 9-14'!C252</f>
        <v>0</v>
      </c>
      <c r="D6777" s="2" t="str">
        <f t="shared" si="104"/>
        <v>Error?</v>
      </c>
      <c r="E6777" s="2" t="s">
        <v>199</v>
      </c>
    </row>
    <row r="6778" spans="1:5" x14ac:dyDescent="0.2">
      <c r="A6778">
        <v>6717</v>
      </c>
      <c r="B6778" s="138">
        <f>'Revenues 9-14'!D252</f>
        <v>0</v>
      </c>
      <c r="D6778" s="2" t="str">
        <f t="shared" si="104"/>
        <v>Error?</v>
      </c>
      <c r="E6778" s="2" t="s">
        <v>199</v>
      </c>
    </row>
    <row r="6779" spans="1:5" x14ac:dyDescent="0.2">
      <c r="A6779">
        <v>6718</v>
      </c>
      <c r="B6779" s="138">
        <f>'Revenues 9-14'!E252</f>
        <v>0</v>
      </c>
      <c r="D6779" s="2" t="str">
        <f t="shared" si="104"/>
        <v>Error?</v>
      </c>
      <c r="E6779" s="2" t="s">
        <v>199</v>
      </c>
    </row>
    <row r="6780" spans="1:5" x14ac:dyDescent="0.2">
      <c r="A6780">
        <v>6719</v>
      </c>
      <c r="B6780" s="138">
        <f>'Revenues 9-14'!F252</f>
        <v>0</v>
      </c>
      <c r="D6780" s="2" t="str">
        <f t="shared" si="104"/>
        <v>Error?</v>
      </c>
      <c r="E6780" s="2" t="s">
        <v>199</v>
      </c>
    </row>
    <row r="6781" spans="1:5" x14ac:dyDescent="0.2">
      <c r="A6781">
        <v>6720</v>
      </c>
      <c r="B6781" s="138">
        <f>'Revenues 9-14'!G252</f>
        <v>0</v>
      </c>
      <c r="D6781" s="2" t="str">
        <f t="shared" si="104"/>
        <v>Error?</v>
      </c>
      <c r="E6781" s="2" t="s">
        <v>199</v>
      </c>
    </row>
    <row r="6782" spans="1:5" x14ac:dyDescent="0.2">
      <c r="A6782">
        <v>6721</v>
      </c>
      <c r="B6782" s="138">
        <f>'Revenues 9-14'!H252</f>
        <v>0</v>
      </c>
      <c r="D6782" s="2" t="str">
        <f t="shared" si="104"/>
        <v>Error?</v>
      </c>
      <c r="E6782" s="2" t="s">
        <v>199</v>
      </c>
    </row>
    <row r="6783" spans="1:5" x14ac:dyDescent="0.2">
      <c r="A6783">
        <v>6722</v>
      </c>
      <c r="B6783" s="138">
        <f>'Revenues 9-14'!J252</f>
        <v>0</v>
      </c>
      <c r="D6783" s="2" t="str">
        <f t="shared" ref="D6783:D6846" si="105">IF(ISBLANK(B6783),"OK",IF(A6783-B6783=0,"OK","Error?"))</f>
        <v>Error?</v>
      </c>
      <c r="E6783" s="2" t="s">
        <v>199</v>
      </c>
    </row>
    <row r="6784" spans="1:5" x14ac:dyDescent="0.2">
      <c r="A6784">
        <v>6723</v>
      </c>
      <c r="B6784" s="138">
        <f>'Revenues 9-14'!K252</f>
        <v>0</v>
      </c>
      <c r="D6784" s="2" t="str">
        <f t="shared" si="105"/>
        <v>Error?</v>
      </c>
      <c r="E6784" s="2" t="s">
        <v>199</v>
      </c>
    </row>
    <row r="6785" spans="1:5" x14ac:dyDescent="0.2">
      <c r="A6785">
        <v>6724</v>
      </c>
      <c r="B6785" s="138">
        <f>'Revenues 9-14'!C253</f>
        <v>0</v>
      </c>
      <c r="D6785" s="2" t="str">
        <f t="shared" si="105"/>
        <v>Error?</v>
      </c>
      <c r="E6785" s="2" t="s">
        <v>199</v>
      </c>
    </row>
    <row r="6786" spans="1:5" x14ac:dyDescent="0.2">
      <c r="A6786">
        <v>6725</v>
      </c>
      <c r="B6786" s="138">
        <f>'Revenues 9-14'!D253</f>
        <v>0</v>
      </c>
      <c r="D6786" s="2" t="str">
        <f t="shared" si="105"/>
        <v>Error?</v>
      </c>
      <c r="E6786" s="2" t="s">
        <v>199</v>
      </c>
    </row>
    <row r="6787" spans="1:5" x14ac:dyDescent="0.2">
      <c r="A6787">
        <v>6726</v>
      </c>
      <c r="B6787" s="138">
        <f>'Revenues 9-14'!E253</f>
        <v>0</v>
      </c>
      <c r="D6787" s="2" t="str">
        <f t="shared" si="105"/>
        <v>Error?</v>
      </c>
      <c r="E6787" s="2" t="s">
        <v>199</v>
      </c>
    </row>
    <row r="6788" spans="1:5" x14ac:dyDescent="0.2">
      <c r="A6788">
        <v>6727</v>
      </c>
      <c r="B6788" s="138">
        <f>'Revenues 9-14'!F253</f>
        <v>0</v>
      </c>
      <c r="D6788" s="2" t="str">
        <f t="shared" si="105"/>
        <v>Error?</v>
      </c>
      <c r="E6788" s="2" t="s">
        <v>199</v>
      </c>
    </row>
    <row r="6789" spans="1:5" x14ac:dyDescent="0.2">
      <c r="A6789">
        <v>6728</v>
      </c>
      <c r="B6789" s="138">
        <f>'Revenues 9-14'!G253</f>
        <v>0</v>
      </c>
      <c r="D6789" s="2" t="str">
        <f t="shared" si="105"/>
        <v>Error?</v>
      </c>
      <c r="E6789" s="2" t="s">
        <v>199</v>
      </c>
    </row>
    <row r="6790" spans="1:5" x14ac:dyDescent="0.2">
      <c r="A6790">
        <v>6729</v>
      </c>
      <c r="B6790" s="138">
        <f>'Revenues 9-14'!H253</f>
        <v>0</v>
      </c>
      <c r="D6790" s="2" t="str">
        <f t="shared" si="105"/>
        <v>Error?</v>
      </c>
      <c r="E6790" s="2" t="s">
        <v>199</v>
      </c>
    </row>
    <row r="6791" spans="1:5" x14ac:dyDescent="0.2">
      <c r="A6791">
        <v>6730</v>
      </c>
      <c r="B6791" s="138">
        <f>'Revenues 9-14'!J253</f>
        <v>0</v>
      </c>
      <c r="D6791" s="2" t="str">
        <f t="shared" si="105"/>
        <v>Error?</v>
      </c>
      <c r="E6791" s="2" t="s">
        <v>199</v>
      </c>
    </row>
    <row r="6792" spans="1:5" x14ac:dyDescent="0.2">
      <c r="A6792">
        <v>6731</v>
      </c>
      <c r="B6792" s="138">
        <f>'Revenues 9-14'!K253</f>
        <v>0</v>
      </c>
      <c r="D6792" s="2" t="str">
        <f t="shared" si="105"/>
        <v>Error?</v>
      </c>
      <c r="E6792" s="2" t="s">
        <v>199</v>
      </c>
    </row>
    <row r="6793" spans="1:5" x14ac:dyDescent="0.2">
      <c r="A6793">
        <v>6732</v>
      </c>
      <c r="B6793" s="138">
        <f>'Revenues 9-14'!C254</f>
        <v>0</v>
      </c>
      <c r="D6793" s="2" t="str">
        <f t="shared" si="105"/>
        <v>Error?</v>
      </c>
      <c r="E6793" s="2" t="s">
        <v>199</v>
      </c>
    </row>
    <row r="6794" spans="1:5" x14ac:dyDescent="0.2">
      <c r="A6794">
        <v>6733</v>
      </c>
      <c r="B6794" s="138">
        <f>'Revenues 9-14'!D254</f>
        <v>0</v>
      </c>
      <c r="D6794" s="2" t="str">
        <f t="shared" si="105"/>
        <v>Error?</v>
      </c>
      <c r="E6794" s="2" t="s">
        <v>199</v>
      </c>
    </row>
    <row r="6795" spans="1:5" x14ac:dyDescent="0.2">
      <c r="A6795">
        <v>6734</v>
      </c>
      <c r="B6795" s="138">
        <f>'Revenues 9-14'!E254</f>
        <v>0</v>
      </c>
      <c r="D6795" s="2" t="str">
        <f t="shared" si="105"/>
        <v>Error?</v>
      </c>
      <c r="E6795" s="2" t="s">
        <v>199</v>
      </c>
    </row>
    <row r="6796" spans="1:5" x14ac:dyDescent="0.2">
      <c r="A6796">
        <v>6735</v>
      </c>
      <c r="B6796" s="138">
        <f>'Revenues 9-14'!F254</f>
        <v>0</v>
      </c>
      <c r="D6796" s="2" t="str">
        <f t="shared" si="105"/>
        <v>Error?</v>
      </c>
      <c r="E6796" s="2" t="s">
        <v>199</v>
      </c>
    </row>
    <row r="6797" spans="1:5" x14ac:dyDescent="0.2">
      <c r="A6797">
        <v>6736</v>
      </c>
      <c r="B6797" s="138">
        <f>'Revenues 9-14'!G254</f>
        <v>0</v>
      </c>
      <c r="D6797" s="2" t="str">
        <f t="shared" si="105"/>
        <v>Error?</v>
      </c>
      <c r="E6797" s="2" t="s">
        <v>199</v>
      </c>
    </row>
    <row r="6798" spans="1:5" x14ac:dyDescent="0.2">
      <c r="A6798">
        <v>6737</v>
      </c>
      <c r="B6798" s="138">
        <f>'Revenues 9-14'!H254</f>
        <v>0</v>
      </c>
      <c r="D6798" s="2" t="str">
        <f t="shared" si="105"/>
        <v>Error?</v>
      </c>
      <c r="E6798" s="2" t="s">
        <v>199</v>
      </c>
    </row>
    <row r="6799" spans="1:5" x14ac:dyDescent="0.2">
      <c r="A6799">
        <v>6738</v>
      </c>
      <c r="B6799" s="138">
        <f>'Revenues 9-14'!J254</f>
        <v>0</v>
      </c>
      <c r="D6799" s="2" t="str">
        <f t="shared" si="105"/>
        <v>Error?</v>
      </c>
      <c r="E6799" s="2" t="s">
        <v>199</v>
      </c>
    </row>
    <row r="6800" spans="1:5" x14ac:dyDescent="0.2">
      <c r="A6800">
        <v>6739</v>
      </c>
      <c r="B6800" s="138">
        <f>'Revenues 9-14'!K254</f>
        <v>0</v>
      </c>
      <c r="D6800" s="2" t="str">
        <f t="shared" si="105"/>
        <v>Error?</v>
      </c>
      <c r="E6800" s="2" t="s">
        <v>199</v>
      </c>
    </row>
    <row r="6801" spans="1:5" x14ac:dyDescent="0.2">
      <c r="A6801">
        <v>6740</v>
      </c>
      <c r="B6801" s="138">
        <f>'Revenues 9-14'!C255</f>
        <v>0</v>
      </c>
      <c r="D6801" s="2" t="str">
        <f t="shared" si="105"/>
        <v>Error?</v>
      </c>
      <c r="E6801" s="2" t="s">
        <v>199</v>
      </c>
    </row>
    <row r="6802" spans="1:5" x14ac:dyDescent="0.2">
      <c r="A6802">
        <v>6741</v>
      </c>
      <c r="B6802" s="138">
        <f>'Revenues 9-14'!D255</f>
        <v>0</v>
      </c>
      <c r="D6802" s="2" t="str">
        <f t="shared" si="105"/>
        <v>Error?</v>
      </c>
      <c r="E6802" s="2" t="s">
        <v>199</v>
      </c>
    </row>
    <row r="6803" spans="1:5" x14ac:dyDescent="0.2">
      <c r="A6803">
        <v>6742</v>
      </c>
      <c r="B6803" s="138">
        <f>'Revenues 9-14'!E255</f>
        <v>0</v>
      </c>
      <c r="D6803" s="2" t="str">
        <f t="shared" si="105"/>
        <v>Error?</v>
      </c>
      <c r="E6803" s="2" t="s">
        <v>199</v>
      </c>
    </row>
    <row r="6804" spans="1:5" x14ac:dyDescent="0.2">
      <c r="A6804">
        <v>6743</v>
      </c>
      <c r="B6804" s="138">
        <f>'Revenues 9-14'!F255</f>
        <v>0</v>
      </c>
      <c r="D6804" s="2" t="str">
        <f t="shared" si="105"/>
        <v>Error?</v>
      </c>
      <c r="E6804" s="2" t="s">
        <v>199</v>
      </c>
    </row>
    <row r="6805" spans="1:5" x14ac:dyDescent="0.2">
      <c r="A6805">
        <v>6744</v>
      </c>
      <c r="B6805" s="138">
        <f>'Revenues 9-14'!G255</f>
        <v>0</v>
      </c>
      <c r="D6805" s="2" t="str">
        <f t="shared" si="105"/>
        <v>Error?</v>
      </c>
      <c r="E6805" s="2" t="s">
        <v>199</v>
      </c>
    </row>
    <row r="6806" spans="1:5" x14ac:dyDescent="0.2">
      <c r="A6806">
        <v>6745</v>
      </c>
      <c r="B6806" s="138">
        <f>'Revenues 9-14'!H255</f>
        <v>0</v>
      </c>
      <c r="D6806" s="2" t="str">
        <f t="shared" si="105"/>
        <v>Error?</v>
      </c>
      <c r="E6806" s="2" t="s">
        <v>199</v>
      </c>
    </row>
    <row r="6807" spans="1:5" x14ac:dyDescent="0.2">
      <c r="A6807">
        <v>6746</v>
      </c>
      <c r="B6807" s="138">
        <f>'Revenues 9-14'!J255</f>
        <v>0</v>
      </c>
      <c r="D6807" s="2" t="str">
        <f t="shared" si="105"/>
        <v>Error?</v>
      </c>
      <c r="E6807" s="2" t="s">
        <v>199</v>
      </c>
    </row>
    <row r="6808" spans="1:5" x14ac:dyDescent="0.2">
      <c r="A6808">
        <v>6747</v>
      </c>
      <c r="B6808" s="138">
        <f>'Revenues 9-14'!K255</f>
        <v>0</v>
      </c>
      <c r="D6808" s="2" t="str">
        <f t="shared" si="105"/>
        <v>Error?</v>
      </c>
      <c r="E6808" s="2" t="s">
        <v>199</v>
      </c>
    </row>
    <row r="6809" spans="1:5" x14ac:dyDescent="0.2">
      <c r="A6809">
        <v>6748</v>
      </c>
      <c r="B6809" s="138">
        <f>'Revenues 9-14'!C256</f>
        <v>0</v>
      </c>
      <c r="D6809" s="2" t="str">
        <f t="shared" si="105"/>
        <v>Error?</v>
      </c>
      <c r="E6809" s="2" t="s">
        <v>199</v>
      </c>
    </row>
    <row r="6810" spans="1:5" x14ac:dyDescent="0.2">
      <c r="A6810">
        <v>6749</v>
      </c>
      <c r="B6810" s="138">
        <f>'Revenues 9-14'!D256</f>
        <v>0</v>
      </c>
      <c r="D6810" s="2" t="str">
        <f t="shared" si="105"/>
        <v>Error?</v>
      </c>
      <c r="E6810" s="2" t="s">
        <v>199</v>
      </c>
    </row>
    <row r="6811" spans="1:5" x14ac:dyDescent="0.2">
      <c r="A6811">
        <v>6750</v>
      </c>
      <c r="B6811" s="138">
        <f>'Revenues 9-14'!E256</f>
        <v>0</v>
      </c>
      <c r="D6811" s="2" t="str">
        <f t="shared" si="105"/>
        <v>Error?</v>
      </c>
      <c r="E6811" s="2" t="s">
        <v>199</v>
      </c>
    </row>
    <row r="6812" spans="1:5" x14ac:dyDescent="0.2">
      <c r="A6812">
        <v>6751</v>
      </c>
      <c r="B6812" s="138">
        <f>'Revenues 9-14'!F256</f>
        <v>0</v>
      </c>
      <c r="D6812" s="2" t="str">
        <f t="shared" si="105"/>
        <v>Error?</v>
      </c>
      <c r="E6812" s="2" t="s">
        <v>199</v>
      </c>
    </row>
    <row r="6813" spans="1:5" x14ac:dyDescent="0.2">
      <c r="A6813">
        <v>6752</v>
      </c>
      <c r="B6813" s="138">
        <f>'Revenues 9-14'!G256</f>
        <v>0</v>
      </c>
      <c r="D6813" s="2" t="str">
        <f t="shared" si="105"/>
        <v>Error?</v>
      </c>
      <c r="E6813" s="2" t="s">
        <v>199</v>
      </c>
    </row>
    <row r="6814" spans="1:5" x14ac:dyDescent="0.2">
      <c r="A6814">
        <v>6753</v>
      </c>
      <c r="B6814" s="138">
        <f>'Revenues 9-14'!H256</f>
        <v>0</v>
      </c>
      <c r="D6814" s="2" t="str">
        <f t="shared" si="105"/>
        <v>Error?</v>
      </c>
      <c r="E6814" s="2" t="s">
        <v>199</v>
      </c>
    </row>
    <row r="6815" spans="1:5" x14ac:dyDescent="0.2">
      <c r="A6815">
        <v>6754</v>
      </c>
      <c r="B6815" s="138">
        <f>'Revenues 9-14'!J256</f>
        <v>0</v>
      </c>
      <c r="D6815" s="2" t="str">
        <f t="shared" si="105"/>
        <v>Error?</v>
      </c>
      <c r="E6815" s="2" t="s">
        <v>199</v>
      </c>
    </row>
    <row r="6816" spans="1:5" x14ac:dyDescent="0.2">
      <c r="A6816">
        <v>6755</v>
      </c>
      <c r="B6816" s="138">
        <f>'Revenues 9-14'!K256</f>
        <v>0</v>
      </c>
      <c r="D6816" s="2" t="str">
        <f t="shared" si="105"/>
        <v>Error?</v>
      </c>
      <c r="E6816" s="2" t="s">
        <v>199</v>
      </c>
    </row>
    <row r="6817" spans="1:5" x14ac:dyDescent="0.2">
      <c r="A6817">
        <v>6756</v>
      </c>
      <c r="B6817" s="138">
        <f>'Revenues 9-14'!C257</f>
        <v>0</v>
      </c>
      <c r="D6817" s="2" t="str">
        <f t="shared" si="105"/>
        <v>Error?</v>
      </c>
      <c r="E6817" s="2" t="s">
        <v>199</v>
      </c>
    </row>
    <row r="6818" spans="1:5" x14ac:dyDescent="0.2">
      <c r="A6818">
        <v>6757</v>
      </c>
      <c r="B6818" s="138">
        <f>'Revenues 9-14'!D257</f>
        <v>0</v>
      </c>
      <c r="D6818" s="2" t="str">
        <f t="shared" si="105"/>
        <v>Error?</v>
      </c>
      <c r="E6818" s="2" t="s">
        <v>199</v>
      </c>
    </row>
    <row r="6819" spans="1:5" x14ac:dyDescent="0.2">
      <c r="A6819">
        <v>6758</v>
      </c>
      <c r="B6819" s="138">
        <f>'Revenues 9-14'!E257</f>
        <v>0</v>
      </c>
      <c r="D6819" s="2" t="str">
        <f t="shared" si="105"/>
        <v>Error?</v>
      </c>
      <c r="E6819" s="2" t="s">
        <v>199</v>
      </c>
    </row>
    <row r="6820" spans="1:5" x14ac:dyDescent="0.2">
      <c r="A6820">
        <v>6759</v>
      </c>
      <c r="B6820" s="138">
        <f>'Revenues 9-14'!F257</f>
        <v>0</v>
      </c>
      <c r="D6820" s="2" t="str">
        <f t="shared" si="105"/>
        <v>Error?</v>
      </c>
      <c r="E6820" s="2" t="s">
        <v>199</v>
      </c>
    </row>
    <row r="6821" spans="1:5" x14ac:dyDescent="0.2">
      <c r="A6821">
        <v>6760</v>
      </c>
      <c r="B6821" s="138">
        <f>'Revenues 9-14'!G257</f>
        <v>0</v>
      </c>
      <c r="D6821" s="2" t="str">
        <f t="shared" si="105"/>
        <v>Error?</v>
      </c>
      <c r="E6821" s="2" t="s">
        <v>199</v>
      </c>
    </row>
    <row r="6822" spans="1:5" x14ac:dyDescent="0.2">
      <c r="A6822">
        <v>6761</v>
      </c>
      <c r="B6822" s="138">
        <f>'Revenues 9-14'!H257</f>
        <v>0</v>
      </c>
      <c r="D6822" s="2" t="str">
        <f t="shared" si="105"/>
        <v>Error?</v>
      </c>
      <c r="E6822" s="2" t="s">
        <v>199</v>
      </c>
    </row>
    <row r="6823" spans="1:5" x14ac:dyDescent="0.2">
      <c r="A6823">
        <v>6762</v>
      </c>
      <c r="B6823" s="138">
        <f>'Revenues 9-14'!J257</f>
        <v>0</v>
      </c>
      <c r="D6823" s="2" t="str">
        <f t="shared" si="105"/>
        <v>Error?</v>
      </c>
      <c r="E6823" s="2" t="s">
        <v>199</v>
      </c>
    </row>
    <row r="6824" spans="1:5" x14ac:dyDescent="0.2">
      <c r="A6824">
        <v>6763</v>
      </c>
      <c r="B6824" s="138">
        <f>'Revenues 9-14'!K257</f>
        <v>0</v>
      </c>
      <c r="D6824" s="2" t="str">
        <f t="shared" si="105"/>
        <v>Error?</v>
      </c>
      <c r="E6824" s="2" t="s">
        <v>199</v>
      </c>
    </row>
    <row r="6825" spans="1:5" x14ac:dyDescent="0.2">
      <c r="A6825">
        <v>6764</v>
      </c>
      <c r="B6825" s="138">
        <f>'Revenues 9-14'!C258</f>
        <v>0</v>
      </c>
      <c r="D6825" s="2" t="str">
        <f t="shared" si="105"/>
        <v>Error?</v>
      </c>
      <c r="E6825" s="2" t="s">
        <v>199</v>
      </c>
    </row>
    <row r="6826" spans="1:5" x14ac:dyDescent="0.2">
      <c r="A6826">
        <v>6765</v>
      </c>
      <c r="B6826" s="138">
        <f>'Revenues 9-14'!D258</f>
        <v>0</v>
      </c>
      <c r="D6826" s="2" t="str">
        <f t="shared" si="105"/>
        <v>Error?</v>
      </c>
      <c r="E6826" s="2" t="s">
        <v>199</v>
      </c>
    </row>
    <row r="6827" spans="1:5" x14ac:dyDescent="0.2">
      <c r="A6827">
        <v>6766</v>
      </c>
      <c r="B6827" s="138">
        <f>'Revenues 9-14'!E258</f>
        <v>0</v>
      </c>
      <c r="D6827" s="2" t="str">
        <f t="shared" si="105"/>
        <v>Error?</v>
      </c>
      <c r="E6827" s="2" t="s">
        <v>199</v>
      </c>
    </row>
    <row r="6828" spans="1:5" x14ac:dyDescent="0.2">
      <c r="A6828">
        <v>6767</v>
      </c>
      <c r="B6828" s="138">
        <f>'Revenues 9-14'!F258</f>
        <v>0</v>
      </c>
      <c r="D6828" s="2" t="str">
        <f t="shared" si="105"/>
        <v>Error?</v>
      </c>
      <c r="E6828" s="2" t="s">
        <v>199</v>
      </c>
    </row>
    <row r="6829" spans="1:5" x14ac:dyDescent="0.2">
      <c r="A6829">
        <v>6768</v>
      </c>
      <c r="B6829" s="138">
        <f>'Revenues 9-14'!G258</f>
        <v>0</v>
      </c>
      <c r="D6829" s="2" t="str">
        <f t="shared" si="105"/>
        <v>Error?</v>
      </c>
      <c r="E6829" s="2" t="s">
        <v>199</v>
      </c>
    </row>
    <row r="6830" spans="1:5" x14ac:dyDescent="0.2">
      <c r="A6830">
        <v>6769</v>
      </c>
      <c r="B6830" s="138">
        <f>'Revenues 9-14'!H258</f>
        <v>0</v>
      </c>
      <c r="D6830" s="2" t="str">
        <f t="shared" si="105"/>
        <v>Error?</v>
      </c>
      <c r="E6830" s="2" t="s">
        <v>199</v>
      </c>
    </row>
    <row r="6831" spans="1:5" x14ac:dyDescent="0.2">
      <c r="A6831">
        <v>6770</v>
      </c>
      <c r="B6831" s="138">
        <f>'Revenues 9-14'!J258</f>
        <v>0</v>
      </c>
      <c r="D6831" s="2" t="str">
        <f t="shared" si="105"/>
        <v>Error?</v>
      </c>
      <c r="E6831" s="2" t="s">
        <v>199</v>
      </c>
    </row>
    <row r="6832" spans="1:5" x14ac:dyDescent="0.2">
      <c r="A6832">
        <v>6771</v>
      </c>
      <c r="B6832" s="138">
        <f>'Revenues 9-14'!K258</f>
        <v>0</v>
      </c>
      <c r="D6832" s="2" t="str">
        <f t="shared" si="105"/>
        <v>Error?</v>
      </c>
    </row>
    <row r="6833" spans="1:4" x14ac:dyDescent="0.2">
      <c r="A6833">
        <v>6772</v>
      </c>
      <c r="B6833" s="138">
        <f>'Revenues 9-14'!C259</f>
        <v>0</v>
      </c>
      <c r="D6833" s="2" t="str">
        <f t="shared" si="105"/>
        <v>Error?</v>
      </c>
    </row>
    <row r="6834" spans="1:4" x14ac:dyDescent="0.2">
      <c r="A6834">
        <v>6773</v>
      </c>
      <c r="B6834" s="138">
        <f>'Revenues 9-14'!D259</f>
        <v>0</v>
      </c>
      <c r="D6834" s="2" t="str">
        <f t="shared" si="105"/>
        <v>Error?</v>
      </c>
    </row>
    <row r="6835" spans="1:4" x14ac:dyDescent="0.2">
      <c r="A6835">
        <v>6774</v>
      </c>
      <c r="B6835" s="138">
        <f>'Revenues 9-14'!E259</f>
        <v>773693</v>
      </c>
      <c r="D6835" s="2" t="str">
        <f t="shared" si="105"/>
        <v>Error?</v>
      </c>
    </row>
    <row r="6836" spans="1:4" x14ac:dyDescent="0.2">
      <c r="A6836">
        <v>6775</v>
      </c>
      <c r="B6836" s="138">
        <f>'Revenues 9-14'!F259</f>
        <v>0</v>
      </c>
      <c r="D6836" s="2" t="str">
        <f t="shared" si="105"/>
        <v>Error?</v>
      </c>
    </row>
    <row r="6837" spans="1:4" x14ac:dyDescent="0.2">
      <c r="A6837">
        <v>6776</v>
      </c>
      <c r="B6837" s="138">
        <f>'Revenues 9-14'!G259</f>
        <v>0</v>
      </c>
      <c r="D6837" s="2" t="str">
        <f t="shared" si="105"/>
        <v>Error?</v>
      </c>
    </row>
    <row r="6838" spans="1:4" x14ac:dyDescent="0.2">
      <c r="A6838">
        <v>6777</v>
      </c>
      <c r="B6838" s="138">
        <f>'Revenues 9-14'!H259</f>
        <v>0</v>
      </c>
      <c r="D6838" s="2" t="str">
        <f t="shared" si="105"/>
        <v>Error?</v>
      </c>
    </row>
    <row r="6839" spans="1:4" x14ac:dyDescent="0.2">
      <c r="A6839">
        <v>6778</v>
      </c>
      <c r="B6839" s="138">
        <f>'Revenues 9-14'!J259</f>
        <v>0</v>
      </c>
      <c r="D6839" s="2" t="str">
        <f t="shared" si="105"/>
        <v>Error?</v>
      </c>
    </row>
    <row r="6840" spans="1:4" x14ac:dyDescent="0.2">
      <c r="A6840">
        <v>6779</v>
      </c>
      <c r="B6840" s="138">
        <f>'Revenues 9-14'!K259</f>
        <v>0</v>
      </c>
      <c r="D6840" s="2" t="str">
        <f t="shared" si="105"/>
        <v>Error?</v>
      </c>
    </row>
    <row r="6841" spans="1:4" x14ac:dyDescent="0.2">
      <c r="A6841">
        <v>6780</v>
      </c>
      <c r="B6841" s="138">
        <f>'Revenues 9-14'!C262</f>
        <v>0</v>
      </c>
      <c r="D6841" s="2" t="str">
        <f t="shared" si="105"/>
        <v>Error?</v>
      </c>
    </row>
    <row r="6842" spans="1:4" x14ac:dyDescent="0.2">
      <c r="A6842">
        <v>6781</v>
      </c>
      <c r="B6842" s="138">
        <f>'Revenues 9-14'!D262</f>
        <v>0</v>
      </c>
      <c r="D6842" s="2" t="str">
        <f t="shared" si="105"/>
        <v>Error?</v>
      </c>
    </row>
    <row r="6843" spans="1:4" x14ac:dyDescent="0.2">
      <c r="A6843">
        <v>6782</v>
      </c>
      <c r="B6843" s="138">
        <f>'Revenues 9-14'!G262</f>
        <v>0</v>
      </c>
      <c r="D6843" s="2" t="str">
        <f t="shared" si="105"/>
        <v>Error?</v>
      </c>
    </row>
    <row r="6844" spans="1:4" x14ac:dyDescent="0.2">
      <c r="A6844">
        <v>6783</v>
      </c>
      <c r="B6844" s="138">
        <f>'Expenditures 15-22'!I5</f>
        <v>0</v>
      </c>
      <c r="D6844" s="2" t="str">
        <f t="shared" si="105"/>
        <v>Error?</v>
      </c>
    </row>
    <row r="6845" spans="1:4" x14ac:dyDescent="0.2">
      <c r="A6845">
        <v>6784</v>
      </c>
      <c r="B6845" s="138">
        <f>'Expenditures 15-22'!J5</f>
        <v>0</v>
      </c>
      <c r="D6845" s="2" t="str">
        <f t="shared" si="105"/>
        <v>Error?</v>
      </c>
    </row>
    <row r="6846" spans="1:4" x14ac:dyDescent="0.2">
      <c r="A6846">
        <v>6785</v>
      </c>
      <c r="B6846" s="138">
        <f>'Expenditures 15-22'!I7</f>
        <v>0</v>
      </c>
      <c r="D6846" s="2" t="str">
        <f t="shared" si="105"/>
        <v>Error?</v>
      </c>
    </row>
    <row r="6847" spans="1:4" x14ac:dyDescent="0.2">
      <c r="A6847">
        <v>6786</v>
      </c>
      <c r="B6847" s="138">
        <f>'Expenditures 15-22'!J7</f>
        <v>0</v>
      </c>
      <c r="D6847" s="2" t="str">
        <f t="shared" ref="D6847:D6910" si="106">IF(ISBLANK(B6847),"OK",IF(A6847-B6847=0,"OK","Error?"))</f>
        <v>Error?</v>
      </c>
    </row>
    <row r="6848" spans="1:4" x14ac:dyDescent="0.2">
      <c r="A6848">
        <v>6787</v>
      </c>
      <c r="B6848" s="138">
        <f>'Expenditures 15-22'!K7</f>
        <v>301201</v>
      </c>
      <c r="D6848" s="2" t="str">
        <f t="shared" si="106"/>
        <v>Error?</v>
      </c>
    </row>
    <row r="6849" spans="1:4" x14ac:dyDescent="0.2">
      <c r="A6849">
        <v>6788</v>
      </c>
      <c r="B6849" s="138">
        <f>'Expenditures 15-22'!I8</f>
        <v>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21789</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0</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0</v>
      </c>
      <c r="D6880" s="2" t="str">
        <f t="shared" si="106"/>
        <v>Error?</v>
      </c>
    </row>
    <row r="6881" spans="1:4" x14ac:dyDescent="0.2">
      <c r="A6881">
        <v>6820</v>
      </c>
      <c r="B6881" s="138">
        <f>'Expenditures 15-22'!K22</f>
        <v>0</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0</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0</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0</v>
      </c>
      <c r="D6940" s="2" t="str">
        <f t="shared" si="107"/>
        <v>Error?</v>
      </c>
    </row>
    <row r="6941" spans="1:4" x14ac:dyDescent="0.2">
      <c r="A6941">
        <v>6880</v>
      </c>
      <c r="B6941" s="138">
        <f>'Expenditures 15-22'!L52</f>
        <v>0</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0</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1775</v>
      </c>
      <c r="D6981" s="2" t="str">
        <f t="shared" si="108"/>
        <v>Error?</v>
      </c>
    </row>
    <row r="6982" spans="1:4" x14ac:dyDescent="0.2">
      <c r="A6982">
        <v>6921</v>
      </c>
      <c r="B6982" s="138">
        <f>'Expenditures 15-22'!K85</f>
        <v>1775</v>
      </c>
      <c r="D6982" s="2" t="str">
        <f t="shared" si="108"/>
        <v>Error?</v>
      </c>
    </row>
    <row r="6983" spans="1:4" x14ac:dyDescent="0.2">
      <c r="A6983">
        <v>6922</v>
      </c>
      <c r="B6983" s="138">
        <f>'Expenditures 15-22'!H86</f>
        <v>505522</v>
      </c>
      <c r="D6983" s="2" t="str">
        <f t="shared" si="108"/>
        <v>Error?</v>
      </c>
    </row>
    <row r="6984" spans="1:4" x14ac:dyDescent="0.2">
      <c r="A6984">
        <v>6923</v>
      </c>
      <c r="B6984" s="138">
        <f>'Expenditures 15-22'!K86</f>
        <v>505522</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507297</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0</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0</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0</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0</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9-14'!J273</f>
        <v>0</v>
      </c>
      <c r="D7041" s="2" t="str">
        <f t="shared" si="109"/>
        <v>Error?</v>
      </c>
    </row>
    <row r="7042" spans="1:5" x14ac:dyDescent="0.2">
      <c r="A7042">
        <v>6981</v>
      </c>
      <c r="B7042" s="138">
        <f>'Acct Summary 7-8'!J13</f>
        <v>311755</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0</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9-14'!J274</f>
        <v>0</v>
      </c>
      <c r="D7054" s="2" t="str">
        <f t="shared" si="109"/>
        <v>Error?</v>
      </c>
      <c r="E7054" s="2" t="s">
        <v>116</v>
      </c>
    </row>
    <row r="7055" spans="1:5" x14ac:dyDescent="0.2">
      <c r="A7055">
        <v>6994</v>
      </c>
      <c r="B7055" s="138">
        <f>'Revenues 9-14'!J275</f>
        <v>288131</v>
      </c>
      <c r="D7055" s="2" t="str">
        <f t="shared" si="109"/>
        <v>Error?</v>
      </c>
      <c r="E7055" s="2" t="s">
        <v>116</v>
      </c>
    </row>
    <row r="7056" spans="1:5" x14ac:dyDescent="0.2">
      <c r="A7056">
        <v>6995</v>
      </c>
      <c r="D7056" s="2" t="str">
        <f t="shared" si="109"/>
        <v>OK</v>
      </c>
      <c r="E7056" s="2" t="s">
        <v>116</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0</v>
      </c>
      <c r="D7067" s="2" t="str">
        <f t="shared" si="109"/>
        <v>Error?</v>
      </c>
    </row>
    <row r="7068" spans="1:4" x14ac:dyDescent="0.2">
      <c r="A7068">
        <v>7007</v>
      </c>
      <c r="B7068" s="138">
        <f>'Expenditures 15-22'!K205</f>
        <v>0</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14569</v>
      </c>
      <c r="D7073" s="2" t="str">
        <f t="shared" si="109"/>
        <v>Error?</v>
      </c>
    </row>
    <row r="7074" spans="1:4" x14ac:dyDescent="0.2">
      <c r="A7074">
        <v>7013</v>
      </c>
      <c r="B7074" s="138">
        <f>'Expenditures 15-22'!K216</f>
        <v>14569</v>
      </c>
      <c r="D7074" s="2" t="str">
        <f t="shared" si="109"/>
        <v>Error?</v>
      </c>
    </row>
    <row r="7075" spans="1:4" x14ac:dyDescent="0.2">
      <c r="A7075">
        <v>7014</v>
      </c>
      <c r="B7075" s="138">
        <f>'Expenditures 15-22'!D218</f>
        <v>1200</v>
      </c>
      <c r="D7075" s="2" t="str">
        <f t="shared" si="109"/>
        <v>Error?</v>
      </c>
    </row>
    <row r="7076" spans="1:4" x14ac:dyDescent="0.2">
      <c r="A7076">
        <v>7015</v>
      </c>
      <c r="B7076" s="138">
        <f>'Expenditures 15-22'!K218</f>
        <v>1200</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0</v>
      </c>
      <c r="D7079" s="2" t="str">
        <f t="shared" si="109"/>
        <v>Error?</v>
      </c>
    </row>
    <row r="7080" spans="1:4" x14ac:dyDescent="0.2">
      <c r="A7080">
        <v>7019</v>
      </c>
      <c r="B7080" s="138">
        <f>'Expenditures 15-22'!K226</f>
        <v>0</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0</v>
      </c>
      <c r="D7093" s="2" t="str">
        <f t="shared" si="109"/>
        <v>Error?</v>
      </c>
    </row>
    <row r="7094" spans="1:4" x14ac:dyDescent="0.2">
      <c r="A7094">
        <v>7033</v>
      </c>
      <c r="B7094" s="138">
        <f>'Expenditures 15-22'!K254</f>
        <v>0</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125208</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125208</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4521</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4521</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10110</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10110</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94202</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94202</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0</v>
      </c>
      <c r="D7172" s="2" t="str">
        <f t="shared" si="111"/>
        <v>Error?</v>
      </c>
    </row>
    <row r="7173" spans="1:4" x14ac:dyDescent="0.2">
      <c r="A7173">
        <v>7112</v>
      </c>
      <c r="B7173" s="138">
        <f>'Expenditures 15-22'!D325</f>
        <v>0</v>
      </c>
      <c r="D7173" s="2" t="str">
        <f t="shared" si="111"/>
        <v>Error?</v>
      </c>
    </row>
    <row r="7174" spans="1:4" x14ac:dyDescent="0.2">
      <c r="A7174">
        <v>7113</v>
      </c>
      <c r="B7174" s="138">
        <f>'Expenditures 15-22'!E325</f>
        <v>0</v>
      </c>
      <c r="D7174" s="2" t="str">
        <f t="shared" si="111"/>
        <v>Error?</v>
      </c>
    </row>
    <row r="7175" spans="1:4" x14ac:dyDescent="0.2">
      <c r="A7175">
        <v>7114</v>
      </c>
      <c r="B7175" s="138">
        <f>'Expenditures 15-22'!F325</f>
        <v>0</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0</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0</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0</v>
      </c>
      <c r="D7198" s="2" t="str">
        <f t="shared" si="111"/>
        <v>Error?</v>
      </c>
    </row>
    <row r="7199" spans="1:4" x14ac:dyDescent="0.2">
      <c r="A7199">
        <v>7138</v>
      </c>
      <c r="B7199" s="138">
        <f>'Expenditures 15-22'!C330</f>
        <v>0</v>
      </c>
      <c r="D7199" s="2" t="str">
        <f t="shared" si="111"/>
        <v>Error?</v>
      </c>
    </row>
    <row r="7200" spans="1:4" x14ac:dyDescent="0.2">
      <c r="A7200">
        <v>7139</v>
      </c>
      <c r="B7200" s="138">
        <f>'Expenditures 15-22'!D330</f>
        <v>0</v>
      </c>
      <c r="D7200" s="2" t="str">
        <f t="shared" si="111"/>
        <v>Error?</v>
      </c>
    </row>
    <row r="7201" spans="1:4" x14ac:dyDescent="0.2">
      <c r="A7201">
        <v>7140</v>
      </c>
      <c r="B7201" s="138">
        <f>'Expenditures 15-22'!E330</f>
        <v>311755</v>
      </c>
      <c r="D7201" s="2" t="str">
        <f t="shared" si="111"/>
        <v>Error?</v>
      </c>
    </row>
    <row r="7202" spans="1:4" x14ac:dyDescent="0.2">
      <c r="A7202">
        <v>7141</v>
      </c>
      <c r="B7202" s="138">
        <f>'Expenditures 15-22'!F330</f>
        <v>0</v>
      </c>
      <c r="D7202" s="2" t="str">
        <f t="shared" si="111"/>
        <v>Error?</v>
      </c>
    </row>
    <row r="7203" spans="1:4" x14ac:dyDescent="0.2">
      <c r="A7203">
        <v>7142</v>
      </c>
      <c r="B7203" s="138">
        <f>'Expenditures 15-22'!G330</f>
        <v>0</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311755</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0</v>
      </c>
      <c r="D7216" s="2" t="str">
        <f t="shared" si="111"/>
        <v>Error?</v>
      </c>
    </row>
    <row r="7217" spans="1:4" x14ac:dyDescent="0.2">
      <c r="A7217">
        <v>7156</v>
      </c>
      <c r="B7217" s="138">
        <f>'Expenditures 15-22'!D342</f>
        <v>0</v>
      </c>
      <c r="D7217" s="2" t="str">
        <f t="shared" si="111"/>
        <v>Error?</v>
      </c>
    </row>
    <row r="7218" spans="1:4" x14ac:dyDescent="0.2">
      <c r="A7218">
        <v>7157</v>
      </c>
      <c r="B7218" s="138">
        <f>'Expenditures 15-22'!E342</f>
        <v>311755</v>
      </c>
      <c r="D7218" s="2" t="str">
        <f t="shared" si="111"/>
        <v>Error?</v>
      </c>
    </row>
    <row r="7219" spans="1:4" x14ac:dyDescent="0.2">
      <c r="A7219">
        <v>7158</v>
      </c>
      <c r="B7219" s="138">
        <f>'Expenditures 15-22'!F342</f>
        <v>0</v>
      </c>
      <c r="D7219" s="2" t="str">
        <f t="shared" si="111"/>
        <v>Error?</v>
      </c>
    </row>
    <row r="7220" spans="1:4" x14ac:dyDescent="0.2">
      <c r="A7220">
        <v>7159</v>
      </c>
      <c r="B7220" s="138">
        <f>'Expenditures 15-22'!G342</f>
        <v>0</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311755</v>
      </c>
      <c r="D7224" s="2" t="str">
        <f t="shared" si="111"/>
        <v>Error?</v>
      </c>
    </row>
    <row r="7225" spans="1:4" x14ac:dyDescent="0.2">
      <c r="A7225">
        <v>7164</v>
      </c>
      <c r="B7225" s="138">
        <f>'Expenditures 15-22'!K343</f>
        <v>-23624</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42409</v>
      </c>
      <c r="D7246" s="2" t="str">
        <f t="shared" si="112"/>
        <v>Error?</v>
      </c>
    </row>
    <row r="7247" spans="1:4" x14ac:dyDescent="0.2">
      <c r="A7247">
        <f t="shared" si="113"/>
        <v>7186</v>
      </c>
      <c r="B7247" s="138">
        <f>'Expenditures 15-22'!E7</f>
        <v>1095</v>
      </c>
      <c r="D7247" s="2" t="str">
        <f t="shared" si="112"/>
        <v>Error?</v>
      </c>
    </row>
    <row r="7248" spans="1:4" x14ac:dyDescent="0.2">
      <c r="A7248">
        <f t="shared" si="113"/>
        <v>7187</v>
      </c>
      <c r="B7248" s="138">
        <f>'Expenditures 15-22'!F7</f>
        <v>10071</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6896</v>
      </c>
      <c r="D7251" s="2" t="str">
        <f t="shared" si="112"/>
        <v>Error?</v>
      </c>
    </row>
    <row r="7252" spans="1:4" x14ac:dyDescent="0.2">
      <c r="A7252">
        <f t="shared" si="113"/>
        <v>7191</v>
      </c>
      <c r="B7252" s="138">
        <f>'Expenditures 15-22'!D9</f>
        <v>3932</v>
      </c>
      <c r="D7252" s="2" t="str">
        <f t="shared" si="112"/>
        <v>Error?</v>
      </c>
    </row>
    <row r="7253" spans="1:4" x14ac:dyDescent="0.2">
      <c r="A7253">
        <f t="shared" si="113"/>
        <v>7192</v>
      </c>
      <c r="B7253" s="138">
        <f>'Expenditures 15-22'!E9</f>
        <v>320</v>
      </c>
      <c r="D7253" s="2" t="str">
        <f t="shared" si="112"/>
        <v>Error?</v>
      </c>
    </row>
    <row r="7254" spans="1:4" x14ac:dyDescent="0.2">
      <c r="A7254">
        <f t="shared" si="113"/>
        <v>7193</v>
      </c>
      <c r="B7254" s="138">
        <f>'Expenditures 15-22'!F9</f>
        <v>10641</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0</v>
      </c>
      <c r="D7263" s="2" t="str">
        <f t="shared" si="112"/>
        <v>Error?</v>
      </c>
    </row>
    <row r="7264" spans="1:4" x14ac:dyDescent="0.2">
      <c r="A7264">
        <f t="shared" si="113"/>
        <v>7203</v>
      </c>
      <c r="B7264" s="138">
        <f>'Expenditures 15-22'!D17</f>
        <v>0</v>
      </c>
      <c r="D7264" s="2" t="str">
        <f t="shared" si="112"/>
        <v>Error?</v>
      </c>
    </row>
    <row r="7265" spans="1:5" x14ac:dyDescent="0.2">
      <c r="A7265">
        <f t="shared" si="113"/>
        <v>7204</v>
      </c>
      <c r="B7265" s="138">
        <f>'Expenditures 15-22'!E17</f>
        <v>0</v>
      </c>
      <c r="D7265" s="2" t="str">
        <f t="shared" si="112"/>
        <v>Error?</v>
      </c>
    </row>
    <row r="7266" spans="1:5" x14ac:dyDescent="0.2">
      <c r="A7266">
        <f t="shared" si="113"/>
        <v>7205</v>
      </c>
      <c r="B7266" s="138">
        <f>'Expenditures 15-22'!F17</f>
        <v>0</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81</v>
      </c>
    </row>
    <row r="7270" spans="1:5" x14ac:dyDescent="0.2">
      <c r="A7270">
        <f t="shared" si="113"/>
        <v>7209</v>
      </c>
      <c r="B7270" s="138" t="e">
        <f>#REF!</f>
        <v>#REF!</v>
      </c>
      <c r="D7270" s="2" t="e">
        <f t="shared" si="112"/>
        <v>#REF!</v>
      </c>
      <c r="E7270" s="2" t="s">
        <v>81</v>
      </c>
    </row>
    <row r="7271" spans="1:5" x14ac:dyDescent="0.2">
      <c r="A7271">
        <f t="shared" si="113"/>
        <v>7210</v>
      </c>
      <c r="B7271" s="138" t="e">
        <f>#REF!</f>
        <v>#REF!</v>
      </c>
      <c r="D7271" s="2" t="e">
        <f t="shared" si="112"/>
        <v>#REF!</v>
      </c>
      <c r="E7271" s="2" t="s">
        <v>81</v>
      </c>
    </row>
    <row r="7272" spans="1:5" x14ac:dyDescent="0.2">
      <c r="A7272">
        <f t="shared" si="113"/>
        <v>7211</v>
      </c>
      <c r="B7272" s="138" t="e">
        <f>#REF!</f>
        <v>#REF!</v>
      </c>
      <c r="D7272" s="2" t="e">
        <f t="shared" si="112"/>
        <v>#REF!</v>
      </c>
      <c r="E7272" s="2" t="s">
        <v>81</v>
      </c>
    </row>
    <row r="7273" spans="1:5" x14ac:dyDescent="0.2">
      <c r="A7273">
        <f t="shared" si="113"/>
        <v>7212</v>
      </c>
      <c r="B7273" s="138" t="e">
        <f>#REF!</f>
        <v>#REF!</v>
      </c>
      <c r="D7273" s="2" t="e">
        <f t="shared" si="112"/>
        <v>#REF!</v>
      </c>
      <c r="E7273" s="2" t="s">
        <v>81</v>
      </c>
    </row>
    <row r="7274" spans="1:5" x14ac:dyDescent="0.2">
      <c r="A7274">
        <f t="shared" si="113"/>
        <v>7213</v>
      </c>
      <c r="B7274" s="138" t="e">
        <f>#REF!</f>
        <v>#REF!</v>
      </c>
      <c r="D7274" s="2" t="e">
        <f t="shared" si="112"/>
        <v>#REF!</v>
      </c>
      <c r="E7274" s="2" t="s">
        <v>81</v>
      </c>
    </row>
    <row r="7275" spans="1:5" x14ac:dyDescent="0.2">
      <c r="A7275">
        <f t="shared" si="113"/>
        <v>7214</v>
      </c>
      <c r="B7275" s="138" t="e">
        <f>#REF!</f>
        <v>#REF!</v>
      </c>
      <c r="D7275" s="2" t="e">
        <f t="shared" si="112"/>
        <v>#REF!</v>
      </c>
      <c r="E7275" s="2" t="s">
        <v>81</v>
      </c>
    </row>
    <row r="7276" spans="1:5" x14ac:dyDescent="0.2">
      <c r="A7276">
        <f t="shared" si="113"/>
        <v>7215</v>
      </c>
      <c r="B7276" s="138" t="e">
        <f>#REF!</f>
        <v>#REF!</v>
      </c>
      <c r="D7276" s="2" t="e">
        <f t="shared" si="112"/>
        <v>#REF!</v>
      </c>
      <c r="E7276" s="2" t="s">
        <v>81</v>
      </c>
    </row>
    <row r="7277" spans="1:5" x14ac:dyDescent="0.2">
      <c r="A7277">
        <f t="shared" si="113"/>
        <v>7216</v>
      </c>
      <c r="B7277" s="138" t="e">
        <f>#REF!</f>
        <v>#REF!</v>
      </c>
      <c r="D7277" s="2" t="e">
        <f t="shared" si="112"/>
        <v>#REF!</v>
      </c>
      <c r="E7277" s="2" t="s">
        <v>81</v>
      </c>
    </row>
    <row r="7278" spans="1:5" x14ac:dyDescent="0.2">
      <c r="A7278">
        <f t="shared" si="113"/>
        <v>7217</v>
      </c>
      <c r="B7278" s="138" t="e">
        <f>#REF!</f>
        <v>#REF!</v>
      </c>
      <c r="D7278" s="2" t="e">
        <f t="shared" si="112"/>
        <v>#REF!</v>
      </c>
      <c r="E7278" s="2" t="s">
        <v>81</v>
      </c>
    </row>
    <row r="7279" spans="1:5" x14ac:dyDescent="0.2">
      <c r="A7279">
        <f t="shared" si="113"/>
        <v>7218</v>
      </c>
      <c r="B7279" s="138" t="e">
        <f>#REF!</f>
        <v>#REF!</v>
      </c>
      <c r="D7279" s="2" t="e">
        <f t="shared" si="112"/>
        <v>#REF!</v>
      </c>
      <c r="E7279" s="2" t="s">
        <v>81</v>
      </c>
    </row>
    <row r="7280" spans="1:5" x14ac:dyDescent="0.2">
      <c r="A7280">
        <f t="shared" si="113"/>
        <v>7219</v>
      </c>
      <c r="B7280" s="138" t="e">
        <f>#REF!</f>
        <v>#REF!</v>
      </c>
      <c r="D7280" s="2" t="e">
        <f t="shared" si="112"/>
        <v>#REF!</v>
      </c>
      <c r="E7280" s="2" t="s">
        <v>81</v>
      </c>
    </row>
    <row r="7281" spans="1:5" x14ac:dyDescent="0.2">
      <c r="A7281">
        <f t="shared" si="113"/>
        <v>7220</v>
      </c>
      <c r="B7281" s="138" t="e">
        <f>#REF!</f>
        <v>#REF!</v>
      </c>
      <c r="D7281" s="2" t="e">
        <f t="shared" si="112"/>
        <v>#REF!</v>
      </c>
      <c r="E7281" s="2" t="s">
        <v>81</v>
      </c>
    </row>
    <row r="7282" spans="1:5" x14ac:dyDescent="0.2">
      <c r="A7282">
        <f t="shared" si="113"/>
        <v>7221</v>
      </c>
      <c r="B7282" s="138" t="e">
        <f>#REF!</f>
        <v>#REF!</v>
      </c>
      <c r="D7282" s="2" t="e">
        <f t="shared" si="112"/>
        <v>#REF!</v>
      </c>
      <c r="E7282" s="2" t="s">
        <v>81</v>
      </c>
    </row>
    <row r="7283" spans="1:5" x14ac:dyDescent="0.2">
      <c r="A7283">
        <f t="shared" si="113"/>
        <v>7222</v>
      </c>
      <c r="B7283" s="138" t="e">
        <f>#REF!</f>
        <v>#REF!</v>
      </c>
      <c r="D7283" s="2" t="e">
        <f t="shared" si="112"/>
        <v>#REF!</v>
      </c>
      <c r="E7283" s="2" t="s">
        <v>81</v>
      </c>
    </row>
    <row r="7284" spans="1:5" x14ac:dyDescent="0.2">
      <c r="A7284">
        <f t="shared" si="113"/>
        <v>7223</v>
      </c>
      <c r="B7284" s="138" t="e">
        <f>#REF!</f>
        <v>#REF!</v>
      </c>
      <c r="D7284" s="2" t="e">
        <f t="shared" si="112"/>
        <v>#REF!</v>
      </c>
      <c r="E7284" s="2" t="s">
        <v>81</v>
      </c>
    </row>
    <row r="7285" spans="1:5" x14ac:dyDescent="0.2">
      <c r="A7285">
        <f t="shared" si="113"/>
        <v>7224</v>
      </c>
      <c r="B7285" s="138" t="e">
        <f>#REF!</f>
        <v>#REF!</v>
      </c>
      <c r="D7285" s="2" t="e">
        <f t="shared" si="112"/>
        <v>#REF!</v>
      </c>
      <c r="E7285" s="2" t="s">
        <v>81</v>
      </c>
    </row>
    <row r="7286" spans="1:5" x14ac:dyDescent="0.2">
      <c r="A7286">
        <f t="shared" si="113"/>
        <v>7225</v>
      </c>
      <c r="B7286" s="138" t="e">
        <f>#REF!</f>
        <v>#REF!</v>
      </c>
      <c r="D7286" s="2" t="e">
        <f t="shared" si="112"/>
        <v>#REF!</v>
      </c>
      <c r="E7286" s="2" t="s">
        <v>81</v>
      </c>
    </row>
    <row r="7287" spans="1:5" x14ac:dyDescent="0.2">
      <c r="A7287">
        <f t="shared" si="113"/>
        <v>7226</v>
      </c>
      <c r="B7287" s="138" t="e">
        <f>#REF!</f>
        <v>#REF!</v>
      </c>
      <c r="D7287" s="2" t="e">
        <f t="shared" si="112"/>
        <v>#REF!</v>
      </c>
      <c r="E7287" s="2" t="s">
        <v>81</v>
      </c>
    </row>
    <row r="7288" spans="1:5" x14ac:dyDescent="0.2">
      <c r="A7288">
        <f t="shared" si="113"/>
        <v>7227</v>
      </c>
      <c r="B7288" s="138" t="e">
        <f>#REF!</f>
        <v>#REF!</v>
      </c>
      <c r="D7288" s="2" t="e">
        <f t="shared" si="112"/>
        <v>#REF!</v>
      </c>
      <c r="E7288" s="2" t="s">
        <v>81</v>
      </c>
    </row>
    <row r="7289" spans="1:5" x14ac:dyDescent="0.2">
      <c r="A7289">
        <f t="shared" si="113"/>
        <v>7228</v>
      </c>
      <c r="B7289" s="138" t="e">
        <f>#REF!</f>
        <v>#REF!</v>
      </c>
      <c r="D7289" s="2" t="e">
        <f t="shared" si="112"/>
        <v>#REF!</v>
      </c>
      <c r="E7289" s="2" t="s">
        <v>81</v>
      </c>
    </row>
    <row r="7290" spans="1:5" x14ac:dyDescent="0.2">
      <c r="A7290">
        <f t="shared" si="113"/>
        <v>7229</v>
      </c>
      <c r="B7290" s="138" t="e">
        <f>#REF!</f>
        <v>#REF!</v>
      </c>
      <c r="D7290" s="2" t="e">
        <f t="shared" si="112"/>
        <v>#REF!</v>
      </c>
      <c r="E7290" s="2" t="s">
        <v>81</v>
      </c>
    </row>
    <row r="7291" spans="1:5" x14ac:dyDescent="0.2">
      <c r="A7291">
        <f t="shared" si="113"/>
        <v>7230</v>
      </c>
      <c r="B7291" s="138" t="e">
        <f>#REF!</f>
        <v>#REF!</v>
      </c>
      <c r="D7291" s="2" t="e">
        <f t="shared" si="112"/>
        <v>#REF!</v>
      </c>
      <c r="E7291" s="2" t="s">
        <v>81</v>
      </c>
    </row>
    <row r="7292" spans="1:5" x14ac:dyDescent="0.2">
      <c r="A7292">
        <f t="shared" si="113"/>
        <v>7231</v>
      </c>
      <c r="B7292" s="138" t="e">
        <f>#REF!</f>
        <v>#REF!</v>
      </c>
      <c r="D7292" s="2" t="e">
        <f t="shared" si="112"/>
        <v>#REF!</v>
      </c>
      <c r="E7292" s="2" t="s">
        <v>81</v>
      </c>
    </row>
    <row r="7293" spans="1:5" x14ac:dyDescent="0.2">
      <c r="A7293">
        <f t="shared" si="113"/>
        <v>7232</v>
      </c>
      <c r="B7293" s="138" t="e">
        <f>#REF!</f>
        <v>#REF!</v>
      </c>
      <c r="D7293" s="2" t="e">
        <f t="shared" si="112"/>
        <v>#REF!</v>
      </c>
      <c r="E7293" s="2" t="s">
        <v>81</v>
      </c>
    </row>
    <row r="7294" spans="1:5" x14ac:dyDescent="0.2">
      <c r="A7294">
        <f t="shared" si="113"/>
        <v>7233</v>
      </c>
      <c r="B7294" s="138" t="e">
        <f>#REF!</f>
        <v>#REF!</v>
      </c>
      <c r="D7294" s="2" t="e">
        <f t="shared" si="112"/>
        <v>#REF!</v>
      </c>
      <c r="E7294" s="2" t="s">
        <v>81</v>
      </c>
    </row>
    <row r="7295" spans="1:5" x14ac:dyDescent="0.2">
      <c r="A7295">
        <f t="shared" si="113"/>
        <v>7234</v>
      </c>
      <c r="B7295" s="138" t="e">
        <f>#REF!</f>
        <v>#REF!</v>
      </c>
      <c r="D7295" s="2" t="e">
        <f t="shared" ref="D7295:D7358" si="114">IF(ISBLANK(B7295),"OK",IF(A7295-B7295=0,"OK","Error?"))</f>
        <v>#REF!</v>
      </c>
      <c r="E7295" s="2" t="s">
        <v>81</v>
      </c>
    </row>
    <row r="7296" spans="1:5" x14ac:dyDescent="0.2">
      <c r="A7296">
        <f t="shared" si="113"/>
        <v>7235</v>
      </c>
      <c r="B7296" s="138" t="e">
        <f>#REF!</f>
        <v>#REF!</v>
      </c>
      <c r="D7296" s="2" t="e">
        <f t="shared" si="114"/>
        <v>#REF!</v>
      </c>
      <c r="E7296" s="2" t="s">
        <v>81</v>
      </c>
    </row>
    <row r="7297" spans="1:5" x14ac:dyDescent="0.2">
      <c r="A7297">
        <f t="shared" si="113"/>
        <v>7236</v>
      </c>
      <c r="B7297" s="138" t="e">
        <f>#REF!</f>
        <v>#REF!</v>
      </c>
      <c r="D7297" s="2" t="e">
        <f t="shared" si="114"/>
        <v>#REF!</v>
      </c>
      <c r="E7297" s="2" t="s">
        <v>81</v>
      </c>
    </row>
    <row r="7298" spans="1:5" x14ac:dyDescent="0.2">
      <c r="A7298">
        <f t="shared" si="113"/>
        <v>7237</v>
      </c>
      <c r="B7298" s="138" t="e">
        <f>#REF!</f>
        <v>#REF!</v>
      </c>
      <c r="D7298" s="2" t="e">
        <f t="shared" si="114"/>
        <v>#REF!</v>
      </c>
      <c r="E7298" s="2" t="s">
        <v>81</v>
      </c>
    </row>
    <row r="7299" spans="1:5" x14ac:dyDescent="0.2">
      <c r="A7299">
        <f t="shared" si="113"/>
        <v>7238</v>
      </c>
      <c r="B7299" s="138" t="e">
        <f>#REF!</f>
        <v>#REF!</v>
      </c>
      <c r="D7299" s="2" t="e">
        <f t="shared" si="114"/>
        <v>#REF!</v>
      </c>
      <c r="E7299" s="2" t="s">
        <v>81</v>
      </c>
    </row>
    <row r="7300" spans="1:5" x14ac:dyDescent="0.2">
      <c r="A7300">
        <f t="shared" si="113"/>
        <v>7239</v>
      </c>
      <c r="B7300" s="138" t="e">
        <f>#REF!</f>
        <v>#REF!</v>
      </c>
      <c r="D7300" s="2" t="e">
        <f t="shared" si="114"/>
        <v>#REF!</v>
      </c>
      <c r="E7300" s="2" t="s">
        <v>81</v>
      </c>
    </row>
    <row r="7301" spans="1:5" x14ac:dyDescent="0.2">
      <c r="A7301">
        <f t="shared" si="113"/>
        <v>7240</v>
      </c>
      <c r="B7301" s="138" t="e">
        <f>#REF!</f>
        <v>#REF!</v>
      </c>
      <c r="D7301" s="2" t="e">
        <f t="shared" si="114"/>
        <v>#REF!</v>
      </c>
      <c r="E7301" s="2" t="s">
        <v>81</v>
      </c>
    </row>
    <row r="7302" spans="1:5" x14ac:dyDescent="0.2">
      <c r="A7302">
        <f t="shared" si="113"/>
        <v>7241</v>
      </c>
      <c r="B7302" s="138" t="e">
        <f>#REF!</f>
        <v>#REF!</v>
      </c>
      <c r="D7302" s="2" t="e">
        <f t="shared" si="114"/>
        <v>#REF!</v>
      </c>
      <c r="E7302" s="2" t="s">
        <v>81</v>
      </c>
    </row>
    <row r="7303" spans="1:5" x14ac:dyDescent="0.2">
      <c r="A7303">
        <f t="shared" si="113"/>
        <v>7242</v>
      </c>
      <c r="B7303" s="138" t="e">
        <f>#REF!</f>
        <v>#REF!</v>
      </c>
      <c r="D7303" s="2" t="e">
        <f t="shared" si="114"/>
        <v>#REF!</v>
      </c>
      <c r="E7303" s="2" t="s">
        <v>81</v>
      </c>
    </row>
    <row r="7304" spans="1:5" x14ac:dyDescent="0.2">
      <c r="A7304">
        <f t="shared" si="113"/>
        <v>7243</v>
      </c>
      <c r="B7304" s="138" t="e">
        <f>#REF!</f>
        <v>#REF!</v>
      </c>
      <c r="D7304" s="2" t="e">
        <f t="shared" si="114"/>
        <v>#REF!</v>
      </c>
      <c r="E7304" s="2" t="s">
        <v>81</v>
      </c>
    </row>
    <row r="7305" spans="1:5" x14ac:dyDescent="0.2">
      <c r="A7305">
        <f t="shared" si="113"/>
        <v>7244</v>
      </c>
      <c r="B7305" s="138" t="e">
        <f>#REF!</f>
        <v>#REF!</v>
      </c>
      <c r="D7305" s="2" t="e">
        <f t="shared" si="114"/>
        <v>#REF!</v>
      </c>
      <c r="E7305" s="2" t="s">
        <v>81</v>
      </c>
    </row>
    <row r="7306" spans="1:5" x14ac:dyDescent="0.2">
      <c r="A7306">
        <f t="shared" si="113"/>
        <v>7245</v>
      </c>
      <c r="B7306" s="138" t="e">
        <f>#REF!</f>
        <v>#REF!</v>
      </c>
      <c r="D7306" s="2" t="e">
        <f t="shared" si="114"/>
        <v>#REF!</v>
      </c>
      <c r="E7306" s="2" t="s">
        <v>81</v>
      </c>
    </row>
    <row r="7307" spans="1:5" x14ac:dyDescent="0.2">
      <c r="A7307">
        <f t="shared" si="113"/>
        <v>7246</v>
      </c>
      <c r="B7307" s="138" t="e">
        <f>#REF!</f>
        <v>#REF!</v>
      </c>
      <c r="D7307" s="2" t="e">
        <f t="shared" si="114"/>
        <v>#REF!</v>
      </c>
      <c r="E7307" s="2" t="s">
        <v>81</v>
      </c>
    </row>
    <row r="7308" spans="1:5" x14ac:dyDescent="0.2">
      <c r="A7308">
        <f t="shared" si="113"/>
        <v>7247</v>
      </c>
      <c r="B7308" s="138" t="e">
        <f>#REF!</f>
        <v>#REF!</v>
      </c>
      <c r="D7308" s="2" t="e">
        <f t="shared" si="114"/>
        <v>#REF!</v>
      </c>
      <c r="E7308" s="2" t="s">
        <v>81</v>
      </c>
    </row>
    <row r="7309" spans="1:5" x14ac:dyDescent="0.2">
      <c r="A7309">
        <f t="shared" si="113"/>
        <v>7248</v>
      </c>
      <c r="B7309" s="138" t="e">
        <f>#REF!</f>
        <v>#REF!</v>
      </c>
      <c r="D7309" s="2" t="e">
        <f t="shared" si="114"/>
        <v>#REF!</v>
      </c>
      <c r="E7309" s="2" t="s">
        <v>81</v>
      </c>
    </row>
    <row r="7310" spans="1:5" x14ac:dyDescent="0.2">
      <c r="A7310">
        <f t="shared" ref="A7310:A7373" si="115">A7309+1</f>
        <v>7249</v>
      </c>
      <c r="B7310" s="138" t="e">
        <f>#REF!</f>
        <v>#REF!</v>
      </c>
      <c r="D7310" s="2" t="e">
        <f t="shared" si="114"/>
        <v>#REF!</v>
      </c>
      <c r="E7310" s="2" t="s">
        <v>81</v>
      </c>
    </row>
    <row r="7311" spans="1:5" x14ac:dyDescent="0.2">
      <c r="A7311">
        <f t="shared" si="115"/>
        <v>7250</v>
      </c>
      <c r="B7311" s="138" t="e">
        <f>#REF!</f>
        <v>#REF!</v>
      </c>
      <c r="D7311" s="2" t="e">
        <f t="shared" si="114"/>
        <v>#REF!</v>
      </c>
      <c r="E7311" s="2" t="s">
        <v>81</v>
      </c>
    </row>
    <row r="7312" spans="1:5" x14ac:dyDescent="0.2">
      <c r="A7312">
        <f t="shared" si="115"/>
        <v>7251</v>
      </c>
      <c r="B7312" s="138" t="e">
        <f>#REF!</f>
        <v>#REF!</v>
      </c>
      <c r="D7312" s="2" t="e">
        <f t="shared" si="114"/>
        <v>#REF!</v>
      </c>
      <c r="E7312" s="2" t="s">
        <v>81</v>
      </c>
    </row>
    <row r="7313" spans="1:5" x14ac:dyDescent="0.2">
      <c r="A7313">
        <f t="shared" si="115"/>
        <v>7252</v>
      </c>
      <c r="B7313" s="138" t="e">
        <f>#REF!</f>
        <v>#REF!</v>
      </c>
      <c r="D7313" s="2" t="e">
        <f t="shared" si="114"/>
        <v>#REF!</v>
      </c>
      <c r="E7313" s="2" t="s">
        <v>81</v>
      </c>
    </row>
    <row r="7314" spans="1:5" x14ac:dyDescent="0.2">
      <c r="A7314">
        <f t="shared" si="115"/>
        <v>7253</v>
      </c>
      <c r="B7314" s="138" t="e">
        <f>#REF!</f>
        <v>#REF!</v>
      </c>
      <c r="D7314" s="2" t="e">
        <f t="shared" si="114"/>
        <v>#REF!</v>
      </c>
      <c r="E7314" s="2" t="s">
        <v>81</v>
      </c>
    </row>
    <row r="7315" spans="1:5" x14ac:dyDescent="0.2">
      <c r="A7315">
        <f t="shared" si="115"/>
        <v>7254</v>
      </c>
      <c r="B7315" s="138" t="e">
        <f>#REF!</f>
        <v>#REF!</v>
      </c>
      <c r="D7315" s="2" t="e">
        <f t="shared" si="114"/>
        <v>#REF!</v>
      </c>
      <c r="E7315" s="2" t="s">
        <v>81</v>
      </c>
    </row>
    <row r="7316" spans="1:5" x14ac:dyDescent="0.2">
      <c r="A7316">
        <f t="shared" si="115"/>
        <v>7255</v>
      </c>
      <c r="B7316" s="138" t="e">
        <f>#REF!</f>
        <v>#REF!</v>
      </c>
      <c r="D7316" s="2" t="e">
        <f t="shared" si="114"/>
        <v>#REF!</v>
      </c>
      <c r="E7316" s="2" t="s">
        <v>81</v>
      </c>
    </row>
    <row r="7317" spans="1:5" x14ac:dyDescent="0.2">
      <c r="A7317">
        <f t="shared" si="115"/>
        <v>7256</v>
      </c>
      <c r="B7317" s="138" t="e">
        <f>#REF!</f>
        <v>#REF!</v>
      </c>
      <c r="D7317" s="2" t="e">
        <f t="shared" si="114"/>
        <v>#REF!</v>
      </c>
      <c r="E7317" s="2" t="s">
        <v>81</v>
      </c>
    </row>
    <row r="7318" spans="1:5" x14ac:dyDescent="0.2">
      <c r="A7318">
        <f t="shared" si="115"/>
        <v>7257</v>
      </c>
      <c r="B7318" s="138" t="e">
        <f>#REF!</f>
        <v>#REF!</v>
      </c>
      <c r="D7318" s="2" t="e">
        <f t="shared" si="114"/>
        <v>#REF!</v>
      </c>
      <c r="E7318" s="2" t="s">
        <v>81</v>
      </c>
    </row>
    <row r="7319" spans="1:5" x14ac:dyDescent="0.2">
      <c r="A7319">
        <f t="shared" si="115"/>
        <v>7258</v>
      </c>
      <c r="B7319" s="138" t="e">
        <f>#REF!</f>
        <v>#REF!</v>
      </c>
      <c r="D7319" s="2" t="e">
        <f t="shared" si="114"/>
        <v>#REF!</v>
      </c>
      <c r="E7319" s="2" t="s">
        <v>81</v>
      </c>
    </row>
    <row r="7320" spans="1:5" x14ac:dyDescent="0.2">
      <c r="A7320">
        <f t="shared" si="115"/>
        <v>7259</v>
      </c>
      <c r="B7320" s="138" t="e">
        <f>#REF!</f>
        <v>#REF!</v>
      </c>
      <c r="D7320" s="2" t="e">
        <f t="shared" si="114"/>
        <v>#REF!</v>
      </c>
      <c r="E7320" s="2" t="s">
        <v>81</v>
      </c>
    </row>
    <row r="7321" spans="1:5" x14ac:dyDescent="0.2">
      <c r="A7321">
        <f t="shared" si="115"/>
        <v>7260</v>
      </c>
      <c r="B7321" s="138" t="e">
        <f>#REF!</f>
        <v>#REF!</v>
      </c>
      <c r="D7321" s="2" t="e">
        <f t="shared" si="114"/>
        <v>#REF!</v>
      </c>
      <c r="E7321" s="2" t="s">
        <v>81</v>
      </c>
    </row>
    <row r="7322" spans="1:5" x14ac:dyDescent="0.2">
      <c r="A7322">
        <f t="shared" si="115"/>
        <v>7261</v>
      </c>
      <c r="B7322" s="138" t="e">
        <f>#REF!</f>
        <v>#REF!</v>
      </c>
      <c r="D7322" s="2" t="e">
        <f t="shared" si="114"/>
        <v>#REF!</v>
      </c>
      <c r="E7322" s="2" t="s">
        <v>81</v>
      </c>
    </row>
    <row r="7323" spans="1:5" x14ac:dyDescent="0.2">
      <c r="A7323">
        <f t="shared" si="115"/>
        <v>7262</v>
      </c>
      <c r="B7323" s="138" t="e">
        <f>#REF!</f>
        <v>#REF!</v>
      </c>
      <c r="D7323" s="2" t="e">
        <f t="shared" si="114"/>
        <v>#REF!</v>
      </c>
      <c r="E7323" s="2" t="s">
        <v>81</v>
      </c>
    </row>
    <row r="7324" spans="1:5" x14ac:dyDescent="0.2">
      <c r="A7324">
        <f t="shared" si="115"/>
        <v>7263</v>
      </c>
      <c r="B7324" s="138" t="e">
        <f>#REF!</f>
        <v>#REF!</v>
      </c>
      <c r="D7324" s="2" t="e">
        <f t="shared" si="114"/>
        <v>#REF!</v>
      </c>
      <c r="E7324" s="2" t="s">
        <v>81</v>
      </c>
    </row>
    <row r="7325" spans="1:5" x14ac:dyDescent="0.2">
      <c r="A7325">
        <f t="shared" si="115"/>
        <v>7264</v>
      </c>
      <c r="B7325" s="138" t="e">
        <f>#REF!</f>
        <v>#REF!</v>
      </c>
      <c r="D7325" s="2" t="e">
        <f t="shared" si="114"/>
        <v>#REF!</v>
      </c>
      <c r="E7325" s="2" t="s">
        <v>81</v>
      </c>
    </row>
    <row r="7326" spans="1:5" x14ac:dyDescent="0.2">
      <c r="A7326">
        <f t="shared" si="115"/>
        <v>7265</v>
      </c>
      <c r="B7326" s="138" t="e">
        <f>#REF!</f>
        <v>#REF!</v>
      </c>
      <c r="D7326" s="2" t="e">
        <f t="shared" si="114"/>
        <v>#REF!</v>
      </c>
      <c r="E7326" s="2" t="s">
        <v>81</v>
      </c>
    </row>
    <row r="7327" spans="1:5" x14ac:dyDescent="0.2">
      <c r="A7327">
        <f t="shared" si="115"/>
        <v>7266</v>
      </c>
      <c r="B7327" s="138" t="e">
        <f>#REF!</f>
        <v>#REF!</v>
      </c>
      <c r="D7327" s="2" t="e">
        <f t="shared" si="114"/>
        <v>#REF!</v>
      </c>
      <c r="E7327" s="2" t="s">
        <v>81</v>
      </c>
    </row>
    <row r="7328" spans="1:5" x14ac:dyDescent="0.2">
      <c r="A7328">
        <f t="shared" si="115"/>
        <v>7267</v>
      </c>
      <c r="B7328" s="138" t="e">
        <f>#REF!</f>
        <v>#REF!</v>
      </c>
      <c r="D7328" s="2" t="e">
        <f t="shared" si="114"/>
        <v>#REF!</v>
      </c>
      <c r="E7328" s="2" t="s">
        <v>81</v>
      </c>
    </row>
    <row r="7329" spans="1:5" x14ac:dyDescent="0.2">
      <c r="A7329">
        <f t="shared" si="115"/>
        <v>7268</v>
      </c>
      <c r="B7329" s="138" t="e">
        <f>#REF!</f>
        <v>#REF!</v>
      </c>
      <c r="D7329" s="2" t="e">
        <f t="shared" si="114"/>
        <v>#REF!</v>
      </c>
      <c r="E7329" s="2" t="s">
        <v>81</v>
      </c>
    </row>
    <row r="7330" spans="1:5" x14ac:dyDescent="0.2">
      <c r="A7330">
        <f t="shared" si="115"/>
        <v>7269</v>
      </c>
      <c r="B7330" s="138" t="e">
        <f>#REF!</f>
        <v>#REF!</v>
      </c>
      <c r="D7330" s="2" t="e">
        <f t="shared" si="114"/>
        <v>#REF!</v>
      </c>
      <c r="E7330" s="2" t="s">
        <v>81</v>
      </c>
    </row>
    <row r="7331" spans="1:5" x14ac:dyDescent="0.2">
      <c r="A7331">
        <f t="shared" si="115"/>
        <v>7270</v>
      </c>
      <c r="B7331" s="138" t="e">
        <f>#REF!</f>
        <v>#REF!</v>
      </c>
      <c r="D7331" s="2" t="e">
        <f t="shared" si="114"/>
        <v>#REF!</v>
      </c>
      <c r="E7331" s="2" t="s">
        <v>81</v>
      </c>
    </row>
    <row r="7332" spans="1:5" x14ac:dyDescent="0.2">
      <c r="A7332">
        <f t="shared" si="115"/>
        <v>7271</v>
      </c>
      <c r="B7332" s="138" t="e">
        <f>#REF!</f>
        <v>#REF!</v>
      </c>
      <c r="D7332" s="2" t="e">
        <f t="shared" si="114"/>
        <v>#REF!</v>
      </c>
      <c r="E7332" s="2" t="s">
        <v>81</v>
      </c>
    </row>
    <row r="7333" spans="1:5" x14ac:dyDescent="0.2">
      <c r="A7333">
        <f t="shared" si="115"/>
        <v>7272</v>
      </c>
      <c r="B7333" s="138" t="e">
        <f>#REF!</f>
        <v>#REF!</v>
      </c>
      <c r="D7333" s="2" t="e">
        <f t="shared" si="114"/>
        <v>#REF!</v>
      </c>
      <c r="E7333" s="2" t="s">
        <v>81</v>
      </c>
    </row>
    <row r="7334" spans="1:5" x14ac:dyDescent="0.2">
      <c r="A7334">
        <f t="shared" si="115"/>
        <v>7273</v>
      </c>
      <c r="B7334" s="138" t="e">
        <f>#REF!</f>
        <v>#REF!</v>
      </c>
      <c r="D7334" s="2" t="e">
        <f t="shared" si="114"/>
        <v>#REF!</v>
      </c>
      <c r="E7334" s="2" t="s">
        <v>81</v>
      </c>
    </row>
    <row r="7335" spans="1:5" x14ac:dyDescent="0.2">
      <c r="A7335">
        <f t="shared" si="115"/>
        <v>7274</v>
      </c>
      <c r="B7335" s="138" t="e">
        <f>#REF!</f>
        <v>#REF!</v>
      </c>
      <c r="D7335" s="2" t="e">
        <f t="shared" si="114"/>
        <v>#REF!</v>
      </c>
      <c r="E7335" s="2" t="s">
        <v>81</v>
      </c>
    </row>
    <row r="7336" spans="1:5" x14ac:dyDescent="0.2">
      <c r="A7336">
        <f t="shared" si="115"/>
        <v>7275</v>
      </c>
      <c r="B7336" s="138" t="e">
        <f>#REF!</f>
        <v>#REF!</v>
      </c>
      <c r="D7336" s="2" t="e">
        <f t="shared" si="114"/>
        <v>#REF!</v>
      </c>
      <c r="E7336" s="2" t="s">
        <v>81</v>
      </c>
    </row>
    <row r="7337" spans="1:5" x14ac:dyDescent="0.2">
      <c r="A7337">
        <f t="shared" si="115"/>
        <v>7276</v>
      </c>
      <c r="B7337" s="138" t="e">
        <f>#REF!</f>
        <v>#REF!</v>
      </c>
      <c r="D7337" s="2" t="e">
        <f t="shared" si="114"/>
        <v>#REF!</v>
      </c>
      <c r="E7337" s="2" t="s">
        <v>81</v>
      </c>
    </row>
    <row r="7338" spans="1:5" x14ac:dyDescent="0.2">
      <c r="A7338">
        <f t="shared" si="115"/>
        <v>7277</v>
      </c>
      <c r="B7338" s="138" t="e">
        <f>#REF!</f>
        <v>#REF!</v>
      </c>
      <c r="D7338" s="2" t="e">
        <f t="shared" si="114"/>
        <v>#REF!</v>
      </c>
      <c r="E7338" s="2" t="s">
        <v>81</v>
      </c>
    </row>
    <row r="7339" spans="1:5" x14ac:dyDescent="0.2">
      <c r="A7339">
        <f t="shared" si="115"/>
        <v>7278</v>
      </c>
      <c r="B7339" s="138" t="e">
        <f>#REF!</f>
        <v>#REF!</v>
      </c>
      <c r="D7339" s="2" t="e">
        <f t="shared" si="114"/>
        <v>#REF!</v>
      </c>
      <c r="E7339" s="2" t="s">
        <v>81</v>
      </c>
    </row>
    <row r="7340" spans="1:5" x14ac:dyDescent="0.2">
      <c r="A7340">
        <f t="shared" si="115"/>
        <v>7279</v>
      </c>
      <c r="B7340" s="138" t="e">
        <f>#REF!</f>
        <v>#REF!</v>
      </c>
      <c r="D7340" s="2" t="e">
        <f t="shared" si="114"/>
        <v>#REF!</v>
      </c>
      <c r="E7340" s="2" t="s">
        <v>81</v>
      </c>
    </row>
    <row r="7341" spans="1:5" x14ac:dyDescent="0.2">
      <c r="A7341">
        <f t="shared" si="115"/>
        <v>7280</v>
      </c>
      <c r="B7341" s="138" t="e">
        <f>#REF!</f>
        <v>#REF!</v>
      </c>
      <c r="D7341" s="2" t="e">
        <f t="shared" si="114"/>
        <v>#REF!</v>
      </c>
      <c r="E7341" s="2" t="s">
        <v>81</v>
      </c>
    </row>
    <row r="7342" spans="1:5" x14ac:dyDescent="0.2">
      <c r="A7342">
        <f t="shared" si="115"/>
        <v>7281</v>
      </c>
      <c r="B7342" s="138" t="e">
        <f>#REF!</f>
        <v>#REF!</v>
      </c>
      <c r="D7342" s="2" t="e">
        <f t="shared" si="114"/>
        <v>#REF!</v>
      </c>
      <c r="E7342" s="2" t="s">
        <v>81</v>
      </c>
    </row>
    <row r="7343" spans="1:5" x14ac:dyDescent="0.2">
      <c r="A7343">
        <f t="shared" si="115"/>
        <v>7282</v>
      </c>
      <c r="B7343" s="138" t="e">
        <f>#REF!</f>
        <v>#REF!</v>
      </c>
      <c r="D7343" s="2" t="e">
        <f t="shared" si="114"/>
        <v>#REF!</v>
      </c>
      <c r="E7343" s="2" t="s">
        <v>81</v>
      </c>
    </row>
    <row r="7344" spans="1:5" x14ac:dyDescent="0.2">
      <c r="A7344">
        <f t="shared" si="115"/>
        <v>7283</v>
      </c>
      <c r="B7344" s="138" t="e">
        <f>#REF!</f>
        <v>#REF!</v>
      </c>
      <c r="D7344" s="2" t="e">
        <f t="shared" si="114"/>
        <v>#REF!</v>
      </c>
      <c r="E7344" s="2" t="s">
        <v>81</v>
      </c>
    </row>
    <row r="7345" spans="1:5" x14ac:dyDescent="0.2">
      <c r="A7345">
        <f t="shared" si="115"/>
        <v>7284</v>
      </c>
      <c r="B7345" s="138" t="e">
        <f>#REF!</f>
        <v>#REF!</v>
      </c>
      <c r="D7345" s="2" t="e">
        <f t="shared" si="114"/>
        <v>#REF!</v>
      </c>
      <c r="E7345" s="2" t="s">
        <v>81</v>
      </c>
    </row>
    <row r="7346" spans="1:5" x14ac:dyDescent="0.2">
      <c r="A7346">
        <f t="shared" si="115"/>
        <v>7285</v>
      </c>
      <c r="B7346" s="138" t="e">
        <f>#REF!</f>
        <v>#REF!</v>
      </c>
      <c r="D7346" s="2" t="e">
        <f t="shared" si="114"/>
        <v>#REF!</v>
      </c>
      <c r="E7346" s="2" t="s">
        <v>81</v>
      </c>
    </row>
    <row r="7347" spans="1:5" x14ac:dyDescent="0.2">
      <c r="A7347">
        <f t="shared" si="115"/>
        <v>7286</v>
      </c>
      <c r="B7347" s="138" t="e">
        <f>#REF!</f>
        <v>#REF!</v>
      </c>
      <c r="D7347" s="2" t="e">
        <f t="shared" si="114"/>
        <v>#REF!</v>
      </c>
      <c r="E7347" s="2" t="s">
        <v>81</v>
      </c>
    </row>
    <row r="7348" spans="1:5" x14ac:dyDescent="0.2">
      <c r="A7348">
        <f t="shared" si="115"/>
        <v>7287</v>
      </c>
      <c r="B7348" s="138" t="e">
        <f>#REF!</f>
        <v>#REF!</v>
      </c>
      <c r="D7348" s="2" t="e">
        <f t="shared" si="114"/>
        <v>#REF!</v>
      </c>
      <c r="E7348" s="2" t="s">
        <v>81</v>
      </c>
    </row>
    <row r="7349" spans="1:5" x14ac:dyDescent="0.2">
      <c r="A7349">
        <f t="shared" si="115"/>
        <v>7288</v>
      </c>
      <c r="B7349" s="138" t="e">
        <f>#REF!</f>
        <v>#REF!</v>
      </c>
      <c r="D7349" s="2" t="e">
        <f t="shared" si="114"/>
        <v>#REF!</v>
      </c>
      <c r="E7349" s="2" t="s">
        <v>81</v>
      </c>
    </row>
    <row r="7350" spans="1:5" x14ac:dyDescent="0.2">
      <c r="A7350">
        <f t="shared" si="115"/>
        <v>7289</v>
      </c>
      <c r="B7350" s="138" t="e">
        <f>#REF!</f>
        <v>#REF!</v>
      </c>
      <c r="D7350" s="2" t="e">
        <f t="shared" si="114"/>
        <v>#REF!</v>
      </c>
      <c r="E7350" s="2" t="s">
        <v>81</v>
      </c>
    </row>
    <row r="7351" spans="1:5" x14ac:dyDescent="0.2">
      <c r="A7351">
        <f t="shared" si="115"/>
        <v>7290</v>
      </c>
      <c r="B7351" s="138" t="e">
        <f>#REF!</f>
        <v>#REF!</v>
      </c>
      <c r="D7351" s="2" t="e">
        <f t="shared" si="114"/>
        <v>#REF!</v>
      </c>
      <c r="E7351" s="2" t="s">
        <v>81</v>
      </c>
    </row>
    <row r="7352" spans="1:5" x14ac:dyDescent="0.2">
      <c r="A7352">
        <f t="shared" si="115"/>
        <v>7291</v>
      </c>
      <c r="B7352" s="138" t="e">
        <f>#REF!</f>
        <v>#REF!</v>
      </c>
      <c r="D7352" s="2" t="e">
        <f t="shared" si="114"/>
        <v>#REF!</v>
      </c>
      <c r="E7352" s="2" t="s">
        <v>81</v>
      </c>
    </row>
    <row r="7353" spans="1:5" x14ac:dyDescent="0.2">
      <c r="A7353">
        <f t="shared" si="115"/>
        <v>7292</v>
      </c>
      <c r="B7353" s="138" t="e">
        <f>#REF!</f>
        <v>#REF!</v>
      </c>
      <c r="D7353" s="2" t="e">
        <f t="shared" si="114"/>
        <v>#REF!</v>
      </c>
      <c r="E7353" s="2" t="s">
        <v>81</v>
      </c>
    </row>
    <row r="7354" spans="1:5" x14ac:dyDescent="0.2">
      <c r="A7354">
        <f t="shared" si="115"/>
        <v>7293</v>
      </c>
      <c r="B7354" s="138" t="e">
        <f>#REF!</f>
        <v>#REF!</v>
      </c>
      <c r="D7354" s="2" t="e">
        <f t="shared" si="114"/>
        <v>#REF!</v>
      </c>
      <c r="E7354" s="2" t="s">
        <v>81</v>
      </c>
    </row>
    <row r="7355" spans="1:5" x14ac:dyDescent="0.2">
      <c r="A7355">
        <f t="shared" si="115"/>
        <v>7294</v>
      </c>
      <c r="B7355" s="138" t="e">
        <f>#REF!</f>
        <v>#REF!</v>
      </c>
      <c r="D7355" s="2" t="e">
        <f t="shared" si="114"/>
        <v>#REF!</v>
      </c>
      <c r="E7355" s="2" t="s">
        <v>81</v>
      </c>
    </row>
    <row r="7356" spans="1:5" x14ac:dyDescent="0.2">
      <c r="A7356">
        <f t="shared" si="115"/>
        <v>7295</v>
      </c>
      <c r="B7356" s="138" t="e">
        <f>#REF!</f>
        <v>#REF!</v>
      </c>
      <c r="D7356" s="2" t="e">
        <f t="shared" si="114"/>
        <v>#REF!</v>
      </c>
      <c r="E7356" s="2" t="s">
        <v>81</v>
      </c>
    </row>
    <row r="7357" spans="1:5" x14ac:dyDescent="0.2">
      <c r="A7357">
        <f t="shared" si="115"/>
        <v>7296</v>
      </c>
      <c r="B7357" s="138" t="e">
        <f>#REF!</f>
        <v>#REF!</v>
      </c>
      <c r="D7357" s="2" t="e">
        <f t="shared" si="114"/>
        <v>#REF!</v>
      </c>
      <c r="E7357" s="2" t="s">
        <v>81</v>
      </c>
    </row>
    <row r="7358" spans="1:5" x14ac:dyDescent="0.2">
      <c r="A7358">
        <f t="shared" si="115"/>
        <v>7297</v>
      </c>
      <c r="B7358" s="138" t="e">
        <f>#REF!</f>
        <v>#REF!</v>
      </c>
      <c r="D7358" s="2" t="e">
        <f t="shared" si="114"/>
        <v>#REF!</v>
      </c>
      <c r="E7358" s="2" t="s">
        <v>81</v>
      </c>
    </row>
    <row r="7359" spans="1:5" x14ac:dyDescent="0.2">
      <c r="A7359">
        <f t="shared" si="115"/>
        <v>7298</v>
      </c>
      <c r="B7359" s="138" t="e">
        <f>#REF!</f>
        <v>#REF!</v>
      </c>
      <c r="D7359" s="2" t="e">
        <f t="shared" ref="D7359:D7422" si="116">IF(ISBLANK(B7359),"OK",IF(A7359-B7359=0,"OK","Error?"))</f>
        <v>#REF!</v>
      </c>
      <c r="E7359" s="2" t="s">
        <v>81</v>
      </c>
    </row>
    <row r="7360" spans="1:5" x14ac:dyDescent="0.2">
      <c r="A7360">
        <f t="shared" si="115"/>
        <v>7299</v>
      </c>
      <c r="B7360" s="138" t="e">
        <f>#REF!</f>
        <v>#REF!</v>
      </c>
      <c r="D7360" s="2" t="e">
        <f t="shared" si="116"/>
        <v>#REF!</v>
      </c>
      <c r="E7360" s="2" t="s">
        <v>81</v>
      </c>
    </row>
    <row r="7361" spans="1:5" x14ac:dyDescent="0.2">
      <c r="A7361">
        <f t="shared" si="115"/>
        <v>7300</v>
      </c>
      <c r="B7361" s="138" t="e">
        <f>#REF!</f>
        <v>#REF!</v>
      </c>
      <c r="D7361" s="2" t="e">
        <f t="shared" si="116"/>
        <v>#REF!</v>
      </c>
      <c r="E7361" s="2" t="s">
        <v>81</v>
      </c>
    </row>
    <row r="7362" spans="1:5" x14ac:dyDescent="0.2">
      <c r="A7362">
        <f t="shared" si="115"/>
        <v>7301</v>
      </c>
      <c r="B7362" s="138" t="e">
        <f>#REF!</f>
        <v>#REF!</v>
      </c>
      <c r="D7362" s="2" t="e">
        <f t="shared" si="116"/>
        <v>#REF!</v>
      </c>
      <c r="E7362" s="2" t="s">
        <v>81</v>
      </c>
    </row>
    <row r="7363" spans="1:5" x14ac:dyDescent="0.2">
      <c r="A7363">
        <f t="shared" si="115"/>
        <v>7302</v>
      </c>
      <c r="B7363" s="138" t="e">
        <f>#REF!</f>
        <v>#REF!</v>
      </c>
      <c r="D7363" s="2" t="e">
        <f t="shared" si="116"/>
        <v>#REF!</v>
      </c>
      <c r="E7363" s="2" t="s">
        <v>81</v>
      </c>
    </row>
    <row r="7364" spans="1:5" x14ac:dyDescent="0.2">
      <c r="A7364">
        <f t="shared" si="115"/>
        <v>7303</v>
      </c>
      <c r="B7364" s="138" t="e">
        <f>#REF!</f>
        <v>#REF!</v>
      </c>
      <c r="D7364" s="2" t="e">
        <f t="shared" si="116"/>
        <v>#REF!</v>
      </c>
      <c r="E7364" s="2" t="s">
        <v>81</v>
      </c>
    </row>
    <row r="7365" spans="1:5" x14ac:dyDescent="0.2">
      <c r="A7365">
        <f t="shared" si="115"/>
        <v>7304</v>
      </c>
      <c r="B7365" s="138" t="e">
        <f>#REF!</f>
        <v>#REF!</v>
      </c>
      <c r="D7365" s="2" t="e">
        <f t="shared" si="116"/>
        <v>#REF!</v>
      </c>
      <c r="E7365" s="2" t="s">
        <v>81</v>
      </c>
    </row>
    <row r="7366" spans="1:5" x14ac:dyDescent="0.2">
      <c r="A7366">
        <f t="shared" si="115"/>
        <v>7305</v>
      </c>
      <c r="B7366" s="138" t="e">
        <f>#REF!</f>
        <v>#REF!</v>
      </c>
      <c r="D7366" s="2" t="e">
        <f t="shared" si="116"/>
        <v>#REF!</v>
      </c>
      <c r="E7366" s="2" t="s">
        <v>81</v>
      </c>
    </row>
    <row r="7367" spans="1:5" x14ac:dyDescent="0.2">
      <c r="A7367">
        <f t="shared" si="115"/>
        <v>7306</v>
      </c>
      <c r="B7367" s="138" t="e">
        <f>#REF!</f>
        <v>#REF!</v>
      </c>
      <c r="D7367" s="2" t="e">
        <f t="shared" si="116"/>
        <v>#REF!</v>
      </c>
      <c r="E7367" s="2" t="s">
        <v>81</v>
      </c>
    </row>
    <row r="7368" spans="1:5" x14ac:dyDescent="0.2">
      <c r="A7368">
        <f t="shared" si="115"/>
        <v>7307</v>
      </c>
      <c r="B7368" s="138" t="e">
        <f>#REF!</f>
        <v>#REF!</v>
      </c>
      <c r="D7368" s="2" t="e">
        <f t="shared" si="116"/>
        <v>#REF!</v>
      </c>
      <c r="E7368" s="2" t="s">
        <v>81</v>
      </c>
    </row>
    <row r="7369" spans="1:5" x14ac:dyDescent="0.2">
      <c r="A7369">
        <f t="shared" si="115"/>
        <v>7308</v>
      </c>
      <c r="B7369" s="138" t="e">
        <f>#REF!</f>
        <v>#REF!</v>
      </c>
      <c r="D7369" s="2" t="e">
        <f t="shared" si="116"/>
        <v>#REF!</v>
      </c>
      <c r="E7369" s="2" t="s">
        <v>81</v>
      </c>
    </row>
    <row r="7370" spans="1:5" x14ac:dyDescent="0.2">
      <c r="A7370">
        <f t="shared" si="115"/>
        <v>7309</v>
      </c>
      <c r="B7370" s="138" t="e">
        <f>#REF!</f>
        <v>#REF!</v>
      </c>
      <c r="D7370" s="2" t="e">
        <f t="shared" si="116"/>
        <v>#REF!</v>
      </c>
      <c r="E7370" s="2" t="s">
        <v>81</v>
      </c>
    </row>
    <row r="7371" spans="1:5" x14ac:dyDescent="0.2">
      <c r="A7371">
        <f t="shared" si="115"/>
        <v>7310</v>
      </c>
      <c r="B7371" s="138" t="e">
        <f>#REF!</f>
        <v>#REF!</v>
      </c>
      <c r="D7371" s="2" t="e">
        <f t="shared" si="116"/>
        <v>#REF!</v>
      </c>
      <c r="E7371" s="2" t="s">
        <v>81</v>
      </c>
    </row>
    <row r="7372" spans="1:5" x14ac:dyDescent="0.2">
      <c r="A7372">
        <f t="shared" si="115"/>
        <v>7311</v>
      </c>
      <c r="B7372" s="138" t="e">
        <f>#REF!</f>
        <v>#REF!</v>
      </c>
      <c r="D7372" s="2" t="e">
        <f t="shared" si="116"/>
        <v>#REF!</v>
      </c>
      <c r="E7372" s="2" t="s">
        <v>81</v>
      </c>
    </row>
    <row r="7373" spans="1:5" x14ac:dyDescent="0.2">
      <c r="A7373">
        <f t="shared" si="115"/>
        <v>7312</v>
      </c>
      <c r="B7373" s="138" t="e">
        <f>#REF!</f>
        <v>#REF!</v>
      </c>
      <c r="D7373" s="2" t="e">
        <f t="shared" si="116"/>
        <v>#REF!</v>
      </c>
      <c r="E7373" s="2" t="s">
        <v>81</v>
      </c>
    </row>
    <row r="7374" spans="1:5" x14ac:dyDescent="0.2">
      <c r="A7374">
        <f t="shared" ref="A7374:A7437" si="117">A7373+1</f>
        <v>7313</v>
      </c>
      <c r="B7374" s="138" t="e">
        <f>#REF!</f>
        <v>#REF!</v>
      </c>
      <c r="D7374" s="2" t="e">
        <f t="shared" si="116"/>
        <v>#REF!</v>
      </c>
      <c r="E7374" s="2" t="s">
        <v>81</v>
      </c>
    </row>
    <row r="7375" spans="1:5" x14ac:dyDescent="0.2">
      <c r="A7375">
        <f t="shared" si="117"/>
        <v>7314</v>
      </c>
      <c r="B7375" s="138" t="e">
        <f>#REF!</f>
        <v>#REF!</v>
      </c>
      <c r="D7375" s="2" t="e">
        <f t="shared" si="116"/>
        <v>#REF!</v>
      </c>
      <c r="E7375" s="2" t="s">
        <v>81</v>
      </c>
    </row>
    <row r="7376" spans="1:5" x14ac:dyDescent="0.2">
      <c r="A7376">
        <f t="shared" si="117"/>
        <v>7315</v>
      </c>
      <c r="B7376" s="138" t="e">
        <f>#REF!</f>
        <v>#REF!</v>
      </c>
      <c r="D7376" s="2" t="e">
        <f t="shared" si="116"/>
        <v>#REF!</v>
      </c>
      <c r="E7376" s="2" t="s">
        <v>81</v>
      </c>
    </row>
    <row r="7377" spans="1:5" x14ac:dyDescent="0.2">
      <c r="A7377">
        <f t="shared" si="117"/>
        <v>7316</v>
      </c>
      <c r="B7377" s="138" t="e">
        <f>#REF!</f>
        <v>#REF!</v>
      </c>
      <c r="D7377" s="2" t="e">
        <f t="shared" si="116"/>
        <v>#REF!</v>
      </c>
      <c r="E7377" s="2" t="s">
        <v>81</v>
      </c>
    </row>
    <row r="7378" spans="1:5" x14ac:dyDescent="0.2">
      <c r="A7378">
        <f t="shared" si="117"/>
        <v>7317</v>
      </c>
      <c r="B7378" s="138" t="e">
        <f>#REF!</f>
        <v>#REF!</v>
      </c>
      <c r="D7378" s="2" t="e">
        <f t="shared" si="116"/>
        <v>#REF!</v>
      </c>
      <c r="E7378" s="2" t="s">
        <v>81</v>
      </c>
    </row>
    <row r="7379" spans="1:5" x14ac:dyDescent="0.2">
      <c r="A7379">
        <f t="shared" si="117"/>
        <v>7318</v>
      </c>
      <c r="B7379" s="138" t="e">
        <f>#REF!</f>
        <v>#REF!</v>
      </c>
      <c r="D7379" s="2" t="e">
        <f t="shared" si="116"/>
        <v>#REF!</v>
      </c>
      <c r="E7379" s="2" t="s">
        <v>81</v>
      </c>
    </row>
    <row r="7380" spans="1:5" x14ac:dyDescent="0.2">
      <c r="A7380">
        <f t="shared" si="117"/>
        <v>7319</v>
      </c>
      <c r="B7380" s="138" t="e">
        <f>#REF!</f>
        <v>#REF!</v>
      </c>
      <c r="D7380" s="2" t="e">
        <f t="shared" si="116"/>
        <v>#REF!</v>
      </c>
      <c r="E7380" s="2" t="s">
        <v>81</v>
      </c>
    </row>
    <row r="7381" spans="1:5" x14ac:dyDescent="0.2">
      <c r="A7381">
        <f t="shared" si="117"/>
        <v>7320</v>
      </c>
      <c r="B7381" s="138" t="e">
        <f>#REF!</f>
        <v>#REF!</v>
      </c>
      <c r="D7381" s="2" t="e">
        <f t="shared" si="116"/>
        <v>#REF!</v>
      </c>
      <c r="E7381" s="2" t="s">
        <v>81</v>
      </c>
    </row>
    <row r="7382" spans="1:5" x14ac:dyDescent="0.2">
      <c r="A7382">
        <f t="shared" si="117"/>
        <v>7321</v>
      </c>
      <c r="B7382" s="138" t="e">
        <f>#REF!</f>
        <v>#REF!</v>
      </c>
      <c r="D7382" s="2" t="e">
        <f t="shared" si="116"/>
        <v>#REF!</v>
      </c>
      <c r="E7382" s="2" t="s">
        <v>81</v>
      </c>
    </row>
    <row r="7383" spans="1:5" x14ac:dyDescent="0.2">
      <c r="A7383">
        <f t="shared" si="117"/>
        <v>7322</v>
      </c>
      <c r="B7383" s="138" t="e">
        <f>#REF!</f>
        <v>#REF!</v>
      </c>
      <c r="D7383" s="2" t="e">
        <f t="shared" si="116"/>
        <v>#REF!</v>
      </c>
      <c r="E7383" s="2" t="s">
        <v>81</v>
      </c>
    </row>
    <row r="7384" spans="1:5" x14ac:dyDescent="0.2">
      <c r="A7384">
        <f t="shared" si="117"/>
        <v>7323</v>
      </c>
      <c r="B7384" s="138" t="e">
        <f>#REF!</f>
        <v>#REF!</v>
      </c>
      <c r="D7384" s="2" t="e">
        <f t="shared" si="116"/>
        <v>#REF!</v>
      </c>
      <c r="E7384" s="2" t="s">
        <v>81</v>
      </c>
    </row>
    <row r="7385" spans="1:5" x14ac:dyDescent="0.2">
      <c r="A7385">
        <f t="shared" si="117"/>
        <v>7324</v>
      </c>
      <c r="B7385" s="138" t="e">
        <f>#REF!</f>
        <v>#REF!</v>
      </c>
      <c r="D7385" s="2" t="e">
        <f t="shared" si="116"/>
        <v>#REF!</v>
      </c>
      <c r="E7385" s="2" t="s">
        <v>81</v>
      </c>
    </row>
    <row r="7386" spans="1:5" x14ac:dyDescent="0.2">
      <c r="A7386">
        <f t="shared" si="117"/>
        <v>7325</v>
      </c>
      <c r="B7386" s="138" t="e">
        <f>#REF!</f>
        <v>#REF!</v>
      </c>
      <c r="D7386" s="2" t="e">
        <f t="shared" si="116"/>
        <v>#REF!</v>
      </c>
      <c r="E7386" s="2" t="s">
        <v>81</v>
      </c>
    </row>
    <row r="7387" spans="1:5" x14ac:dyDescent="0.2">
      <c r="A7387">
        <f t="shared" si="117"/>
        <v>7326</v>
      </c>
      <c r="B7387" s="138" t="e">
        <f>#REF!</f>
        <v>#REF!</v>
      </c>
      <c r="D7387" s="2" t="e">
        <f t="shared" si="116"/>
        <v>#REF!</v>
      </c>
      <c r="E7387" s="2" t="s">
        <v>81</v>
      </c>
    </row>
    <row r="7388" spans="1:5" x14ac:dyDescent="0.2">
      <c r="A7388">
        <f t="shared" si="117"/>
        <v>7327</v>
      </c>
      <c r="B7388" s="138" t="e">
        <f>#REF!</f>
        <v>#REF!</v>
      </c>
      <c r="D7388" s="2" t="e">
        <f t="shared" si="116"/>
        <v>#REF!</v>
      </c>
      <c r="E7388" s="2" t="s">
        <v>81</v>
      </c>
    </row>
    <row r="7389" spans="1:5" x14ac:dyDescent="0.2">
      <c r="A7389">
        <f t="shared" si="117"/>
        <v>7328</v>
      </c>
      <c r="B7389" s="138" t="e">
        <f>#REF!</f>
        <v>#REF!</v>
      </c>
      <c r="D7389" s="2" t="e">
        <f t="shared" si="116"/>
        <v>#REF!</v>
      </c>
      <c r="E7389" s="2" t="s">
        <v>81</v>
      </c>
    </row>
    <row r="7390" spans="1:5" x14ac:dyDescent="0.2">
      <c r="A7390">
        <f t="shared" si="117"/>
        <v>7329</v>
      </c>
      <c r="B7390" s="138" t="e">
        <f>#REF!</f>
        <v>#REF!</v>
      </c>
      <c r="D7390" s="2" t="e">
        <f t="shared" si="116"/>
        <v>#REF!</v>
      </c>
      <c r="E7390" s="2" t="s">
        <v>81</v>
      </c>
    </row>
    <row r="7391" spans="1:5" x14ac:dyDescent="0.2">
      <c r="A7391">
        <f t="shared" si="117"/>
        <v>7330</v>
      </c>
      <c r="B7391" s="138" t="e">
        <f>#REF!</f>
        <v>#REF!</v>
      </c>
      <c r="D7391" s="2" t="e">
        <f t="shared" si="116"/>
        <v>#REF!</v>
      </c>
      <c r="E7391" s="2" t="s">
        <v>81</v>
      </c>
    </row>
    <row r="7392" spans="1:5" x14ac:dyDescent="0.2">
      <c r="A7392">
        <f t="shared" si="117"/>
        <v>7331</v>
      </c>
      <c r="B7392" s="138" t="e">
        <f>#REF!</f>
        <v>#REF!</v>
      </c>
      <c r="D7392" s="2" t="e">
        <f t="shared" si="116"/>
        <v>#REF!</v>
      </c>
      <c r="E7392" s="2" t="s">
        <v>81</v>
      </c>
    </row>
    <row r="7393" spans="1:5" x14ac:dyDescent="0.2">
      <c r="A7393">
        <f t="shared" si="117"/>
        <v>7332</v>
      </c>
      <c r="B7393" s="138" t="e">
        <f>#REF!</f>
        <v>#REF!</v>
      </c>
      <c r="D7393" s="2" t="e">
        <f t="shared" si="116"/>
        <v>#REF!</v>
      </c>
      <c r="E7393" s="2" t="s">
        <v>81</v>
      </c>
    </row>
    <row r="7394" spans="1:5" x14ac:dyDescent="0.2">
      <c r="A7394">
        <f t="shared" si="117"/>
        <v>7333</v>
      </c>
      <c r="B7394" s="138" t="e">
        <f>#REF!</f>
        <v>#REF!</v>
      </c>
      <c r="D7394" s="2" t="e">
        <f t="shared" si="116"/>
        <v>#REF!</v>
      </c>
      <c r="E7394" s="2" t="s">
        <v>81</v>
      </c>
    </row>
    <row r="7395" spans="1:5" x14ac:dyDescent="0.2">
      <c r="A7395">
        <f t="shared" si="117"/>
        <v>7334</v>
      </c>
      <c r="B7395" s="138" t="e">
        <f>#REF!</f>
        <v>#REF!</v>
      </c>
      <c r="D7395" s="2" t="e">
        <f t="shared" si="116"/>
        <v>#REF!</v>
      </c>
      <c r="E7395" s="2" t="s">
        <v>81</v>
      </c>
    </row>
    <row r="7396" spans="1:5" x14ac:dyDescent="0.2">
      <c r="A7396">
        <f t="shared" si="117"/>
        <v>7335</v>
      </c>
      <c r="B7396" s="138" t="e">
        <f>#REF!</f>
        <v>#REF!</v>
      </c>
      <c r="D7396" s="2" t="e">
        <f t="shared" si="116"/>
        <v>#REF!</v>
      </c>
      <c r="E7396" s="2" t="s">
        <v>81</v>
      </c>
    </row>
    <row r="7397" spans="1:5" x14ac:dyDescent="0.2">
      <c r="A7397">
        <f t="shared" si="117"/>
        <v>7336</v>
      </c>
      <c r="B7397" s="138" t="e">
        <f>#REF!</f>
        <v>#REF!</v>
      </c>
      <c r="D7397" s="2" t="e">
        <f t="shared" si="116"/>
        <v>#REF!</v>
      </c>
      <c r="E7397" s="2" t="s">
        <v>81</v>
      </c>
    </row>
    <row r="7398" spans="1:5" x14ac:dyDescent="0.2">
      <c r="A7398">
        <f t="shared" si="117"/>
        <v>7337</v>
      </c>
      <c r="B7398" s="138" t="e">
        <f>#REF!</f>
        <v>#REF!</v>
      </c>
      <c r="D7398" s="2" t="e">
        <f t="shared" si="116"/>
        <v>#REF!</v>
      </c>
      <c r="E7398" s="2" t="s">
        <v>81</v>
      </c>
    </row>
    <row r="7399" spans="1:5" x14ac:dyDescent="0.2">
      <c r="A7399">
        <f t="shared" si="117"/>
        <v>7338</v>
      </c>
      <c r="B7399" s="138" t="e">
        <f>#REF!</f>
        <v>#REF!</v>
      </c>
      <c r="D7399" s="2" t="e">
        <f t="shared" si="116"/>
        <v>#REF!</v>
      </c>
      <c r="E7399" s="2" t="s">
        <v>81</v>
      </c>
    </row>
    <row r="7400" spans="1:5" x14ac:dyDescent="0.2">
      <c r="A7400">
        <f t="shared" si="117"/>
        <v>7339</v>
      </c>
      <c r="B7400" s="138" t="e">
        <f>#REF!</f>
        <v>#REF!</v>
      </c>
      <c r="D7400" s="2" t="e">
        <f t="shared" si="116"/>
        <v>#REF!</v>
      </c>
      <c r="E7400" s="2" t="s">
        <v>81</v>
      </c>
    </row>
    <row r="7401" spans="1:5" x14ac:dyDescent="0.2">
      <c r="A7401">
        <f t="shared" si="117"/>
        <v>7340</v>
      </c>
      <c r="B7401" s="138" t="e">
        <f>#REF!</f>
        <v>#REF!</v>
      </c>
      <c r="D7401" s="2" t="e">
        <f t="shared" si="116"/>
        <v>#REF!</v>
      </c>
      <c r="E7401" s="2" t="s">
        <v>81</v>
      </c>
    </row>
    <row r="7402" spans="1:5" x14ac:dyDescent="0.2">
      <c r="A7402">
        <f t="shared" si="117"/>
        <v>7341</v>
      </c>
      <c r="B7402" s="138" t="e">
        <f>#REF!</f>
        <v>#REF!</v>
      </c>
      <c r="D7402" s="2" t="e">
        <f t="shared" si="116"/>
        <v>#REF!</v>
      </c>
      <c r="E7402" s="2" t="s">
        <v>81</v>
      </c>
    </row>
    <row r="7403" spans="1:5" x14ac:dyDescent="0.2">
      <c r="A7403">
        <f t="shared" si="117"/>
        <v>7342</v>
      </c>
      <c r="B7403" s="138" t="e">
        <f>#REF!</f>
        <v>#REF!</v>
      </c>
      <c r="D7403" s="2" t="e">
        <f t="shared" si="116"/>
        <v>#REF!</v>
      </c>
      <c r="E7403" s="2" t="s">
        <v>81</v>
      </c>
    </row>
    <row r="7404" spans="1:5" x14ac:dyDescent="0.2">
      <c r="A7404">
        <f t="shared" si="117"/>
        <v>7343</v>
      </c>
      <c r="B7404" s="138" t="e">
        <f>#REF!</f>
        <v>#REF!</v>
      </c>
      <c r="D7404" s="2" t="e">
        <f t="shared" si="116"/>
        <v>#REF!</v>
      </c>
      <c r="E7404" s="2" t="s">
        <v>81</v>
      </c>
    </row>
    <row r="7405" spans="1:5" x14ac:dyDescent="0.2">
      <c r="A7405">
        <f t="shared" si="117"/>
        <v>7344</v>
      </c>
      <c r="B7405" s="138" t="e">
        <f>#REF!</f>
        <v>#REF!</v>
      </c>
      <c r="D7405" s="2" t="e">
        <f t="shared" si="116"/>
        <v>#REF!</v>
      </c>
      <c r="E7405" s="2" t="s">
        <v>81</v>
      </c>
    </row>
    <row r="7406" spans="1:5" x14ac:dyDescent="0.2">
      <c r="A7406">
        <f t="shared" si="117"/>
        <v>7345</v>
      </c>
      <c r="B7406" s="138" t="e">
        <f>#REF!</f>
        <v>#REF!</v>
      </c>
      <c r="D7406" s="2" t="e">
        <f t="shared" si="116"/>
        <v>#REF!</v>
      </c>
      <c r="E7406" s="2" t="s">
        <v>81</v>
      </c>
    </row>
    <row r="7407" spans="1:5" x14ac:dyDescent="0.2">
      <c r="A7407">
        <f t="shared" si="117"/>
        <v>7346</v>
      </c>
      <c r="B7407" s="138" t="e">
        <f>#REF!</f>
        <v>#REF!</v>
      </c>
      <c r="D7407" s="2" t="e">
        <f t="shared" si="116"/>
        <v>#REF!</v>
      </c>
      <c r="E7407" s="2" t="s">
        <v>81</v>
      </c>
    </row>
    <row r="7408" spans="1:5" x14ac:dyDescent="0.2">
      <c r="A7408">
        <f t="shared" si="117"/>
        <v>7347</v>
      </c>
      <c r="B7408" s="138" t="e">
        <f>#REF!</f>
        <v>#REF!</v>
      </c>
      <c r="D7408" s="2" t="e">
        <f t="shared" si="116"/>
        <v>#REF!</v>
      </c>
      <c r="E7408" s="2" t="s">
        <v>81</v>
      </c>
    </row>
    <row r="7409" spans="1:5" x14ac:dyDescent="0.2">
      <c r="A7409">
        <f t="shared" si="117"/>
        <v>7348</v>
      </c>
      <c r="B7409" s="138" t="e">
        <f>#REF!</f>
        <v>#REF!</v>
      </c>
      <c r="D7409" s="2" t="e">
        <f t="shared" si="116"/>
        <v>#REF!</v>
      </c>
      <c r="E7409" s="2" t="s">
        <v>81</v>
      </c>
    </row>
    <row r="7410" spans="1:5" x14ac:dyDescent="0.2">
      <c r="A7410">
        <f t="shared" si="117"/>
        <v>7349</v>
      </c>
      <c r="B7410" s="138" t="e">
        <f>#REF!</f>
        <v>#REF!</v>
      </c>
      <c r="D7410" s="2" t="e">
        <f t="shared" si="116"/>
        <v>#REF!</v>
      </c>
      <c r="E7410" s="2" t="s">
        <v>81</v>
      </c>
    </row>
    <row r="7411" spans="1:5" x14ac:dyDescent="0.2">
      <c r="A7411">
        <f t="shared" si="117"/>
        <v>7350</v>
      </c>
      <c r="B7411" s="138" t="e">
        <f>#REF!</f>
        <v>#REF!</v>
      </c>
      <c r="D7411" s="2" t="e">
        <f t="shared" si="116"/>
        <v>#REF!</v>
      </c>
      <c r="E7411" s="2" t="s">
        <v>81</v>
      </c>
    </row>
    <row r="7412" spans="1:5" x14ac:dyDescent="0.2">
      <c r="A7412">
        <f t="shared" si="117"/>
        <v>7351</v>
      </c>
      <c r="B7412" s="138" t="e">
        <f>#REF!</f>
        <v>#REF!</v>
      </c>
      <c r="D7412" s="2" t="e">
        <f t="shared" si="116"/>
        <v>#REF!</v>
      </c>
      <c r="E7412" s="2" t="s">
        <v>81</v>
      </c>
    </row>
    <row r="7413" spans="1:5" x14ac:dyDescent="0.2">
      <c r="A7413">
        <f t="shared" si="117"/>
        <v>7352</v>
      </c>
      <c r="B7413" s="138" t="e">
        <f>#REF!</f>
        <v>#REF!</v>
      </c>
      <c r="D7413" s="2" t="e">
        <f t="shared" si="116"/>
        <v>#REF!</v>
      </c>
      <c r="E7413" s="2" t="s">
        <v>81</v>
      </c>
    </row>
    <row r="7414" spans="1:5" x14ac:dyDescent="0.2">
      <c r="A7414">
        <f t="shared" si="117"/>
        <v>7353</v>
      </c>
      <c r="B7414" s="138" t="e">
        <f>#REF!</f>
        <v>#REF!</v>
      </c>
      <c r="D7414" s="2" t="e">
        <f t="shared" si="116"/>
        <v>#REF!</v>
      </c>
      <c r="E7414" s="2" t="s">
        <v>81</v>
      </c>
    </row>
    <row r="7415" spans="1:5" x14ac:dyDescent="0.2">
      <c r="A7415">
        <f t="shared" si="117"/>
        <v>7354</v>
      </c>
      <c r="B7415" s="138" t="e">
        <f>#REF!</f>
        <v>#REF!</v>
      </c>
      <c r="D7415" s="2" t="e">
        <f t="shared" si="116"/>
        <v>#REF!</v>
      </c>
      <c r="E7415" s="2" t="s">
        <v>81</v>
      </c>
    </row>
    <row r="7416" spans="1:5" x14ac:dyDescent="0.2">
      <c r="A7416">
        <f t="shared" si="117"/>
        <v>7355</v>
      </c>
      <c r="B7416" s="138" t="e">
        <f>#REF!</f>
        <v>#REF!</v>
      </c>
      <c r="D7416" s="2" t="e">
        <f t="shared" si="116"/>
        <v>#REF!</v>
      </c>
      <c r="E7416" s="2" t="s">
        <v>81</v>
      </c>
    </row>
    <row r="7417" spans="1:5" x14ac:dyDescent="0.2">
      <c r="A7417">
        <f t="shared" si="117"/>
        <v>7356</v>
      </c>
      <c r="B7417" s="138" t="e">
        <f>#REF!</f>
        <v>#REF!</v>
      </c>
      <c r="D7417" s="2" t="e">
        <f t="shared" si="116"/>
        <v>#REF!</v>
      </c>
      <c r="E7417" s="2" t="s">
        <v>81</v>
      </c>
    </row>
    <row r="7418" spans="1:5" x14ac:dyDescent="0.2">
      <c r="A7418">
        <f t="shared" si="117"/>
        <v>7357</v>
      </c>
      <c r="B7418" s="138" t="e">
        <f>#REF!</f>
        <v>#REF!</v>
      </c>
      <c r="D7418" s="2" t="e">
        <f t="shared" si="116"/>
        <v>#REF!</v>
      </c>
      <c r="E7418" s="2" t="s">
        <v>81</v>
      </c>
    </row>
    <row r="7419" spans="1:5" x14ac:dyDescent="0.2">
      <c r="A7419">
        <f t="shared" si="117"/>
        <v>7358</v>
      </c>
      <c r="B7419" s="138" t="e">
        <f>#REF!</f>
        <v>#REF!</v>
      </c>
      <c r="D7419" s="2" t="e">
        <f t="shared" si="116"/>
        <v>#REF!</v>
      </c>
      <c r="E7419" s="2" t="s">
        <v>81</v>
      </c>
    </row>
    <row r="7420" spans="1:5" x14ac:dyDescent="0.2">
      <c r="A7420">
        <f t="shared" si="117"/>
        <v>7359</v>
      </c>
      <c r="B7420" s="138" t="e">
        <f>#REF!</f>
        <v>#REF!</v>
      </c>
      <c r="D7420" s="2" t="e">
        <f t="shared" si="116"/>
        <v>#REF!</v>
      </c>
      <c r="E7420" s="2" t="s">
        <v>81</v>
      </c>
    </row>
    <row r="7421" spans="1:5" x14ac:dyDescent="0.2">
      <c r="A7421">
        <f t="shared" si="117"/>
        <v>7360</v>
      </c>
      <c r="B7421" s="138" t="e">
        <f>#REF!</f>
        <v>#REF!</v>
      </c>
      <c r="D7421" s="2" t="e">
        <f t="shared" si="116"/>
        <v>#REF!</v>
      </c>
      <c r="E7421" s="2" t="s">
        <v>81</v>
      </c>
    </row>
    <row r="7422" spans="1:5" x14ac:dyDescent="0.2">
      <c r="A7422">
        <f t="shared" si="117"/>
        <v>7361</v>
      </c>
      <c r="B7422" s="138" t="e">
        <f>#REF!</f>
        <v>#REF!</v>
      </c>
      <c r="D7422" s="2" t="e">
        <f t="shared" si="116"/>
        <v>#REF!</v>
      </c>
      <c r="E7422" s="2" t="s">
        <v>81</v>
      </c>
    </row>
    <row r="7423" spans="1:5" x14ac:dyDescent="0.2">
      <c r="A7423">
        <f t="shared" si="117"/>
        <v>7362</v>
      </c>
      <c r="B7423" s="138" t="e">
        <f>#REF!</f>
        <v>#REF!</v>
      </c>
      <c r="D7423" s="2" t="e">
        <f t="shared" ref="D7423:D7486" si="118">IF(ISBLANK(B7423),"OK",IF(A7423-B7423=0,"OK","Error?"))</f>
        <v>#REF!</v>
      </c>
      <c r="E7423" s="2" t="s">
        <v>81</v>
      </c>
    </row>
    <row r="7424" spans="1:5" x14ac:dyDescent="0.2">
      <c r="A7424">
        <f t="shared" si="117"/>
        <v>7363</v>
      </c>
      <c r="B7424" s="138" t="e">
        <f>#REF!</f>
        <v>#REF!</v>
      </c>
      <c r="D7424" s="2" t="e">
        <f t="shared" si="118"/>
        <v>#REF!</v>
      </c>
      <c r="E7424" s="2" t="s">
        <v>81</v>
      </c>
    </row>
    <row r="7425" spans="1:5" x14ac:dyDescent="0.2">
      <c r="A7425">
        <f t="shared" si="117"/>
        <v>7364</v>
      </c>
      <c r="B7425" s="138" t="e">
        <f>#REF!</f>
        <v>#REF!</v>
      </c>
      <c r="D7425" s="2" t="e">
        <f t="shared" si="118"/>
        <v>#REF!</v>
      </c>
      <c r="E7425" s="2" t="s">
        <v>81</v>
      </c>
    </row>
    <row r="7426" spans="1:5" x14ac:dyDescent="0.2">
      <c r="A7426">
        <f t="shared" si="117"/>
        <v>7365</v>
      </c>
      <c r="B7426" s="138" t="e">
        <f>#REF!</f>
        <v>#REF!</v>
      </c>
      <c r="D7426" s="2" t="e">
        <f t="shared" si="118"/>
        <v>#REF!</v>
      </c>
      <c r="E7426" s="2" t="s">
        <v>81</v>
      </c>
    </row>
    <row r="7427" spans="1:5" x14ac:dyDescent="0.2">
      <c r="A7427">
        <f t="shared" si="117"/>
        <v>7366</v>
      </c>
      <c r="B7427" s="138" t="e">
        <f>#REF!</f>
        <v>#REF!</v>
      </c>
      <c r="D7427" s="2" t="e">
        <f t="shared" si="118"/>
        <v>#REF!</v>
      </c>
      <c r="E7427" s="2" t="s">
        <v>81</v>
      </c>
    </row>
    <row r="7428" spans="1:5" x14ac:dyDescent="0.2">
      <c r="A7428">
        <f t="shared" si="117"/>
        <v>7367</v>
      </c>
      <c r="B7428" s="138" t="e">
        <f>#REF!</f>
        <v>#REF!</v>
      </c>
      <c r="D7428" s="2" t="e">
        <f t="shared" si="118"/>
        <v>#REF!</v>
      </c>
      <c r="E7428" s="2" t="s">
        <v>81</v>
      </c>
    </row>
    <row r="7429" spans="1:5" x14ac:dyDescent="0.2">
      <c r="A7429">
        <f t="shared" si="117"/>
        <v>7368</v>
      </c>
      <c r="B7429" s="138" t="e">
        <f>#REF!</f>
        <v>#REF!</v>
      </c>
      <c r="D7429" s="2" t="e">
        <f t="shared" si="118"/>
        <v>#REF!</v>
      </c>
      <c r="E7429" s="2" t="s">
        <v>81</v>
      </c>
    </row>
    <row r="7430" spans="1:5" x14ac:dyDescent="0.2">
      <c r="A7430">
        <f t="shared" si="117"/>
        <v>7369</v>
      </c>
      <c r="B7430" s="138" t="e">
        <f>#REF!</f>
        <v>#REF!</v>
      </c>
      <c r="D7430" s="2" t="e">
        <f t="shared" si="118"/>
        <v>#REF!</v>
      </c>
      <c r="E7430" s="2" t="s">
        <v>81</v>
      </c>
    </row>
    <row r="7431" spans="1:5" x14ac:dyDescent="0.2">
      <c r="A7431">
        <f t="shared" si="117"/>
        <v>7370</v>
      </c>
      <c r="B7431" s="138" t="e">
        <f>#REF!</f>
        <v>#REF!</v>
      </c>
      <c r="D7431" s="2" t="e">
        <f t="shared" si="118"/>
        <v>#REF!</v>
      </c>
      <c r="E7431" s="2" t="s">
        <v>81</v>
      </c>
    </row>
    <row r="7432" spans="1:5" x14ac:dyDescent="0.2">
      <c r="A7432">
        <f t="shared" si="117"/>
        <v>7371</v>
      </c>
      <c r="B7432" s="138" t="e">
        <f>#REF!</f>
        <v>#REF!</v>
      </c>
      <c r="D7432" s="2" t="e">
        <f t="shared" si="118"/>
        <v>#REF!</v>
      </c>
      <c r="E7432" s="2" t="s">
        <v>81</v>
      </c>
    </row>
    <row r="7433" spans="1:5" x14ac:dyDescent="0.2">
      <c r="A7433">
        <f t="shared" si="117"/>
        <v>7372</v>
      </c>
      <c r="B7433" s="138" t="e">
        <f>#REF!</f>
        <v>#REF!</v>
      </c>
      <c r="D7433" s="2" t="e">
        <f t="shared" si="118"/>
        <v>#REF!</v>
      </c>
      <c r="E7433" s="2" t="s">
        <v>81</v>
      </c>
    </row>
    <row r="7434" spans="1:5" x14ac:dyDescent="0.2">
      <c r="A7434">
        <f t="shared" si="117"/>
        <v>7373</v>
      </c>
      <c r="B7434" s="138" t="e">
        <f>#REF!</f>
        <v>#REF!</v>
      </c>
      <c r="D7434" s="2" t="e">
        <f t="shared" si="118"/>
        <v>#REF!</v>
      </c>
      <c r="E7434" s="2" t="s">
        <v>81</v>
      </c>
    </row>
    <row r="7435" spans="1:5" x14ac:dyDescent="0.2">
      <c r="A7435">
        <f t="shared" si="117"/>
        <v>7374</v>
      </c>
      <c r="B7435" s="138" t="e">
        <f>#REF!</f>
        <v>#REF!</v>
      </c>
      <c r="D7435" s="2" t="e">
        <f t="shared" si="118"/>
        <v>#REF!</v>
      </c>
      <c r="E7435" s="2" t="s">
        <v>81</v>
      </c>
    </row>
    <row r="7436" spans="1:5" x14ac:dyDescent="0.2">
      <c r="A7436">
        <f t="shared" si="117"/>
        <v>7375</v>
      </c>
      <c r="B7436" s="138" t="e">
        <f>#REF!</f>
        <v>#REF!</v>
      </c>
      <c r="D7436" s="2" t="e">
        <f t="shared" si="118"/>
        <v>#REF!</v>
      </c>
      <c r="E7436" s="2" t="s">
        <v>81</v>
      </c>
    </row>
    <row r="7437" spans="1:5" x14ac:dyDescent="0.2">
      <c r="A7437">
        <f t="shared" si="117"/>
        <v>7376</v>
      </c>
      <c r="B7437" s="138" t="e">
        <f>#REF!</f>
        <v>#REF!</v>
      </c>
      <c r="D7437" s="2" t="e">
        <f t="shared" si="118"/>
        <v>#REF!</v>
      </c>
      <c r="E7437" s="2" t="s">
        <v>81</v>
      </c>
    </row>
    <row r="7438" spans="1:5" x14ac:dyDescent="0.2">
      <c r="A7438">
        <f t="shared" ref="A7438:A7501" si="119">A7437+1</f>
        <v>7377</v>
      </c>
      <c r="B7438" s="138" t="e">
        <f>#REF!</f>
        <v>#REF!</v>
      </c>
      <c r="D7438" s="2" t="e">
        <f t="shared" si="118"/>
        <v>#REF!</v>
      </c>
      <c r="E7438" s="2" t="s">
        <v>81</v>
      </c>
    </row>
    <row r="7439" spans="1:5" x14ac:dyDescent="0.2">
      <c r="A7439">
        <f t="shared" si="119"/>
        <v>7378</v>
      </c>
      <c r="B7439" s="138" t="e">
        <f>#REF!</f>
        <v>#REF!</v>
      </c>
      <c r="D7439" s="2" t="e">
        <f t="shared" si="118"/>
        <v>#REF!</v>
      </c>
      <c r="E7439" s="2" t="s">
        <v>81</v>
      </c>
    </row>
    <row r="7440" spans="1:5" x14ac:dyDescent="0.2">
      <c r="A7440">
        <f t="shared" si="119"/>
        <v>7379</v>
      </c>
      <c r="B7440" s="138" t="e">
        <f>#REF!</f>
        <v>#REF!</v>
      </c>
      <c r="D7440" s="2" t="e">
        <f t="shared" si="118"/>
        <v>#REF!</v>
      </c>
      <c r="E7440" s="2" t="s">
        <v>81</v>
      </c>
    </row>
    <row r="7441" spans="1:5" x14ac:dyDescent="0.2">
      <c r="A7441">
        <f t="shared" si="119"/>
        <v>7380</v>
      </c>
      <c r="B7441" s="138" t="e">
        <f>#REF!</f>
        <v>#REF!</v>
      </c>
      <c r="D7441" s="2" t="e">
        <f t="shared" si="118"/>
        <v>#REF!</v>
      </c>
      <c r="E7441" s="2" t="s">
        <v>81</v>
      </c>
    </row>
    <row r="7442" spans="1:5" x14ac:dyDescent="0.2">
      <c r="A7442">
        <f t="shared" si="119"/>
        <v>7381</v>
      </c>
      <c r="B7442" s="138" t="e">
        <f>#REF!</f>
        <v>#REF!</v>
      </c>
      <c r="D7442" s="2" t="e">
        <f t="shared" si="118"/>
        <v>#REF!</v>
      </c>
      <c r="E7442" s="2" t="s">
        <v>81</v>
      </c>
    </row>
    <row r="7443" spans="1:5" x14ac:dyDescent="0.2">
      <c r="A7443">
        <f t="shared" si="119"/>
        <v>7382</v>
      </c>
      <c r="B7443" s="138" t="e">
        <f>#REF!</f>
        <v>#REF!</v>
      </c>
      <c r="D7443" s="2" t="e">
        <f t="shared" si="118"/>
        <v>#REF!</v>
      </c>
      <c r="E7443" s="2" t="s">
        <v>81</v>
      </c>
    </row>
    <row r="7444" spans="1:5" x14ac:dyDescent="0.2">
      <c r="A7444">
        <f t="shared" si="119"/>
        <v>7383</v>
      </c>
      <c r="B7444" s="138" t="e">
        <f>#REF!</f>
        <v>#REF!</v>
      </c>
      <c r="D7444" s="2" t="e">
        <f t="shared" si="118"/>
        <v>#REF!</v>
      </c>
      <c r="E7444" s="2" t="s">
        <v>81</v>
      </c>
    </row>
    <row r="7445" spans="1:5" x14ac:dyDescent="0.2">
      <c r="A7445">
        <f t="shared" si="119"/>
        <v>7384</v>
      </c>
      <c r="B7445" s="138" t="e">
        <f>#REF!</f>
        <v>#REF!</v>
      </c>
      <c r="D7445" s="2" t="e">
        <f t="shared" si="118"/>
        <v>#REF!</v>
      </c>
      <c r="E7445" s="2" t="s">
        <v>81</v>
      </c>
    </row>
    <row r="7446" spans="1:5" x14ac:dyDescent="0.2">
      <c r="A7446">
        <f t="shared" si="119"/>
        <v>7385</v>
      </c>
      <c r="B7446" s="138" t="e">
        <f>#REF!</f>
        <v>#REF!</v>
      </c>
      <c r="D7446" s="2" t="e">
        <f t="shared" si="118"/>
        <v>#REF!</v>
      </c>
      <c r="E7446" s="2" t="s">
        <v>81</v>
      </c>
    </row>
    <row r="7447" spans="1:5" x14ac:dyDescent="0.2">
      <c r="A7447">
        <f t="shared" si="119"/>
        <v>7386</v>
      </c>
      <c r="B7447" s="138" t="e">
        <f>#REF!</f>
        <v>#REF!</v>
      </c>
      <c r="D7447" s="2" t="e">
        <f t="shared" si="118"/>
        <v>#REF!</v>
      </c>
      <c r="E7447" s="2" t="s">
        <v>81</v>
      </c>
    </row>
    <row r="7448" spans="1:5" x14ac:dyDescent="0.2">
      <c r="A7448">
        <f t="shared" si="119"/>
        <v>7387</v>
      </c>
      <c r="B7448" s="138" t="e">
        <f>#REF!</f>
        <v>#REF!</v>
      </c>
      <c r="D7448" s="2" t="e">
        <f t="shared" si="118"/>
        <v>#REF!</v>
      </c>
      <c r="E7448" s="2" t="s">
        <v>81</v>
      </c>
    </row>
    <row r="7449" spans="1:5" x14ac:dyDescent="0.2">
      <c r="A7449">
        <f t="shared" si="119"/>
        <v>7388</v>
      </c>
      <c r="B7449" s="138" t="e">
        <f>#REF!</f>
        <v>#REF!</v>
      </c>
      <c r="D7449" s="2" t="e">
        <f t="shared" si="118"/>
        <v>#REF!</v>
      </c>
      <c r="E7449" s="2" t="s">
        <v>81</v>
      </c>
    </row>
    <row r="7450" spans="1:5" x14ac:dyDescent="0.2">
      <c r="A7450">
        <f t="shared" si="119"/>
        <v>7389</v>
      </c>
      <c r="B7450" s="138" t="e">
        <f>#REF!</f>
        <v>#REF!</v>
      </c>
      <c r="D7450" s="2" t="e">
        <f t="shared" si="118"/>
        <v>#REF!</v>
      </c>
      <c r="E7450" s="2" t="s">
        <v>81</v>
      </c>
    </row>
    <row r="7451" spans="1:5" x14ac:dyDescent="0.2">
      <c r="A7451">
        <f t="shared" si="119"/>
        <v>7390</v>
      </c>
      <c r="B7451" s="138" t="e">
        <f>#REF!</f>
        <v>#REF!</v>
      </c>
      <c r="D7451" s="2" t="e">
        <f t="shared" si="118"/>
        <v>#REF!</v>
      </c>
      <c r="E7451" s="2" t="s">
        <v>81</v>
      </c>
    </row>
    <row r="7452" spans="1:5" x14ac:dyDescent="0.2">
      <c r="A7452">
        <f t="shared" si="119"/>
        <v>7391</v>
      </c>
      <c r="B7452" s="138" t="e">
        <f>#REF!</f>
        <v>#REF!</v>
      </c>
      <c r="D7452" s="2" t="e">
        <f t="shared" si="118"/>
        <v>#REF!</v>
      </c>
      <c r="E7452" s="2" t="s">
        <v>81</v>
      </c>
    </row>
    <row r="7453" spans="1:5" x14ac:dyDescent="0.2">
      <c r="A7453">
        <f t="shared" si="119"/>
        <v>7392</v>
      </c>
      <c r="B7453" s="138" t="e">
        <f>#REF!</f>
        <v>#REF!</v>
      </c>
      <c r="D7453" s="2" t="e">
        <f t="shared" si="118"/>
        <v>#REF!</v>
      </c>
      <c r="E7453" s="2" t="s">
        <v>81</v>
      </c>
    </row>
    <row r="7454" spans="1:5" x14ac:dyDescent="0.2">
      <c r="A7454">
        <f t="shared" si="119"/>
        <v>7393</v>
      </c>
      <c r="B7454" s="138" t="e">
        <f>#REF!</f>
        <v>#REF!</v>
      </c>
      <c r="D7454" s="2" t="e">
        <f t="shared" si="118"/>
        <v>#REF!</v>
      </c>
      <c r="E7454" s="2" t="s">
        <v>81</v>
      </c>
    </row>
    <row r="7455" spans="1:5" x14ac:dyDescent="0.2">
      <c r="A7455">
        <f t="shared" si="119"/>
        <v>7394</v>
      </c>
      <c r="B7455" s="138" t="e">
        <f>#REF!</f>
        <v>#REF!</v>
      </c>
      <c r="D7455" s="2" t="e">
        <f t="shared" si="118"/>
        <v>#REF!</v>
      </c>
      <c r="E7455" s="2" t="s">
        <v>81</v>
      </c>
    </row>
    <row r="7456" spans="1:5" x14ac:dyDescent="0.2">
      <c r="A7456">
        <f t="shared" si="119"/>
        <v>7395</v>
      </c>
      <c r="B7456" s="138" t="e">
        <f>#REF!</f>
        <v>#REF!</v>
      </c>
      <c r="D7456" s="2" t="e">
        <f t="shared" si="118"/>
        <v>#REF!</v>
      </c>
      <c r="E7456" s="2" t="s">
        <v>81</v>
      </c>
    </row>
    <row r="7457" spans="1:5" x14ac:dyDescent="0.2">
      <c r="A7457">
        <f t="shared" si="119"/>
        <v>7396</v>
      </c>
      <c r="B7457" s="138" t="e">
        <f>#REF!</f>
        <v>#REF!</v>
      </c>
      <c r="D7457" s="2" t="e">
        <f t="shared" si="118"/>
        <v>#REF!</v>
      </c>
      <c r="E7457" s="2" t="s">
        <v>81</v>
      </c>
    </row>
    <row r="7458" spans="1:5" x14ac:dyDescent="0.2">
      <c r="A7458">
        <f t="shared" si="119"/>
        <v>7397</v>
      </c>
      <c r="B7458" s="138" t="e">
        <f>#REF!</f>
        <v>#REF!</v>
      </c>
      <c r="D7458" s="2" t="e">
        <f t="shared" si="118"/>
        <v>#REF!</v>
      </c>
      <c r="E7458" s="2" t="s">
        <v>81</v>
      </c>
    </row>
    <row r="7459" spans="1:5" x14ac:dyDescent="0.2">
      <c r="A7459">
        <f t="shared" si="119"/>
        <v>7398</v>
      </c>
      <c r="B7459" s="138" t="e">
        <f>#REF!</f>
        <v>#REF!</v>
      </c>
      <c r="D7459" s="2" t="e">
        <f t="shared" si="118"/>
        <v>#REF!</v>
      </c>
      <c r="E7459" s="2" t="s">
        <v>81</v>
      </c>
    </row>
    <row r="7460" spans="1:5" x14ac:dyDescent="0.2">
      <c r="A7460">
        <f t="shared" si="119"/>
        <v>7399</v>
      </c>
      <c r="B7460" s="138" t="e">
        <f>#REF!</f>
        <v>#REF!</v>
      </c>
      <c r="D7460" s="2" t="e">
        <f t="shared" si="118"/>
        <v>#REF!</v>
      </c>
      <c r="E7460" s="2" t="s">
        <v>81</v>
      </c>
    </row>
    <row r="7461" spans="1:5" x14ac:dyDescent="0.2">
      <c r="A7461">
        <f t="shared" si="119"/>
        <v>7400</v>
      </c>
      <c r="B7461" s="138" t="e">
        <f>#REF!</f>
        <v>#REF!</v>
      </c>
      <c r="D7461" s="2" t="e">
        <f t="shared" si="118"/>
        <v>#REF!</v>
      </c>
      <c r="E7461" s="2" t="s">
        <v>81</v>
      </c>
    </row>
    <row r="7462" spans="1:5" x14ac:dyDescent="0.2">
      <c r="A7462">
        <f t="shared" si="119"/>
        <v>7401</v>
      </c>
      <c r="B7462" s="138" t="e">
        <f>#REF!</f>
        <v>#REF!</v>
      </c>
      <c r="D7462" s="2" t="e">
        <f t="shared" si="118"/>
        <v>#REF!</v>
      </c>
      <c r="E7462" s="2" t="s">
        <v>81</v>
      </c>
    </row>
    <row r="7463" spans="1:5" x14ac:dyDescent="0.2">
      <c r="A7463">
        <f t="shared" si="119"/>
        <v>7402</v>
      </c>
      <c r="B7463" s="138" t="e">
        <f>#REF!</f>
        <v>#REF!</v>
      </c>
      <c r="D7463" s="2" t="e">
        <f t="shared" si="118"/>
        <v>#REF!</v>
      </c>
      <c r="E7463" s="2" t="s">
        <v>81</v>
      </c>
    </row>
    <row r="7464" spans="1:5" x14ac:dyDescent="0.2">
      <c r="A7464">
        <f t="shared" si="119"/>
        <v>7403</v>
      </c>
      <c r="B7464" s="138" t="e">
        <f>#REF!</f>
        <v>#REF!</v>
      </c>
      <c r="D7464" s="2" t="e">
        <f t="shared" si="118"/>
        <v>#REF!</v>
      </c>
      <c r="E7464" s="2" t="s">
        <v>81</v>
      </c>
    </row>
    <row r="7465" spans="1:5" x14ac:dyDescent="0.2">
      <c r="A7465">
        <f t="shared" si="119"/>
        <v>7404</v>
      </c>
      <c r="B7465" s="138" t="e">
        <f>#REF!</f>
        <v>#REF!</v>
      </c>
      <c r="D7465" s="2" t="e">
        <f t="shared" si="118"/>
        <v>#REF!</v>
      </c>
      <c r="E7465" s="2" t="s">
        <v>81</v>
      </c>
    </row>
    <row r="7466" spans="1:5" x14ac:dyDescent="0.2">
      <c r="A7466">
        <f t="shared" si="119"/>
        <v>7405</v>
      </c>
      <c r="B7466" s="138" t="e">
        <f>#REF!</f>
        <v>#REF!</v>
      </c>
      <c r="D7466" s="2" t="e">
        <f t="shared" si="118"/>
        <v>#REF!</v>
      </c>
      <c r="E7466" s="2" t="s">
        <v>81</v>
      </c>
    </row>
    <row r="7467" spans="1:5" x14ac:dyDescent="0.2">
      <c r="A7467">
        <f t="shared" si="119"/>
        <v>7406</v>
      </c>
      <c r="B7467" s="138" t="e">
        <f>#REF!</f>
        <v>#REF!</v>
      </c>
      <c r="D7467" s="2" t="e">
        <f t="shared" si="118"/>
        <v>#REF!</v>
      </c>
      <c r="E7467" s="2" t="s">
        <v>81</v>
      </c>
    </row>
    <row r="7468" spans="1:5" x14ac:dyDescent="0.2">
      <c r="A7468">
        <f t="shared" si="119"/>
        <v>7407</v>
      </c>
      <c r="B7468" s="138" t="e">
        <f>#REF!</f>
        <v>#REF!</v>
      </c>
      <c r="D7468" s="2" t="e">
        <f t="shared" si="118"/>
        <v>#REF!</v>
      </c>
      <c r="E7468" s="2" t="s">
        <v>81</v>
      </c>
    </row>
    <row r="7469" spans="1:5" x14ac:dyDescent="0.2">
      <c r="A7469">
        <f t="shared" si="119"/>
        <v>7408</v>
      </c>
      <c r="B7469" s="138" t="e">
        <f>#REF!</f>
        <v>#REF!</v>
      </c>
      <c r="D7469" s="2" t="e">
        <f t="shared" si="118"/>
        <v>#REF!</v>
      </c>
      <c r="E7469" s="2" t="s">
        <v>81</v>
      </c>
    </row>
    <row r="7470" spans="1:5" x14ac:dyDescent="0.2">
      <c r="A7470">
        <f t="shared" si="119"/>
        <v>7409</v>
      </c>
      <c r="B7470" s="138" t="e">
        <f>#REF!</f>
        <v>#REF!</v>
      </c>
      <c r="D7470" s="2" t="e">
        <f t="shared" si="118"/>
        <v>#REF!</v>
      </c>
      <c r="E7470" s="2" t="s">
        <v>81</v>
      </c>
    </row>
    <row r="7471" spans="1:5" x14ac:dyDescent="0.2">
      <c r="A7471">
        <f t="shared" si="119"/>
        <v>7410</v>
      </c>
      <c r="B7471" s="138" t="e">
        <f>#REF!</f>
        <v>#REF!</v>
      </c>
      <c r="D7471" s="2" t="e">
        <f t="shared" si="118"/>
        <v>#REF!</v>
      </c>
      <c r="E7471" s="2" t="s">
        <v>81</v>
      </c>
    </row>
    <row r="7472" spans="1:5" x14ac:dyDescent="0.2">
      <c r="A7472">
        <f t="shared" si="119"/>
        <v>7411</v>
      </c>
      <c r="B7472" s="138" t="e">
        <f>#REF!</f>
        <v>#REF!</v>
      </c>
      <c r="D7472" s="2" t="e">
        <f t="shared" si="118"/>
        <v>#REF!</v>
      </c>
      <c r="E7472" s="2" t="s">
        <v>81</v>
      </c>
    </row>
    <row r="7473" spans="1:5" x14ac:dyDescent="0.2">
      <c r="A7473">
        <f t="shared" si="119"/>
        <v>7412</v>
      </c>
      <c r="B7473" s="138" t="e">
        <f>#REF!</f>
        <v>#REF!</v>
      </c>
      <c r="D7473" s="2" t="e">
        <f t="shared" si="118"/>
        <v>#REF!</v>
      </c>
      <c r="E7473" s="2" t="s">
        <v>81</v>
      </c>
    </row>
    <row r="7474" spans="1:5" x14ac:dyDescent="0.2">
      <c r="A7474">
        <f t="shared" si="119"/>
        <v>7413</v>
      </c>
      <c r="B7474" s="138" t="e">
        <f>#REF!</f>
        <v>#REF!</v>
      </c>
      <c r="D7474" s="2" t="e">
        <f t="shared" si="118"/>
        <v>#REF!</v>
      </c>
      <c r="E7474" s="2" t="s">
        <v>81</v>
      </c>
    </row>
    <row r="7475" spans="1:5" x14ac:dyDescent="0.2">
      <c r="A7475">
        <f t="shared" si="119"/>
        <v>7414</v>
      </c>
      <c r="B7475" s="138" t="e">
        <f>#REF!</f>
        <v>#REF!</v>
      </c>
      <c r="D7475" s="2" t="e">
        <f t="shared" si="118"/>
        <v>#REF!</v>
      </c>
      <c r="E7475" s="2" t="s">
        <v>81</v>
      </c>
    </row>
    <row r="7476" spans="1:5" x14ac:dyDescent="0.2">
      <c r="A7476">
        <f t="shared" si="119"/>
        <v>7415</v>
      </c>
      <c r="B7476" s="138" t="e">
        <f>#REF!</f>
        <v>#REF!</v>
      </c>
      <c r="D7476" s="2" t="e">
        <f t="shared" si="118"/>
        <v>#REF!</v>
      </c>
      <c r="E7476" s="2" t="s">
        <v>81</v>
      </c>
    </row>
    <row r="7477" spans="1:5" x14ac:dyDescent="0.2">
      <c r="A7477">
        <f t="shared" si="119"/>
        <v>7416</v>
      </c>
      <c r="B7477" s="138" t="e">
        <f>#REF!</f>
        <v>#REF!</v>
      </c>
      <c r="D7477" s="2" t="e">
        <f t="shared" si="118"/>
        <v>#REF!</v>
      </c>
      <c r="E7477" s="2" t="s">
        <v>81</v>
      </c>
    </row>
    <row r="7478" spans="1:5" x14ac:dyDescent="0.2">
      <c r="A7478">
        <f t="shared" si="119"/>
        <v>7417</v>
      </c>
      <c r="B7478" s="138" t="e">
        <f>#REF!</f>
        <v>#REF!</v>
      </c>
      <c r="D7478" s="2" t="e">
        <f t="shared" si="118"/>
        <v>#REF!</v>
      </c>
      <c r="E7478" s="2" t="s">
        <v>81</v>
      </c>
    </row>
    <row r="7479" spans="1:5" x14ac:dyDescent="0.2">
      <c r="A7479">
        <f t="shared" si="119"/>
        <v>7418</v>
      </c>
      <c r="B7479" s="138" t="e">
        <f>#REF!</f>
        <v>#REF!</v>
      </c>
      <c r="D7479" s="2" t="e">
        <f t="shared" si="118"/>
        <v>#REF!</v>
      </c>
      <c r="E7479" s="2" t="s">
        <v>81</v>
      </c>
    </row>
    <row r="7480" spans="1:5" x14ac:dyDescent="0.2">
      <c r="A7480">
        <f t="shared" si="119"/>
        <v>7419</v>
      </c>
      <c r="B7480" s="138" t="e">
        <f>#REF!</f>
        <v>#REF!</v>
      </c>
      <c r="D7480" s="2" t="e">
        <f t="shared" si="118"/>
        <v>#REF!</v>
      </c>
      <c r="E7480" s="2" t="s">
        <v>81</v>
      </c>
    </row>
    <row r="7481" spans="1:5" x14ac:dyDescent="0.2">
      <c r="A7481">
        <f t="shared" si="119"/>
        <v>7420</v>
      </c>
      <c r="B7481" s="138" t="e">
        <f>#REF!</f>
        <v>#REF!</v>
      </c>
      <c r="D7481" s="2" t="e">
        <f t="shared" si="118"/>
        <v>#REF!</v>
      </c>
      <c r="E7481" s="2" t="s">
        <v>81</v>
      </c>
    </row>
    <row r="7482" spans="1:5" x14ac:dyDescent="0.2">
      <c r="A7482">
        <f t="shared" si="119"/>
        <v>7421</v>
      </c>
      <c r="B7482" s="138" t="e">
        <f>#REF!</f>
        <v>#REF!</v>
      </c>
      <c r="D7482" s="2" t="e">
        <f t="shared" si="118"/>
        <v>#REF!</v>
      </c>
      <c r="E7482" s="2" t="s">
        <v>81</v>
      </c>
    </row>
    <row r="7483" spans="1:5" x14ac:dyDescent="0.2">
      <c r="A7483">
        <f t="shared" si="119"/>
        <v>7422</v>
      </c>
      <c r="B7483" s="138" t="e">
        <f>#REF!</f>
        <v>#REF!</v>
      </c>
      <c r="D7483" s="2" t="e">
        <f t="shared" si="118"/>
        <v>#REF!</v>
      </c>
      <c r="E7483" s="2" t="s">
        <v>81</v>
      </c>
    </row>
    <row r="7484" spans="1:5" x14ac:dyDescent="0.2">
      <c r="A7484">
        <f t="shared" si="119"/>
        <v>7423</v>
      </c>
      <c r="B7484" s="138" t="e">
        <f>#REF!</f>
        <v>#REF!</v>
      </c>
      <c r="D7484" s="2" t="e">
        <f t="shared" si="118"/>
        <v>#REF!</v>
      </c>
      <c r="E7484" s="2" t="s">
        <v>81</v>
      </c>
    </row>
    <row r="7485" spans="1:5" x14ac:dyDescent="0.2">
      <c r="A7485">
        <f t="shared" si="119"/>
        <v>7424</v>
      </c>
      <c r="B7485" s="138" t="e">
        <f>#REF!</f>
        <v>#REF!</v>
      </c>
      <c r="D7485" s="2" t="e">
        <f t="shared" si="118"/>
        <v>#REF!</v>
      </c>
      <c r="E7485" s="2" t="s">
        <v>81</v>
      </c>
    </row>
    <row r="7486" spans="1:5" x14ac:dyDescent="0.2">
      <c r="A7486">
        <f t="shared" si="119"/>
        <v>7425</v>
      </c>
      <c r="B7486" s="138" t="e">
        <f>#REF!</f>
        <v>#REF!</v>
      </c>
      <c r="D7486" s="2" t="e">
        <f t="shared" si="118"/>
        <v>#REF!</v>
      </c>
      <c r="E7486" s="2" t="s">
        <v>81</v>
      </c>
    </row>
    <row r="7487" spans="1:5" x14ac:dyDescent="0.2">
      <c r="A7487">
        <f t="shared" si="119"/>
        <v>7426</v>
      </c>
      <c r="B7487" s="138" t="e">
        <f>#REF!</f>
        <v>#REF!</v>
      </c>
      <c r="D7487" s="2" t="e">
        <f t="shared" ref="D7487:D7550" si="120">IF(ISBLANK(B7487),"OK",IF(A7487-B7487=0,"OK","Error?"))</f>
        <v>#REF!</v>
      </c>
      <c r="E7487" s="2" t="s">
        <v>81</v>
      </c>
    </row>
    <row r="7488" spans="1:5" x14ac:dyDescent="0.2">
      <c r="A7488">
        <f t="shared" si="119"/>
        <v>7427</v>
      </c>
      <c r="B7488" s="138" t="e">
        <f>#REF!</f>
        <v>#REF!</v>
      </c>
      <c r="D7488" s="2" t="e">
        <f t="shared" si="120"/>
        <v>#REF!</v>
      </c>
      <c r="E7488" s="2" t="s">
        <v>81</v>
      </c>
    </row>
    <row r="7489" spans="1:5" x14ac:dyDescent="0.2">
      <c r="A7489">
        <f t="shared" si="119"/>
        <v>7428</v>
      </c>
      <c r="B7489" s="138" t="e">
        <f>#REF!</f>
        <v>#REF!</v>
      </c>
      <c r="D7489" s="2" t="e">
        <f t="shared" si="120"/>
        <v>#REF!</v>
      </c>
      <c r="E7489" s="2" t="s">
        <v>81</v>
      </c>
    </row>
    <row r="7490" spans="1:5" x14ac:dyDescent="0.2">
      <c r="A7490">
        <f t="shared" si="119"/>
        <v>7429</v>
      </c>
      <c r="B7490" s="138" t="e">
        <f>#REF!</f>
        <v>#REF!</v>
      </c>
      <c r="D7490" s="2" t="e">
        <f t="shared" si="120"/>
        <v>#REF!</v>
      </c>
      <c r="E7490" s="2" t="s">
        <v>81</v>
      </c>
    </row>
    <row r="7491" spans="1:5" x14ac:dyDescent="0.2">
      <c r="A7491">
        <f t="shared" si="119"/>
        <v>7430</v>
      </c>
      <c r="B7491" s="138" t="e">
        <f>#REF!</f>
        <v>#REF!</v>
      </c>
      <c r="D7491" s="2" t="e">
        <f t="shared" si="120"/>
        <v>#REF!</v>
      </c>
      <c r="E7491" s="2" t="s">
        <v>81</v>
      </c>
    </row>
    <row r="7492" spans="1:5" x14ac:dyDescent="0.2">
      <c r="A7492">
        <f t="shared" si="119"/>
        <v>7431</v>
      </c>
      <c r="B7492" s="138" t="e">
        <f>#REF!</f>
        <v>#REF!</v>
      </c>
      <c r="D7492" s="2" t="e">
        <f t="shared" si="120"/>
        <v>#REF!</v>
      </c>
      <c r="E7492" s="2" t="s">
        <v>81</v>
      </c>
    </row>
    <row r="7493" spans="1:5" x14ac:dyDescent="0.2">
      <c r="A7493">
        <f t="shared" si="119"/>
        <v>7432</v>
      </c>
      <c r="B7493" s="138" t="e">
        <f>#REF!</f>
        <v>#REF!</v>
      </c>
      <c r="D7493" s="2" t="e">
        <f t="shared" si="120"/>
        <v>#REF!</v>
      </c>
      <c r="E7493" s="2" t="s">
        <v>81</v>
      </c>
    </row>
    <row r="7494" spans="1:5" x14ac:dyDescent="0.2">
      <c r="A7494">
        <f t="shared" si="119"/>
        <v>7433</v>
      </c>
      <c r="B7494" s="138" t="e">
        <f>#REF!</f>
        <v>#REF!</v>
      </c>
      <c r="D7494" s="2" t="e">
        <f t="shared" si="120"/>
        <v>#REF!</v>
      </c>
      <c r="E7494" s="2" t="s">
        <v>81</v>
      </c>
    </row>
    <row r="7495" spans="1:5" x14ac:dyDescent="0.2">
      <c r="A7495">
        <f t="shared" si="119"/>
        <v>7434</v>
      </c>
      <c r="B7495" s="138" t="e">
        <f>#REF!</f>
        <v>#REF!</v>
      </c>
      <c r="D7495" s="2" t="e">
        <f t="shared" si="120"/>
        <v>#REF!</v>
      </c>
      <c r="E7495" s="2" t="s">
        <v>81</v>
      </c>
    </row>
    <row r="7496" spans="1:5" x14ac:dyDescent="0.2">
      <c r="A7496">
        <f t="shared" si="119"/>
        <v>7435</v>
      </c>
      <c r="B7496" s="138" t="e">
        <f>#REF!</f>
        <v>#REF!</v>
      </c>
      <c r="D7496" s="2" t="e">
        <f t="shared" si="120"/>
        <v>#REF!</v>
      </c>
      <c r="E7496" s="2" t="s">
        <v>81</v>
      </c>
    </row>
    <row r="7497" spans="1:5" x14ac:dyDescent="0.2">
      <c r="A7497">
        <f t="shared" si="119"/>
        <v>7436</v>
      </c>
      <c r="B7497" s="138" t="e">
        <f>#REF!</f>
        <v>#REF!</v>
      </c>
      <c r="D7497" s="2" t="e">
        <f t="shared" si="120"/>
        <v>#REF!</v>
      </c>
      <c r="E7497" s="2" t="s">
        <v>81</v>
      </c>
    </row>
    <row r="7498" spans="1:5" x14ac:dyDescent="0.2">
      <c r="A7498">
        <f t="shared" si="119"/>
        <v>7437</v>
      </c>
      <c r="B7498" s="138" t="e">
        <f>#REF!</f>
        <v>#REF!</v>
      </c>
      <c r="D7498" s="2" t="e">
        <f t="shared" si="120"/>
        <v>#REF!</v>
      </c>
      <c r="E7498" s="2" t="s">
        <v>81</v>
      </c>
    </row>
    <row r="7499" spans="1:5" x14ac:dyDescent="0.2">
      <c r="A7499">
        <f t="shared" si="119"/>
        <v>7438</v>
      </c>
      <c r="B7499" s="138" t="e">
        <f>#REF!</f>
        <v>#REF!</v>
      </c>
      <c r="D7499" s="2" t="e">
        <f t="shared" si="120"/>
        <v>#REF!</v>
      </c>
      <c r="E7499" s="2" t="s">
        <v>81</v>
      </c>
    </row>
    <row r="7500" spans="1:5" x14ac:dyDescent="0.2">
      <c r="A7500">
        <f t="shared" si="119"/>
        <v>7439</v>
      </c>
      <c r="B7500" s="138" t="e">
        <f>#REF!</f>
        <v>#REF!</v>
      </c>
      <c r="D7500" s="2" t="e">
        <f t="shared" si="120"/>
        <v>#REF!</v>
      </c>
      <c r="E7500" s="2" t="s">
        <v>81</v>
      </c>
    </row>
    <row r="7501" spans="1:5" x14ac:dyDescent="0.2">
      <c r="A7501">
        <f t="shared" si="119"/>
        <v>7440</v>
      </c>
      <c r="B7501" s="138" t="e">
        <f>#REF!</f>
        <v>#REF!</v>
      </c>
      <c r="D7501" s="2" t="e">
        <f t="shared" si="120"/>
        <v>#REF!</v>
      </c>
      <c r="E7501" s="2" t="s">
        <v>81</v>
      </c>
    </row>
    <row r="7502" spans="1:5" x14ac:dyDescent="0.2">
      <c r="A7502">
        <f t="shared" ref="A7502:A7565" si="121">A7501+1</f>
        <v>7441</v>
      </c>
      <c r="B7502" s="138" t="e">
        <f>#REF!</f>
        <v>#REF!</v>
      </c>
      <c r="D7502" s="2" t="e">
        <f t="shared" si="120"/>
        <v>#REF!</v>
      </c>
      <c r="E7502" s="2" t="s">
        <v>81</v>
      </c>
    </row>
    <row r="7503" spans="1:5" x14ac:dyDescent="0.2">
      <c r="A7503">
        <f t="shared" si="121"/>
        <v>7442</v>
      </c>
      <c r="B7503" s="138" t="e">
        <f>#REF!</f>
        <v>#REF!</v>
      </c>
      <c r="D7503" s="2" t="e">
        <f t="shared" si="120"/>
        <v>#REF!</v>
      </c>
      <c r="E7503" s="2" t="s">
        <v>81</v>
      </c>
    </row>
    <row r="7504" spans="1:5" x14ac:dyDescent="0.2">
      <c r="A7504">
        <f t="shared" si="121"/>
        <v>7443</v>
      </c>
      <c r="B7504" s="138" t="e">
        <f>#REF!</f>
        <v>#REF!</v>
      </c>
      <c r="D7504" s="2" t="e">
        <f t="shared" si="120"/>
        <v>#REF!</v>
      </c>
      <c r="E7504" s="2" t="s">
        <v>81</v>
      </c>
    </row>
    <row r="7505" spans="1:5" x14ac:dyDescent="0.2">
      <c r="A7505">
        <f t="shared" si="121"/>
        <v>7444</v>
      </c>
      <c r="B7505" s="138" t="e">
        <f>#REF!</f>
        <v>#REF!</v>
      </c>
      <c r="D7505" s="2" t="e">
        <f t="shared" si="120"/>
        <v>#REF!</v>
      </c>
      <c r="E7505" s="2" t="s">
        <v>81</v>
      </c>
    </row>
    <row r="7506" spans="1:5" x14ac:dyDescent="0.2">
      <c r="A7506">
        <f t="shared" si="121"/>
        <v>7445</v>
      </c>
      <c r="B7506" s="138" t="e">
        <f>#REF!</f>
        <v>#REF!</v>
      </c>
      <c r="D7506" s="2" t="e">
        <f t="shared" si="120"/>
        <v>#REF!</v>
      </c>
      <c r="E7506" s="2" t="s">
        <v>81</v>
      </c>
    </row>
    <row r="7507" spans="1:5" x14ac:dyDescent="0.2">
      <c r="A7507">
        <f t="shared" si="121"/>
        <v>7446</v>
      </c>
      <c r="B7507" s="138" t="e">
        <f>#REF!</f>
        <v>#REF!</v>
      </c>
      <c r="D7507" s="2" t="e">
        <f t="shared" si="120"/>
        <v>#REF!</v>
      </c>
      <c r="E7507" s="2" t="s">
        <v>81</v>
      </c>
    </row>
    <row r="7508" spans="1:5" x14ac:dyDescent="0.2">
      <c r="A7508">
        <f t="shared" si="121"/>
        <v>7447</v>
      </c>
      <c r="B7508" s="138" t="e">
        <f>#REF!</f>
        <v>#REF!</v>
      </c>
      <c r="D7508" s="2" t="e">
        <f t="shared" si="120"/>
        <v>#REF!</v>
      </c>
      <c r="E7508" s="2" t="s">
        <v>81</v>
      </c>
    </row>
    <row r="7509" spans="1:5" x14ac:dyDescent="0.2">
      <c r="A7509">
        <f t="shared" si="121"/>
        <v>7448</v>
      </c>
      <c r="B7509" s="138" t="e">
        <f>#REF!</f>
        <v>#REF!</v>
      </c>
      <c r="D7509" s="2" t="e">
        <f t="shared" si="120"/>
        <v>#REF!</v>
      </c>
      <c r="E7509" s="2" t="s">
        <v>81</v>
      </c>
    </row>
    <row r="7510" spans="1:5" x14ac:dyDescent="0.2">
      <c r="A7510">
        <f t="shared" si="121"/>
        <v>7449</v>
      </c>
      <c r="B7510" s="138" t="e">
        <f>#REF!</f>
        <v>#REF!</v>
      </c>
      <c r="D7510" s="2" t="e">
        <f t="shared" si="120"/>
        <v>#REF!</v>
      </c>
      <c r="E7510" s="2" t="s">
        <v>81</v>
      </c>
    </row>
    <row r="7511" spans="1:5" x14ac:dyDescent="0.2">
      <c r="A7511">
        <f t="shared" si="121"/>
        <v>7450</v>
      </c>
      <c r="B7511" s="138" t="e">
        <f>#REF!</f>
        <v>#REF!</v>
      </c>
      <c r="D7511" s="2" t="e">
        <f t="shared" si="120"/>
        <v>#REF!</v>
      </c>
      <c r="E7511" s="2" t="s">
        <v>81</v>
      </c>
    </row>
    <row r="7512" spans="1:5" x14ac:dyDescent="0.2">
      <c r="A7512">
        <f t="shared" si="121"/>
        <v>7451</v>
      </c>
      <c r="B7512" s="138" t="e">
        <f>#REF!</f>
        <v>#REF!</v>
      </c>
      <c r="D7512" s="2" t="e">
        <f t="shared" si="120"/>
        <v>#REF!</v>
      </c>
      <c r="E7512" s="2" t="s">
        <v>81</v>
      </c>
    </row>
    <row r="7513" spans="1:5" x14ac:dyDescent="0.2">
      <c r="A7513">
        <f t="shared" si="121"/>
        <v>7452</v>
      </c>
      <c r="B7513" s="138" t="e">
        <f>#REF!</f>
        <v>#REF!</v>
      </c>
      <c r="D7513" s="2" t="e">
        <f t="shared" si="120"/>
        <v>#REF!</v>
      </c>
      <c r="E7513" s="2" t="s">
        <v>81</v>
      </c>
    </row>
    <row r="7514" spans="1:5" x14ac:dyDescent="0.2">
      <c r="A7514">
        <f t="shared" si="121"/>
        <v>7453</v>
      </c>
      <c r="B7514" s="138" t="e">
        <f>#REF!</f>
        <v>#REF!</v>
      </c>
      <c r="D7514" s="2" t="e">
        <f t="shared" si="120"/>
        <v>#REF!</v>
      </c>
      <c r="E7514" s="2" t="s">
        <v>81</v>
      </c>
    </row>
    <row r="7515" spans="1:5" x14ac:dyDescent="0.2">
      <c r="A7515">
        <f t="shared" si="121"/>
        <v>7454</v>
      </c>
      <c r="B7515" s="138" t="e">
        <f>#REF!</f>
        <v>#REF!</v>
      </c>
      <c r="D7515" s="2" t="e">
        <f t="shared" si="120"/>
        <v>#REF!</v>
      </c>
      <c r="E7515" s="2" t="s">
        <v>81</v>
      </c>
    </row>
    <row r="7516" spans="1:5" x14ac:dyDescent="0.2">
      <c r="A7516">
        <f t="shared" si="121"/>
        <v>7455</v>
      </c>
      <c r="B7516" s="138" t="e">
        <f>#REF!</f>
        <v>#REF!</v>
      </c>
      <c r="D7516" s="2" t="e">
        <f t="shared" si="120"/>
        <v>#REF!</v>
      </c>
      <c r="E7516" s="2" t="s">
        <v>81</v>
      </c>
    </row>
    <row r="7517" spans="1:5" x14ac:dyDescent="0.2">
      <c r="A7517">
        <f t="shared" si="121"/>
        <v>7456</v>
      </c>
      <c r="B7517" s="138" t="e">
        <f>#REF!</f>
        <v>#REF!</v>
      </c>
      <c r="D7517" s="2" t="e">
        <f t="shared" si="120"/>
        <v>#REF!</v>
      </c>
      <c r="E7517" s="2" t="s">
        <v>81</v>
      </c>
    </row>
    <row r="7518" spans="1:5" x14ac:dyDescent="0.2">
      <c r="A7518">
        <f t="shared" si="121"/>
        <v>7457</v>
      </c>
      <c r="B7518" s="138" t="e">
        <f>#REF!</f>
        <v>#REF!</v>
      </c>
      <c r="D7518" s="2" t="e">
        <f t="shared" si="120"/>
        <v>#REF!</v>
      </c>
      <c r="E7518" s="2" t="s">
        <v>81</v>
      </c>
    </row>
    <row r="7519" spans="1:5" x14ac:dyDescent="0.2">
      <c r="A7519">
        <f t="shared" si="121"/>
        <v>7458</v>
      </c>
      <c r="B7519" s="138" t="e">
        <f>#REF!</f>
        <v>#REF!</v>
      </c>
      <c r="D7519" s="2" t="e">
        <f t="shared" si="120"/>
        <v>#REF!</v>
      </c>
      <c r="E7519" s="2" t="s">
        <v>81</v>
      </c>
    </row>
    <row r="7520" spans="1:5" x14ac:dyDescent="0.2">
      <c r="A7520">
        <f t="shared" si="121"/>
        <v>7459</v>
      </c>
      <c r="B7520" s="138" t="e">
        <f>#REF!</f>
        <v>#REF!</v>
      </c>
      <c r="D7520" s="2" t="e">
        <f t="shared" si="120"/>
        <v>#REF!</v>
      </c>
      <c r="E7520" s="2" t="s">
        <v>81</v>
      </c>
    </row>
    <row r="7521" spans="1:5" x14ac:dyDescent="0.2">
      <c r="A7521">
        <f t="shared" si="121"/>
        <v>7460</v>
      </c>
      <c r="B7521" s="138" t="e">
        <f>#REF!</f>
        <v>#REF!</v>
      </c>
      <c r="D7521" s="2" t="e">
        <f t="shared" si="120"/>
        <v>#REF!</v>
      </c>
      <c r="E7521" s="2" t="s">
        <v>81</v>
      </c>
    </row>
    <row r="7522" spans="1:5" x14ac:dyDescent="0.2">
      <c r="A7522">
        <f t="shared" si="121"/>
        <v>7461</v>
      </c>
      <c r="B7522" s="138" t="e">
        <f>#REF!</f>
        <v>#REF!</v>
      </c>
      <c r="D7522" s="2" t="e">
        <f t="shared" si="120"/>
        <v>#REF!</v>
      </c>
      <c r="E7522" s="2" t="s">
        <v>81</v>
      </c>
    </row>
    <row r="7523" spans="1:5" x14ac:dyDescent="0.2">
      <c r="A7523">
        <f t="shared" si="121"/>
        <v>7462</v>
      </c>
      <c r="B7523" s="138" t="e">
        <f>#REF!</f>
        <v>#REF!</v>
      </c>
      <c r="D7523" s="2" t="e">
        <f t="shared" si="120"/>
        <v>#REF!</v>
      </c>
      <c r="E7523" s="2" t="s">
        <v>81</v>
      </c>
    </row>
    <row r="7524" spans="1:5" x14ac:dyDescent="0.2">
      <c r="A7524">
        <f t="shared" si="121"/>
        <v>7463</v>
      </c>
      <c r="B7524" s="138" t="e">
        <f>#REF!</f>
        <v>#REF!</v>
      </c>
      <c r="D7524" s="2" t="e">
        <f t="shared" si="120"/>
        <v>#REF!</v>
      </c>
      <c r="E7524" s="2" t="s">
        <v>81</v>
      </c>
    </row>
    <row r="7525" spans="1:5" x14ac:dyDescent="0.2">
      <c r="A7525">
        <f t="shared" si="121"/>
        <v>7464</v>
      </c>
      <c r="B7525" s="138" t="e">
        <f>#REF!</f>
        <v>#REF!</v>
      </c>
      <c r="D7525" s="2" t="e">
        <f t="shared" si="120"/>
        <v>#REF!</v>
      </c>
      <c r="E7525" s="2" t="s">
        <v>81</v>
      </c>
    </row>
    <row r="7526" spans="1:5" x14ac:dyDescent="0.2">
      <c r="A7526">
        <f t="shared" si="121"/>
        <v>7465</v>
      </c>
      <c r="B7526" s="138" t="e">
        <f>#REF!</f>
        <v>#REF!</v>
      </c>
      <c r="D7526" s="2" t="e">
        <f t="shared" si="120"/>
        <v>#REF!</v>
      </c>
      <c r="E7526" s="2" t="s">
        <v>81</v>
      </c>
    </row>
    <row r="7527" spans="1:5" x14ac:dyDescent="0.2">
      <c r="A7527">
        <f t="shared" si="121"/>
        <v>7466</v>
      </c>
      <c r="B7527" s="138" t="e">
        <f>#REF!</f>
        <v>#REF!</v>
      </c>
      <c r="D7527" s="2" t="e">
        <f t="shared" si="120"/>
        <v>#REF!</v>
      </c>
      <c r="E7527" s="2" t="s">
        <v>81</v>
      </c>
    </row>
    <row r="7528" spans="1:5" x14ac:dyDescent="0.2">
      <c r="A7528">
        <f t="shared" si="121"/>
        <v>7467</v>
      </c>
      <c r="B7528" s="138" t="e">
        <f>#REF!</f>
        <v>#REF!</v>
      </c>
      <c r="D7528" s="2" t="e">
        <f t="shared" si="120"/>
        <v>#REF!</v>
      </c>
      <c r="E7528" s="2" t="s">
        <v>81</v>
      </c>
    </row>
    <row r="7529" spans="1:5" x14ac:dyDescent="0.2">
      <c r="A7529">
        <f t="shared" si="121"/>
        <v>7468</v>
      </c>
      <c r="B7529" s="138" t="e">
        <f>#REF!</f>
        <v>#REF!</v>
      </c>
      <c r="D7529" s="2" t="e">
        <f t="shared" si="120"/>
        <v>#REF!</v>
      </c>
      <c r="E7529" s="2" t="s">
        <v>81</v>
      </c>
    </row>
    <row r="7530" spans="1:5" x14ac:dyDescent="0.2">
      <c r="A7530">
        <f t="shared" si="121"/>
        <v>7469</v>
      </c>
      <c r="B7530" s="138" t="e">
        <f>#REF!</f>
        <v>#REF!</v>
      </c>
      <c r="D7530" s="2" t="e">
        <f t="shared" si="120"/>
        <v>#REF!</v>
      </c>
      <c r="E7530" s="2" t="s">
        <v>81</v>
      </c>
    </row>
    <row r="7531" spans="1:5" x14ac:dyDescent="0.2">
      <c r="A7531">
        <f t="shared" si="121"/>
        <v>7470</v>
      </c>
      <c r="B7531" s="138" t="e">
        <f>#REF!</f>
        <v>#REF!</v>
      </c>
      <c r="D7531" s="2" t="e">
        <f t="shared" si="120"/>
        <v>#REF!</v>
      </c>
      <c r="E7531" s="2" t="s">
        <v>81</v>
      </c>
    </row>
    <row r="7532" spans="1:5" x14ac:dyDescent="0.2">
      <c r="A7532">
        <f t="shared" si="121"/>
        <v>7471</v>
      </c>
      <c r="B7532" s="138" t="e">
        <f>#REF!</f>
        <v>#REF!</v>
      </c>
      <c r="D7532" s="2" t="e">
        <f t="shared" si="120"/>
        <v>#REF!</v>
      </c>
      <c r="E7532" s="2" t="s">
        <v>81</v>
      </c>
    </row>
    <row r="7533" spans="1:5" x14ac:dyDescent="0.2">
      <c r="A7533">
        <f t="shared" si="121"/>
        <v>7472</v>
      </c>
      <c r="B7533" s="138" t="e">
        <f>#REF!</f>
        <v>#REF!</v>
      </c>
      <c r="D7533" s="2" t="e">
        <f t="shared" si="120"/>
        <v>#REF!</v>
      </c>
      <c r="E7533" s="2" t="s">
        <v>81</v>
      </c>
    </row>
    <row r="7534" spans="1:5" x14ac:dyDescent="0.2">
      <c r="A7534">
        <f t="shared" si="121"/>
        <v>7473</v>
      </c>
      <c r="B7534" s="138" t="e">
        <f>#REF!</f>
        <v>#REF!</v>
      </c>
      <c r="D7534" s="2" t="e">
        <f t="shared" si="120"/>
        <v>#REF!</v>
      </c>
      <c r="E7534" s="2" t="s">
        <v>81</v>
      </c>
    </row>
    <row r="7535" spans="1:5" x14ac:dyDescent="0.2">
      <c r="A7535">
        <f t="shared" si="121"/>
        <v>7474</v>
      </c>
      <c r="B7535" s="138" t="e">
        <f>#REF!</f>
        <v>#REF!</v>
      </c>
      <c r="D7535" s="2" t="e">
        <f t="shared" si="120"/>
        <v>#REF!</v>
      </c>
      <c r="E7535" s="2" t="s">
        <v>81</v>
      </c>
    </row>
    <row r="7536" spans="1:5" x14ac:dyDescent="0.2">
      <c r="A7536">
        <f t="shared" si="121"/>
        <v>7475</v>
      </c>
      <c r="B7536" s="138" t="e">
        <f>#REF!</f>
        <v>#REF!</v>
      </c>
      <c r="D7536" s="2" t="e">
        <f t="shared" si="120"/>
        <v>#REF!</v>
      </c>
      <c r="E7536" s="2" t="s">
        <v>81</v>
      </c>
    </row>
    <row r="7537" spans="1:5" x14ac:dyDescent="0.2">
      <c r="A7537">
        <f t="shared" si="121"/>
        <v>7476</v>
      </c>
      <c r="B7537" s="138" t="e">
        <f>#REF!</f>
        <v>#REF!</v>
      </c>
      <c r="D7537" s="2" t="e">
        <f t="shared" si="120"/>
        <v>#REF!</v>
      </c>
      <c r="E7537" s="2" t="s">
        <v>81</v>
      </c>
    </row>
    <row r="7538" spans="1:5" x14ac:dyDescent="0.2">
      <c r="A7538">
        <f t="shared" si="121"/>
        <v>7477</v>
      </c>
      <c r="B7538" s="138" t="e">
        <f>#REF!</f>
        <v>#REF!</v>
      </c>
      <c r="D7538" s="2" t="e">
        <f t="shared" si="120"/>
        <v>#REF!</v>
      </c>
      <c r="E7538" s="2" t="s">
        <v>81</v>
      </c>
    </row>
    <row r="7539" spans="1:5" x14ac:dyDescent="0.2">
      <c r="A7539">
        <f t="shared" si="121"/>
        <v>7478</v>
      </c>
      <c r="B7539" s="138" t="e">
        <f>#REF!</f>
        <v>#REF!</v>
      </c>
      <c r="D7539" s="2" t="e">
        <f t="shared" si="120"/>
        <v>#REF!</v>
      </c>
      <c r="E7539" s="2" t="s">
        <v>81</v>
      </c>
    </row>
    <row r="7540" spans="1:5" x14ac:dyDescent="0.2">
      <c r="A7540">
        <f t="shared" si="121"/>
        <v>7479</v>
      </c>
      <c r="B7540" s="138" t="e">
        <f>#REF!</f>
        <v>#REF!</v>
      </c>
      <c r="D7540" s="2" t="e">
        <f t="shared" si="120"/>
        <v>#REF!</v>
      </c>
      <c r="E7540" s="2" t="s">
        <v>81</v>
      </c>
    </row>
    <row r="7541" spans="1:5" x14ac:dyDescent="0.2">
      <c r="A7541">
        <f t="shared" si="121"/>
        <v>7480</v>
      </c>
      <c r="B7541" s="138" t="e">
        <f>#REF!</f>
        <v>#REF!</v>
      </c>
      <c r="D7541" s="2" t="e">
        <f t="shared" si="120"/>
        <v>#REF!</v>
      </c>
      <c r="E7541" s="2" t="s">
        <v>81</v>
      </c>
    </row>
    <row r="7542" spans="1:5" x14ac:dyDescent="0.2">
      <c r="A7542">
        <f t="shared" si="121"/>
        <v>7481</v>
      </c>
      <c r="B7542" s="138" t="e">
        <f>#REF!</f>
        <v>#REF!</v>
      </c>
      <c r="D7542" s="2" t="e">
        <f t="shared" si="120"/>
        <v>#REF!</v>
      </c>
      <c r="E7542" s="2" t="s">
        <v>81</v>
      </c>
    </row>
    <row r="7543" spans="1:5" x14ac:dyDescent="0.2">
      <c r="A7543">
        <f t="shared" si="121"/>
        <v>7482</v>
      </c>
      <c r="B7543" s="138" t="e">
        <f>#REF!</f>
        <v>#REF!</v>
      </c>
      <c r="D7543" s="2" t="e">
        <f t="shared" si="120"/>
        <v>#REF!</v>
      </c>
      <c r="E7543" s="2" t="s">
        <v>81</v>
      </c>
    </row>
    <row r="7544" spans="1:5" x14ac:dyDescent="0.2">
      <c r="A7544">
        <f t="shared" si="121"/>
        <v>7483</v>
      </c>
      <c r="B7544" s="138" t="e">
        <f>#REF!</f>
        <v>#REF!</v>
      </c>
      <c r="D7544" s="2" t="e">
        <f t="shared" si="120"/>
        <v>#REF!</v>
      </c>
      <c r="E7544" s="2" t="s">
        <v>81</v>
      </c>
    </row>
    <row r="7545" spans="1:5" x14ac:dyDescent="0.2">
      <c r="A7545">
        <f t="shared" si="121"/>
        <v>7484</v>
      </c>
      <c r="B7545" s="138" t="e">
        <f>#REF!</f>
        <v>#REF!</v>
      </c>
      <c r="D7545" s="2" t="e">
        <f t="shared" si="120"/>
        <v>#REF!</v>
      </c>
      <c r="E7545" s="2" t="s">
        <v>81</v>
      </c>
    </row>
    <row r="7546" spans="1:5" x14ac:dyDescent="0.2">
      <c r="A7546">
        <f t="shared" si="121"/>
        <v>7485</v>
      </c>
      <c r="B7546" s="138" t="e">
        <f>#REF!</f>
        <v>#REF!</v>
      </c>
      <c r="D7546" s="2" t="e">
        <f t="shared" si="120"/>
        <v>#REF!</v>
      </c>
      <c r="E7546" s="2" t="s">
        <v>81</v>
      </c>
    </row>
    <row r="7547" spans="1:5" x14ac:dyDescent="0.2">
      <c r="A7547">
        <f t="shared" si="121"/>
        <v>7486</v>
      </c>
      <c r="B7547" s="138" t="e">
        <f>#REF!</f>
        <v>#REF!</v>
      </c>
      <c r="D7547" s="2" t="e">
        <f t="shared" si="120"/>
        <v>#REF!</v>
      </c>
      <c r="E7547" s="2" t="s">
        <v>81</v>
      </c>
    </row>
    <row r="7548" spans="1:5" x14ac:dyDescent="0.2">
      <c r="A7548">
        <f t="shared" si="121"/>
        <v>7487</v>
      </c>
      <c r="B7548" s="138" t="e">
        <f>#REF!</f>
        <v>#REF!</v>
      </c>
      <c r="D7548" s="2" t="e">
        <f t="shared" si="120"/>
        <v>#REF!</v>
      </c>
      <c r="E7548" s="2" t="s">
        <v>81</v>
      </c>
    </row>
    <row r="7549" spans="1:5" x14ac:dyDescent="0.2">
      <c r="A7549">
        <f t="shared" si="121"/>
        <v>7488</v>
      </c>
      <c r="B7549" s="138" t="e">
        <f>#REF!</f>
        <v>#REF!</v>
      </c>
      <c r="D7549" s="2" t="e">
        <f t="shared" si="120"/>
        <v>#REF!</v>
      </c>
      <c r="E7549" s="2" t="s">
        <v>81</v>
      </c>
    </row>
    <row r="7550" spans="1:5" x14ac:dyDescent="0.2">
      <c r="A7550">
        <f t="shared" si="121"/>
        <v>7489</v>
      </c>
      <c r="B7550" s="138" t="e">
        <f>#REF!</f>
        <v>#REF!</v>
      </c>
      <c r="D7550" s="2" t="e">
        <f t="shared" si="120"/>
        <v>#REF!</v>
      </c>
      <c r="E7550" s="2" t="s">
        <v>81</v>
      </c>
    </row>
    <row r="7551" spans="1:5" x14ac:dyDescent="0.2">
      <c r="A7551">
        <f t="shared" si="121"/>
        <v>7490</v>
      </c>
      <c r="B7551" s="138" t="e">
        <f>#REF!</f>
        <v>#REF!</v>
      </c>
      <c r="D7551" s="2" t="e">
        <f t="shared" ref="D7551:D7614" si="122">IF(ISBLANK(B7551),"OK",IF(A7551-B7551=0,"OK","Error?"))</f>
        <v>#REF!</v>
      </c>
      <c r="E7551" s="2" t="s">
        <v>81</v>
      </c>
    </row>
    <row r="7552" spans="1:5" x14ac:dyDescent="0.2">
      <c r="A7552">
        <f t="shared" si="121"/>
        <v>7491</v>
      </c>
      <c r="B7552" s="138" t="e">
        <f>#REF!</f>
        <v>#REF!</v>
      </c>
      <c r="D7552" s="2" t="e">
        <f t="shared" si="122"/>
        <v>#REF!</v>
      </c>
      <c r="E7552" s="2" t="s">
        <v>81</v>
      </c>
    </row>
    <row r="7553" spans="1:5" x14ac:dyDescent="0.2">
      <c r="A7553">
        <f t="shared" si="121"/>
        <v>7492</v>
      </c>
      <c r="B7553" s="138" t="e">
        <f>#REF!</f>
        <v>#REF!</v>
      </c>
      <c r="D7553" s="2" t="e">
        <f t="shared" si="122"/>
        <v>#REF!</v>
      </c>
      <c r="E7553" s="2" t="s">
        <v>81</v>
      </c>
    </row>
    <row r="7554" spans="1:5" x14ac:dyDescent="0.2">
      <c r="A7554">
        <f t="shared" si="121"/>
        <v>7493</v>
      </c>
      <c r="B7554" s="138" t="e">
        <f>#REF!</f>
        <v>#REF!</v>
      </c>
      <c r="D7554" s="2" t="e">
        <f t="shared" si="122"/>
        <v>#REF!</v>
      </c>
      <c r="E7554" s="2" t="s">
        <v>81</v>
      </c>
    </row>
    <row r="7555" spans="1:5" x14ac:dyDescent="0.2">
      <c r="A7555">
        <f t="shared" si="121"/>
        <v>7494</v>
      </c>
      <c r="B7555" s="138" t="e">
        <f>#REF!</f>
        <v>#REF!</v>
      </c>
      <c r="D7555" s="2" t="e">
        <f t="shared" si="122"/>
        <v>#REF!</v>
      </c>
      <c r="E7555" s="2" t="s">
        <v>81</v>
      </c>
    </row>
    <row r="7556" spans="1:5" x14ac:dyDescent="0.2">
      <c r="A7556">
        <f t="shared" si="121"/>
        <v>7495</v>
      </c>
      <c r="B7556" s="138" t="e">
        <f>#REF!</f>
        <v>#REF!</v>
      </c>
      <c r="D7556" s="2" t="e">
        <f t="shared" si="122"/>
        <v>#REF!</v>
      </c>
      <c r="E7556" s="2" t="s">
        <v>81</v>
      </c>
    </row>
    <row r="7557" spans="1:5" x14ac:dyDescent="0.2">
      <c r="A7557">
        <f t="shared" si="121"/>
        <v>7496</v>
      </c>
      <c r="B7557" s="138" t="e">
        <f>#REF!</f>
        <v>#REF!</v>
      </c>
      <c r="D7557" s="2" t="e">
        <f t="shared" si="122"/>
        <v>#REF!</v>
      </c>
      <c r="E7557" s="2" t="s">
        <v>81</v>
      </c>
    </row>
    <row r="7558" spans="1:5" x14ac:dyDescent="0.2">
      <c r="A7558">
        <f t="shared" si="121"/>
        <v>7497</v>
      </c>
      <c r="B7558" s="138" t="e">
        <f>#REF!</f>
        <v>#REF!</v>
      </c>
      <c r="D7558" s="2" t="e">
        <f t="shared" si="122"/>
        <v>#REF!</v>
      </c>
      <c r="E7558" s="2" t="s">
        <v>81</v>
      </c>
    </row>
    <row r="7559" spans="1:5" x14ac:dyDescent="0.2">
      <c r="A7559">
        <f t="shared" si="121"/>
        <v>7498</v>
      </c>
      <c r="B7559" s="138" t="e">
        <f>#REF!</f>
        <v>#REF!</v>
      </c>
      <c r="D7559" s="2" t="e">
        <f t="shared" si="122"/>
        <v>#REF!</v>
      </c>
      <c r="E7559" s="2" t="s">
        <v>81</v>
      </c>
    </row>
    <row r="7560" spans="1:5" x14ac:dyDescent="0.2">
      <c r="A7560">
        <f t="shared" si="121"/>
        <v>7499</v>
      </c>
      <c r="B7560" s="138" t="e">
        <f>#REF!</f>
        <v>#REF!</v>
      </c>
      <c r="D7560" s="2" t="e">
        <f t="shared" si="122"/>
        <v>#REF!</v>
      </c>
      <c r="E7560" s="2" t="s">
        <v>81</v>
      </c>
    </row>
    <row r="7561" spans="1:5" x14ac:dyDescent="0.2">
      <c r="A7561">
        <f t="shared" si="121"/>
        <v>7500</v>
      </c>
      <c r="B7561" s="138" t="e">
        <f>#REF!</f>
        <v>#REF!</v>
      </c>
      <c r="D7561" s="2" t="e">
        <f t="shared" si="122"/>
        <v>#REF!</v>
      </c>
      <c r="E7561" s="2" t="s">
        <v>81</v>
      </c>
    </row>
    <row r="7562" spans="1:5" x14ac:dyDescent="0.2">
      <c r="A7562">
        <f t="shared" si="121"/>
        <v>7501</v>
      </c>
      <c r="B7562" s="138" t="e">
        <f>#REF!</f>
        <v>#REF!</v>
      </c>
      <c r="D7562" s="2" t="e">
        <f t="shared" si="122"/>
        <v>#REF!</v>
      </c>
      <c r="E7562" s="2" t="s">
        <v>81</v>
      </c>
    </row>
    <row r="7563" spans="1:5" x14ac:dyDescent="0.2">
      <c r="A7563">
        <f t="shared" si="121"/>
        <v>7502</v>
      </c>
      <c r="B7563" s="138" t="e">
        <f>#REF!</f>
        <v>#REF!</v>
      </c>
      <c r="D7563" s="2" t="e">
        <f t="shared" si="122"/>
        <v>#REF!</v>
      </c>
      <c r="E7563" s="2" t="s">
        <v>81</v>
      </c>
    </row>
    <row r="7564" spans="1:5" x14ac:dyDescent="0.2">
      <c r="A7564">
        <f t="shared" si="121"/>
        <v>7503</v>
      </c>
      <c r="B7564" s="138" t="e">
        <f>#REF!</f>
        <v>#REF!</v>
      </c>
      <c r="D7564" s="2" t="e">
        <f t="shared" si="122"/>
        <v>#REF!</v>
      </c>
      <c r="E7564" s="2" t="s">
        <v>81</v>
      </c>
    </row>
    <row r="7565" spans="1:5" x14ac:dyDescent="0.2">
      <c r="A7565">
        <f t="shared" si="121"/>
        <v>7504</v>
      </c>
      <c r="B7565" s="138" t="e">
        <f>#REF!</f>
        <v>#REF!</v>
      </c>
      <c r="D7565" s="2" t="e">
        <f t="shared" si="122"/>
        <v>#REF!</v>
      </c>
      <c r="E7565" s="2" t="s">
        <v>81</v>
      </c>
    </row>
    <row r="7566" spans="1:5" x14ac:dyDescent="0.2">
      <c r="A7566">
        <f t="shared" ref="A7566:A7629" si="123">A7565+1</f>
        <v>7505</v>
      </c>
      <c r="B7566" s="138" t="e">
        <f>#REF!</f>
        <v>#REF!</v>
      </c>
      <c r="D7566" s="2" t="e">
        <f t="shared" si="122"/>
        <v>#REF!</v>
      </c>
      <c r="E7566" s="2" t="s">
        <v>81</v>
      </c>
    </row>
    <row r="7567" spans="1:5" x14ac:dyDescent="0.2">
      <c r="A7567">
        <f t="shared" si="123"/>
        <v>7506</v>
      </c>
      <c r="B7567" s="138" t="e">
        <f>#REF!</f>
        <v>#REF!</v>
      </c>
      <c r="D7567" s="2" t="e">
        <f t="shared" si="122"/>
        <v>#REF!</v>
      </c>
      <c r="E7567" s="2" t="s">
        <v>81</v>
      </c>
    </row>
    <row r="7568" spans="1:5" x14ac:dyDescent="0.2">
      <c r="A7568">
        <f t="shared" si="123"/>
        <v>7507</v>
      </c>
      <c r="B7568" s="138" t="e">
        <f>#REF!</f>
        <v>#REF!</v>
      </c>
      <c r="D7568" s="2" t="e">
        <f t="shared" si="122"/>
        <v>#REF!</v>
      </c>
      <c r="E7568" s="2" t="s">
        <v>81</v>
      </c>
    </row>
    <row r="7569" spans="1:5" x14ac:dyDescent="0.2">
      <c r="A7569">
        <f t="shared" si="123"/>
        <v>7508</v>
      </c>
      <c r="B7569" s="138" t="e">
        <f>#REF!</f>
        <v>#REF!</v>
      </c>
      <c r="D7569" s="2" t="e">
        <f t="shared" si="122"/>
        <v>#REF!</v>
      </c>
      <c r="E7569" s="2" t="s">
        <v>81</v>
      </c>
    </row>
    <row r="7570" spans="1:5" x14ac:dyDescent="0.2">
      <c r="A7570">
        <f t="shared" si="123"/>
        <v>7509</v>
      </c>
      <c r="B7570" s="138" t="e">
        <f>#REF!</f>
        <v>#REF!</v>
      </c>
      <c r="D7570" s="2" t="e">
        <f t="shared" si="122"/>
        <v>#REF!</v>
      </c>
      <c r="E7570" s="2" t="s">
        <v>81</v>
      </c>
    </row>
    <row r="7571" spans="1:5" x14ac:dyDescent="0.2">
      <c r="A7571">
        <f t="shared" si="123"/>
        <v>7510</v>
      </c>
      <c r="B7571" s="138" t="e">
        <f>#REF!</f>
        <v>#REF!</v>
      </c>
      <c r="D7571" s="2" t="e">
        <f t="shared" si="122"/>
        <v>#REF!</v>
      </c>
      <c r="E7571" s="2" t="s">
        <v>81</v>
      </c>
    </row>
    <row r="7572" spans="1:5" x14ac:dyDescent="0.2">
      <c r="A7572">
        <f t="shared" si="123"/>
        <v>7511</v>
      </c>
      <c r="B7572" s="138" t="e">
        <f>#REF!</f>
        <v>#REF!</v>
      </c>
      <c r="D7572" s="2" t="e">
        <f t="shared" si="122"/>
        <v>#REF!</v>
      </c>
      <c r="E7572" s="2" t="s">
        <v>81</v>
      </c>
    </row>
    <row r="7573" spans="1:5" x14ac:dyDescent="0.2">
      <c r="A7573">
        <f t="shared" si="123"/>
        <v>7512</v>
      </c>
      <c r="B7573" s="138" t="e">
        <f>#REF!</f>
        <v>#REF!</v>
      </c>
      <c r="D7573" s="2" t="e">
        <f t="shared" si="122"/>
        <v>#REF!</v>
      </c>
      <c r="E7573" s="2" t="s">
        <v>81</v>
      </c>
    </row>
    <row r="7574" spans="1:5" x14ac:dyDescent="0.2">
      <c r="A7574">
        <f t="shared" si="123"/>
        <v>7513</v>
      </c>
      <c r="B7574" s="138" t="e">
        <f>#REF!</f>
        <v>#REF!</v>
      </c>
      <c r="D7574" s="2" t="e">
        <f t="shared" si="122"/>
        <v>#REF!</v>
      </c>
      <c r="E7574" s="2" t="s">
        <v>81</v>
      </c>
    </row>
    <row r="7575" spans="1:5" x14ac:dyDescent="0.2">
      <c r="A7575">
        <f t="shared" si="123"/>
        <v>7514</v>
      </c>
      <c r="B7575" s="138" t="e">
        <f>#REF!</f>
        <v>#REF!</v>
      </c>
      <c r="D7575" s="2" t="e">
        <f t="shared" si="122"/>
        <v>#REF!</v>
      </c>
      <c r="E7575" s="2" t="s">
        <v>81</v>
      </c>
    </row>
    <row r="7576" spans="1:5" x14ac:dyDescent="0.2">
      <c r="A7576">
        <f t="shared" si="123"/>
        <v>7515</v>
      </c>
      <c r="B7576" s="138" t="e">
        <f>#REF!</f>
        <v>#REF!</v>
      </c>
      <c r="D7576" s="2" t="e">
        <f t="shared" si="122"/>
        <v>#REF!</v>
      </c>
      <c r="E7576" s="2" t="s">
        <v>81</v>
      </c>
    </row>
    <row r="7577" spans="1:5" x14ac:dyDescent="0.2">
      <c r="A7577">
        <f t="shared" si="123"/>
        <v>7516</v>
      </c>
      <c r="B7577" s="138" t="e">
        <f>#REF!</f>
        <v>#REF!</v>
      </c>
      <c r="D7577" s="2" t="e">
        <f t="shared" si="122"/>
        <v>#REF!</v>
      </c>
      <c r="E7577" s="2" t="s">
        <v>81</v>
      </c>
    </row>
    <row r="7578" spans="1:5" x14ac:dyDescent="0.2">
      <c r="A7578">
        <f t="shared" si="123"/>
        <v>7517</v>
      </c>
      <c r="B7578" s="138" t="e">
        <f>#REF!</f>
        <v>#REF!</v>
      </c>
      <c r="D7578" s="2" t="e">
        <f t="shared" si="122"/>
        <v>#REF!</v>
      </c>
      <c r="E7578" s="2" t="s">
        <v>81</v>
      </c>
    </row>
    <row r="7579" spans="1:5" x14ac:dyDescent="0.2">
      <c r="A7579">
        <f t="shared" si="123"/>
        <v>7518</v>
      </c>
      <c r="B7579" s="138" t="e">
        <f>#REF!</f>
        <v>#REF!</v>
      </c>
      <c r="D7579" s="2" t="e">
        <f t="shared" si="122"/>
        <v>#REF!</v>
      </c>
      <c r="E7579" s="2" t="s">
        <v>81</v>
      </c>
    </row>
    <row r="7580" spans="1:5" x14ac:dyDescent="0.2">
      <c r="A7580">
        <f t="shared" si="123"/>
        <v>7519</v>
      </c>
      <c r="B7580" s="138" t="e">
        <f>#REF!</f>
        <v>#REF!</v>
      </c>
      <c r="D7580" s="2" t="e">
        <f t="shared" si="122"/>
        <v>#REF!</v>
      </c>
      <c r="E7580" s="2" t="s">
        <v>81</v>
      </c>
    </row>
    <row r="7581" spans="1:5" x14ac:dyDescent="0.2">
      <c r="A7581">
        <f t="shared" si="123"/>
        <v>7520</v>
      </c>
      <c r="B7581" s="138" t="e">
        <f>#REF!</f>
        <v>#REF!</v>
      </c>
      <c r="D7581" s="2" t="e">
        <f t="shared" si="122"/>
        <v>#REF!</v>
      </c>
      <c r="E7581" s="2" t="s">
        <v>81</v>
      </c>
    </row>
    <row r="7582" spans="1:5" x14ac:dyDescent="0.2">
      <c r="A7582">
        <f t="shared" si="123"/>
        <v>7521</v>
      </c>
      <c r="B7582" s="138" t="e">
        <f>#REF!</f>
        <v>#REF!</v>
      </c>
      <c r="D7582" s="2" t="e">
        <f t="shared" si="122"/>
        <v>#REF!</v>
      </c>
      <c r="E7582" s="2" t="s">
        <v>81</v>
      </c>
    </row>
    <row r="7583" spans="1:5" x14ac:dyDescent="0.2">
      <c r="A7583">
        <f t="shared" si="123"/>
        <v>7522</v>
      </c>
      <c r="B7583" s="138" t="e">
        <f>#REF!</f>
        <v>#REF!</v>
      </c>
      <c r="D7583" s="2" t="e">
        <f t="shared" si="122"/>
        <v>#REF!</v>
      </c>
      <c r="E7583" s="2" t="s">
        <v>81</v>
      </c>
    </row>
    <row r="7584" spans="1:5" x14ac:dyDescent="0.2">
      <c r="A7584">
        <f t="shared" si="123"/>
        <v>7523</v>
      </c>
      <c r="B7584" s="138" t="e">
        <f>#REF!</f>
        <v>#REF!</v>
      </c>
      <c r="D7584" s="2" t="e">
        <f t="shared" si="122"/>
        <v>#REF!</v>
      </c>
      <c r="E7584" s="2" t="s">
        <v>81</v>
      </c>
    </row>
    <row r="7585" spans="1:5" x14ac:dyDescent="0.2">
      <c r="A7585">
        <f t="shared" si="123"/>
        <v>7524</v>
      </c>
      <c r="B7585" s="138" t="e">
        <f>#REF!</f>
        <v>#REF!</v>
      </c>
      <c r="D7585" s="2" t="e">
        <f t="shared" si="122"/>
        <v>#REF!</v>
      </c>
      <c r="E7585" s="2" t="s">
        <v>81</v>
      </c>
    </row>
    <row r="7586" spans="1:5" x14ac:dyDescent="0.2">
      <c r="A7586">
        <f t="shared" si="123"/>
        <v>7525</v>
      </c>
      <c r="B7586" s="138" t="e">
        <f>#REF!</f>
        <v>#REF!</v>
      </c>
      <c r="D7586" s="2" t="e">
        <f t="shared" si="122"/>
        <v>#REF!</v>
      </c>
      <c r="E7586" s="2" t="s">
        <v>81</v>
      </c>
    </row>
    <row r="7587" spans="1:5" x14ac:dyDescent="0.2">
      <c r="A7587">
        <f t="shared" si="123"/>
        <v>7526</v>
      </c>
      <c r="B7587" s="138" t="e">
        <f>#REF!</f>
        <v>#REF!</v>
      </c>
      <c r="D7587" s="2" t="e">
        <f t="shared" si="122"/>
        <v>#REF!</v>
      </c>
      <c r="E7587" s="2" t="s">
        <v>81</v>
      </c>
    </row>
    <row r="7588" spans="1:5" x14ac:dyDescent="0.2">
      <c r="A7588">
        <f t="shared" si="123"/>
        <v>7527</v>
      </c>
      <c r="B7588" s="138" t="e">
        <f>#REF!</f>
        <v>#REF!</v>
      </c>
      <c r="D7588" s="2" t="e">
        <f t="shared" si="122"/>
        <v>#REF!</v>
      </c>
      <c r="E7588" s="2" t="s">
        <v>81</v>
      </c>
    </row>
    <row r="7589" spans="1:5" x14ac:dyDescent="0.2">
      <c r="A7589">
        <f t="shared" si="123"/>
        <v>7528</v>
      </c>
      <c r="B7589" s="138" t="e">
        <f>#REF!</f>
        <v>#REF!</v>
      </c>
      <c r="D7589" s="2" t="e">
        <f t="shared" si="122"/>
        <v>#REF!</v>
      </c>
      <c r="E7589" s="2" t="s">
        <v>81</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0</v>
      </c>
      <c r="D7624" s="2" t="str">
        <f t="shared" si="124"/>
        <v>Error?</v>
      </c>
      <c r="E7624" s="2" t="s">
        <v>19</v>
      </c>
    </row>
    <row r="7625" spans="1:5" x14ac:dyDescent="0.2">
      <c r="A7625">
        <f t="shared" si="123"/>
        <v>7564</v>
      </c>
      <c r="B7625" s="138">
        <f>'Cap Outlay Deprec 26'!I17</f>
        <v>0</v>
      </c>
      <c r="D7625" s="2" t="str">
        <f t="shared" si="124"/>
        <v>Error?</v>
      </c>
      <c r="E7625" s="2" t="s">
        <v>19</v>
      </c>
    </row>
    <row r="7626" spans="1:5" x14ac:dyDescent="0.2">
      <c r="A7626">
        <f t="shared" si="123"/>
        <v>7565</v>
      </c>
      <c r="D7626" s="2" t="str">
        <f t="shared" si="124"/>
        <v>OK</v>
      </c>
      <c r="E7626" s="4" t="s">
        <v>1401</v>
      </c>
    </row>
    <row r="7627" spans="1:5" x14ac:dyDescent="0.2">
      <c r="A7627">
        <f t="shared" si="123"/>
        <v>7566</v>
      </c>
      <c r="D7627" s="2" t="str">
        <f t="shared" si="124"/>
        <v>OK</v>
      </c>
      <c r="E7627" s="4" t="s">
        <v>1401</v>
      </c>
    </row>
    <row r="7628" spans="1:5" x14ac:dyDescent="0.2">
      <c r="A7628">
        <f t="shared" si="123"/>
        <v>7567</v>
      </c>
      <c r="D7628" s="2" t="str">
        <f t="shared" si="124"/>
        <v>OK</v>
      </c>
      <c r="E7628" s="2" t="s">
        <v>19</v>
      </c>
    </row>
    <row r="7629" spans="1:5" x14ac:dyDescent="0.2">
      <c r="A7629">
        <f t="shared" si="123"/>
        <v>7568</v>
      </c>
      <c r="D7629" s="2" t="str">
        <f t="shared" si="124"/>
        <v>OK</v>
      </c>
      <c r="E7629" s="4" t="s">
        <v>1401</v>
      </c>
    </row>
    <row r="7630" spans="1:5" x14ac:dyDescent="0.2">
      <c r="A7630">
        <f t="shared" ref="A7630:A7650" si="125">A7629+1</f>
        <v>7569</v>
      </c>
      <c r="D7630" s="2" t="str">
        <f t="shared" si="124"/>
        <v>OK</v>
      </c>
      <c r="E7630" s="4" t="s">
        <v>1401</v>
      </c>
    </row>
    <row r="7631" spans="1:5" x14ac:dyDescent="0.2">
      <c r="A7631">
        <f t="shared" si="125"/>
        <v>7570</v>
      </c>
      <c r="B7631" s="138">
        <f>'Cap Outlay Deprec 26'!I18</f>
        <v>1751448</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1401</v>
      </c>
    </row>
    <row r="7634" spans="1:6" x14ac:dyDescent="0.2">
      <c r="A7634">
        <f t="shared" si="125"/>
        <v>7573</v>
      </c>
      <c r="D7634" s="2" t="str">
        <f t="shared" si="124"/>
        <v>OK</v>
      </c>
      <c r="E7634" s="4" t="s">
        <v>1401</v>
      </c>
    </row>
    <row r="7635" spans="1:6" x14ac:dyDescent="0.2">
      <c r="A7635">
        <f t="shared" si="125"/>
        <v>7574</v>
      </c>
      <c r="B7635" s="138" t="e">
        <f>#REF!</f>
        <v>#REF!</v>
      </c>
      <c r="D7635" s="2" t="e">
        <f t="shared" si="124"/>
        <v>#REF!</v>
      </c>
      <c r="E7635" s="2" t="s">
        <v>81</v>
      </c>
    </row>
    <row r="7636" spans="1:6" x14ac:dyDescent="0.2">
      <c r="A7636">
        <f t="shared" si="125"/>
        <v>7575</v>
      </c>
      <c r="B7636" s="138">
        <f>'Revenues 9-14'!G106</f>
        <v>0</v>
      </c>
      <c r="D7636" s="2" t="str">
        <f t="shared" si="124"/>
        <v>Error?</v>
      </c>
      <c r="E7636" s="2" t="s">
        <v>82</v>
      </c>
    </row>
    <row r="7637" spans="1:6" x14ac:dyDescent="0.2">
      <c r="A7637">
        <f t="shared" si="125"/>
        <v>7576</v>
      </c>
      <c r="B7637" s="138">
        <f>'Revenues 9-14'!H106</f>
        <v>0</v>
      </c>
      <c r="D7637" s="2" t="str">
        <f t="shared" si="124"/>
        <v>Error?</v>
      </c>
      <c r="E7637" s="2" t="s">
        <v>82</v>
      </c>
    </row>
    <row r="7638" spans="1:6" x14ac:dyDescent="0.2">
      <c r="A7638">
        <f t="shared" si="125"/>
        <v>7577</v>
      </c>
      <c r="B7638" s="138">
        <f>'Revenues 9-14'!J106</f>
        <v>0</v>
      </c>
      <c r="D7638" s="2" t="str">
        <f t="shared" si="124"/>
        <v>Error?</v>
      </c>
      <c r="E7638" s="2" t="s">
        <v>82</v>
      </c>
    </row>
    <row r="7639" spans="1:6" x14ac:dyDescent="0.2">
      <c r="A7639">
        <f t="shared" si="125"/>
        <v>7578</v>
      </c>
      <c r="B7639" s="138">
        <f>'Revenues 9-14'!K106</f>
        <v>0</v>
      </c>
      <c r="D7639" s="2" t="str">
        <f t="shared" si="124"/>
        <v>Error?</v>
      </c>
      <c r="E7639" s="2" t="s">
        <v>82</v>
      </c>
      <c r="F7639" s="2"/>
    </row>
    <row r="7640" spans="1:6" x14ac:dyDescent="0.2">
      <c r="A7640">
        <f t="shared" si="125"/>
        <v>7579</v>
      </c>
      <c r="B7640" s="138" t="e">
        <f>#REF!</f>
        <v>#REF!</v>
      </c>
      <c r="D7640" s="2" t="e">
        <f t="shared" si="124"/>
        <v>#REF!</v>
      </c>
      <c r="E7640" s="2" t="s">
        <v>81</v>
      </c>
    </row>
    <row r="7641" spans="1:6" x14ac:dyDescent="0.2">
      <c r="A7641">
        <f t="shared" si="125"/>
        <v>7580</v>
      </c>
      <c r="B7641" s="138" t="e">
        <f>#REF!</f>
        <v>#REF!</v>
      </c>
      <c r="D7641" s="2" t="e">
        <f t="shared" si="124"/>
        <v>#REF!</v>
      </c>
      <c r="E7641" s="2" t="s">
        <v>81</v>
      </c>
    </row>
    <row r="7642" spans="1:6" x14ac:dyDescent="0.2">
      <c r="A7642">
        <f t="shared" si="125"/>
        <v>7581</v>
      </c>
      <c r="B7642" s="138" t="e">
        <f>#REF!</f>
        <v>#REF!</v>
      </c>
      <c r="D7642" s="2" t="e">
        <f t="shared" si="124"/>
        <v>#REF!</v>
      </c>
      <c r="E7642" s="2" t="s">
        <v>81</v>
      </c>
    </row>
    <row r="7643" spans="1:6" x14ac:dyDescent="0.2">
      <c r="A7643">
        <f t="shared" si="125"/>
        <v>7582</v>
      </c>
      <c r="B7643" s="138" t="e">
        <f>#REF!</f>
        <v>#REF!</v>
      </c>
      <c r="D7643" s="2" t="e">
        <f t="shared" si="124"/>
        <v>#REF!</v>
      </c>
      <c r="E7643" s="2" t="s">
        <v>81</v>
      </c>
    </row>
    <row r="7644" spans="1:6" x14ac:dyDescent="0.2">
      <c r="A7644">
        <f t="shared" si="125"/>
        <v>7583</v>
      </c>
      <c r="B7644" s="138" t="e">
        <f>#REF!</f>
        <v>#REF!</v>
      </c>
      <c r="D7644" s="2" t="e">
        <f t="shared" si="124"/>
        <v>#REF!</v>
      </c>
      <c r="E7644" s="2" t="s">
        <v>81</v>
      </c>
    </row>
    <row r="7645" spans="1:6" x14ac:dyDescent="0.2">
      <c r="A7645">
        <f t="shared" si="125"/>
        <v>7584</v>
      </c>
      <c r="B7645" s="138" t="e">
        <f>#REF!</f>
        <v>#REF!</v>
      </c>
      <c r="D7645" s="2" t="e">
        <f t="shared" si="124"/>
        <v>#REF!</v>
      </c>
      <c r="E7645" s="2" t="s">
        <v>81</v>
      </c>
    </row>
    <row r="7646" spans="1:6" x14ac:dyDescent="0.2">
      <c r="A7646">
        <f t="shared" si="125"/>
        <v>7585</v>
      </c>
      <c r="B7646" s="138" t="e">
        <f>#REF!</f>
        <v>#REF!</v>
      </c>
      <c r="D7646" s="2" t="e">
        <f t="shared" si="124"/>
        <v>#REF!</v>
      </c>
      <c r="E7646" s="2" t="s">
        <v>81</v>
      </c>
    </row>
    <row r="7647" spans="1:6" x14ac:dyDescent="0.2">
      <c r="A7647">
        <f t="shared" si="125"/>
        <v>7586</v>
      </c>
      <c r="B7647" s="138" t="e">
        <f>#REF!</f>
        <v>#REF!</v>
      </c>
      <c r="D7647" s="2" t="e">
        <f t="shared" si="124"/>
        <v>#REF!</v>
      </c>
      <c r="E7647" s="2" t="s">
        <v>81</v>
      </c>
    </row>
    <row r="7648" spans="1:6" x14ac:dyDescent="0.2">
      <c r="A7648">
        <f t="shared" si="125"/>
        <v>7587</v>
      </c>
      <c r="B7648" s="138" t="e">
        <f>#REF!</f>
        <v>#REF!</v>
      </c>
      <c r="D7648" s="2" t="e">
        <f t="shared" si="124"/>
        <v>#REF!</v>
      </c>
      <c r="E7648" s="2" t="s">
        <v>81</v>
      </c>
    </row>
    <row r="7649" spans="1:5" x14ac:dyDescent="0.2">
      <c r="A7649">
        <f t="shared" si="125"/>
        <v>7588</v>
      </c>
      <c r="B7649" s="138" t="e">
        <f>#REF!</f>
        <v>#REF!</v>
      </c>
      <c r="D7649" s="2" t="e">
        <f t="shared" si="124"/>
        <v>#REF!</v>
      </c>
      <c r="E7649" s="2" t="s">
        <v>81</v>
      </c>
    </row>
    <row r="7650" spans="1:5" x14ac:dyDescent="0.2">
      <c r="A7650">
        <f t="shared" si="125"/>
        <v>7589</v>
      </c>
      <c r="B7650" s="138" t="e">
        <f>#REF!</f>
        <v>#REF!</v>
      </c>
      <c r="D7650" s="2" t="e">
        <f t="shared" si="124"/>
        <v>#REF!</v>
      </c>
      <c r="E7650" s="2" t="s">
        <v>81</v>
      </c>
    </row>
    <row r="7651" spans="1:5" x14ac:dyDescent="0.2">
      <c r="A7651">
        <v>7590</v>
      </c>
      <c r="B7651" s="138">
        <f>'Acct Summary 7-8'!C55</f>
        <v>0</v>
      </c>
      <c r="D7651" s="2" t="str">
        <f t="shared" si="124"/>
        <v>Error?</v>
      </c>
      <c r="E7651" s="2" t="s">
        <v>881</v>
      </c>
    </row>
    <row r="7652" spans="1:5" x14ac:dyDescent="0.2">
      <c r="A7652">
        <v>7591</v>
      </c>
      <c r="B7652" s="138">
        <f>'Acct Summary 7-8'!D55</f>
        <v>0</v>
      </c>
      <c r="D7652" s="2" t="str">
        <f t="shared" si="124"/>
        <v>Error?</v>
      </c>
      <c r="E7652" s="2" t="s">
        <v>881</v>
      </c>
    </row>
    <row r="7653" spans="1:5" x14ac:dyDescent="0.2">
      <c r="A7653">
        <v>7592</v>
      </c>
      <c r="B7653" s="138">
        <f>'Acct Summary 7-8'!H55</f>
        <v>0</v>
      </c>
      <c r="D7653" s="2" t="str">
        <f t="shared" si="124"/>
        <v>Error?</v>
      </c>
      <c r="E7653" s="2" t="s">
        <v>881</v>
      </c>
    </row>
    <row r="7654" spans="1:5" x14ac:dyDescent="0.2">
      <c r="A7654">
        <v>7593</v>
      </c>
      <c r="B7654" s="138">
        <f>'Acct Summary 7-8'!C56</f>
        <v>0</v>
      </c>
      <c r="D7654" s="2" t="str">
        <f t="shared" si="124"/>
        <v>Error?</v>
      </c>
      <c r="E7654" s="2" t="s">
        <v>881</v>
      </c>
    </row>
    <row r="7655" spans="1:5" x14ac:dyDescent="0.2">
      <c r="A7655">
        <v>7594</v>
      </c>
      <c r="B7655" s="138">
        <f>'Acct Summary 7-8'!D56</f>
        <v>0</v>
      </c>
      <c r="D7655" s="2" t="str">
        <f t="shared" si="124"/>
        <v>Error?</v>
      </c>
      <c r="E7655" s="2" t="s">
        <v>881</v>
      </c>
    </row>
    <row r="7656" spans="1:5" x14ac:dyDescent="0.2">
      <c r="A7656">
        <v>7595</v>
      </c>
      <c r="B7656" s="138">
        <f>'Acct Summary 7-8'!H56</f>
        <v>0</v>
      </c>
      <c r="D7656" s="2" t="str">
        <f t="shared" si="124"/>
        <v>Error?</v>
      </c>
      <c r="E7656" s="2" t="s">
        <v>881</v>
      </c>
    </row>
    <row r="7657" spans="1:5" x14ac:dyDescent="0.2">
      <c r="A7657">
        <v>7596</v>
      </c>
      <c r="B7657" s="138">
        <f>'Acct Summary 7-8'!C57</f>
        <v>0</v>
      </c>
      <c r="D7657" s="2" t="str">
        <f t="shared" si="124"/>
        <v>Error?</v>
      </c>
      <c r="E7657" s="2" t="s">
        <v>881</v>
      </c>
    </row>
    <row r="7658" spans="1:5" x14ac:dyDescent="0.2">
      <c r="A7658">
        <v>7597</v>
      </c>
      <c r="B7658" s="138">
        <f>'Acct Summary 7-8'!D57</f>
        <v>0</v>
      </c>
      <c r="D7658" s="2" t="str">
        <f t="shared" si="124"/>
        <v>Error?</v>
      </c>
      <c r="E7658" s="2" t="s">
        <v>881</v>
      </c>
    </row>
    <row r="7659" spans="1:5" x14ac:dyDescent="0.2">
      <c r="A7659">
        <v>7598</v>
      </c>
      <c r="B7659" s="138">
        <f>'Acct Summary 7-8'!H57</f>
        <v>0</v>
      </c>
      <c r="D7659" s="2" t="str">
        <f t="shared" si="124"/>
        <v>Error?</v>
      </c>
      <c r="E7659" s="2" t="s">
        <v>881</v>
      </c>
    </row>
    <row r="7660" spans="1:5" x14ac:dyDescent="0.2">
      <c r="A7660">
        <v>7599</v>
      </c>
      <c r="B7660" s="138">
        <f>'Acct Summary 7-8'!C59</f>
        <v>0</v>
      </c>
      <c r="D7660" s="2" t="str">
        <f t="shared" si="124"/>
        <v>Error?</v>
      </c>
      <c r="E7660" s="2" t="s">
        <v>881</v>
      </c>
    </row>
    <row r="7661" spans="1:5" x14ac:dyDescent="0.2">
      <c r="A7661">
        <v>7600</v>
      </c>
      <c r="B7661" s="138">
        <f>'Acct Summary 7-8'!D59</f>
        <v>0</v>
      </c>
      <c r="D7661" s="2" t="str">
        <f t="shared" si="124"/>
        <v>Error?</v>
      </c>
      <c r="E7661" s="2" t="s">
        <v>881</v>
      </c>
    </row>
    <row r="7662" spans="1:5" x14ac:dyDescent="0.2">
      <c r="A7662">
        <v>7601</v>
      </c>
      <c r="B7662" s="138">
        <f>'Acct Summary 7-8'!H59</f>
        <v>0</v>
      </c>
      <c r="D7662" s="2" t="str">
        <f t="shared" si="124"/>
        <v>Error?</v>
      </c>
      <c r="E7662" s="2" t="s">
        <v>881</v>
      </c>
    </row>
    <row r="7663" spans="1:5" x14ac:dyDescent="0.2">
      <c r="A7663">
        <v>7602</v>
      </c>
      <c r="B7663" s="138">
        <f>'Acct Summary 7-8'!C60</f>
        <v>0</v>
      </c>
      <c r="D7663" s="2" t="str">
        <f t="shared" si="124"/>
        <v>Error?</v>
      </c>
      <c r="E7663" s="2" t="s">
        <v>881</v>
      </c>
    </row>
    <row r="7664" spans="1:5" x14ac:dyDescent="0.2">
      <c r="A7664">
        <v>7603</v>
      </c>
      <c r="B7664" s="138">
        <f>'Acct Summary 7-8'!D60</f>
        <v>0</v>
      </c>
      <c r="D7664" s="2" t="str">
        <f t="shared" si="124"/>
        <v>Error?</v>
      </c>
      <c r="E7664" s="2" t="s">
        <v>881</v>
      </c>
    </row>
    <row r="7665" spans="1:5" x14ac:dyDescent="0.2">
      <c r="A7665">
        <v>7604</v>
      </c>
      <c r="B7665" s="138">
        <f>'Acct Summary 7-8'!H60</f>
        <v>0</v>
      </c>
      <c r="D7665" s="2" t="str">
        <f t="shared" si="124"/>
        <v>Error?</v>
      </c>
      <c r="E7665" s="2" t="s">
        <v>881</v>
      </c>
    </row>
    <row r="7666" spans="1:5" x14ac:dyDescent="0.2">
      <c r="A7666">
        <v>7605</v>
      </c>
      <c r="B7666" s="138">
        <f>'Acct Summary 7-8'!C61</f>
        <v>0</v>
      </c>
      <c r="D7666" s="2" t="str">
        <f t="shared" si="124"/>
        <v>Error?</v>
      </c>
      <c r="E7666" s="2" t="s">
        <v>881</v>
      </c>
    </row>
    <row r="7667" spans="1:5" x14ac:dyDescent="0.2">
      <c r="A7667">
        <v>7606</v>
      </c>
      <c r="B7667" s="138">
        <f>'Acct Summary 7-8'!D61</f>
        <v>0</v>
      </c>
      <c r="D7667" s="2" t="str">
        <f t="shared" si="124"/>
        <v>Error?</v>
      </c>
      <c r="E7667" s="2" t="s">
        <v>881</v>
      </c>
    </row>
    <row r="7668" spans="1:5" x14ac:dyDescent="0.2">
      <c r="A7668">
        <v>7607</v>
      </c>
      <c r="B7668" s="138">
        <f>'Acct Summary 7-8'!H61</f>
        <v>0</v>
      </c>
      <c r="D7668" s="2" t="str">
        <f t="shared" si="124"/>
        <v>Error?</v>
      </c>
      <c r="E7668" s="2" t="s">
        <v>881</v>
      </c>
    </row>
    <row r="7669" spans="1:5" x14ac:dyDescent="0.2">
      <c r="A7669">
        <v>7608</v>
      </c>
      <c r="B7669" s="138">
        <f>'Acct Summary 7-8'!C63</f>
        <v>0</v>
      </c>
      <c r="D7669" s="2" t="str">
        <f t="shared" si="124"/>
        <v>Error?</v>
      </c>
      <c r="E7669" s="2" t="s">
        <v>881</v>
      </c>
    </row>
    <row r="7670" spans="1:5" x14ac:dyDescent="0.2">
      <c r="A7670">
        <v>7609</v>
      </c>
      <c r="B7670" s="138">
        <f>'Acct Summary 7-8'!D63</f>
        <v>0</v>
      </c>
      <c r="D7670" s="2" t="str">
        <f t="shared" si="124"/>
        <v>Error?</v>
      </c>
      <c r="E7670" s="2" t="s">
        <v>881</v>
      </c>
    </row>
    <row r="7671" spans="1:5" x14ac:dyDescent="0.2">
      <c r="A7671">
        <v>7610</v>
      </c>
      <c r="B7671" s="138">
        <f>'Acct Summary 7-8'!C64</f>
        <v>0</v>
      </c>
      <c r="D7671" s="2" t="str">
        <f t="shared" si="124"/>
        <v>Error?</v>
      </c>
      <c r="E7671" s="2" t="s">
        <v>881</v>
      </c>
    </row>
    <row r="7672" spans="1:5" x14ac:dyDescent="0.2">
      <c r="A7672">
        <v>7611</v>
      </c>
      <c r="B7672" s="138">
        <f>'Acct Summary 7-8'!D64</f>
        <v>0</v>
      </c>
      <c r="D7672" s="2" t="str">
        <f t="shared" si="124"/>
        <v>Error?</v>
      </c>
      <c r="E7672" s="2" t="s">
        <v>881</v>
      </c>
    </row>
    <row r="7673" spans="1:5" x14ac:dyDescent="0.2">
      <c r="A7673">
        <v>7612</v>
      </c>
      <c r="B7673" s="138">
        <f>'Acct Summary 7-8'!C65</f>
        <v>0</v>
      </c>
      <c r="D7673" s="2" t="str">
        <f t="shared" si="124"/>
        <v>Error?</v>
      </c>
      <c r="E7673" s="2" t="s">
        <v>881</v>
      </c>
    </row>
    <row r="7674" spans="1:5" x14ac:dyDescent="0.2">
      <c r="A7674">
        <v>7613</v>
      </c>
      <c r="B7674" s="138">
        <f>'Acct Summary 7-8'!D65</f>
        <v>0</v>
      </c>
      <c r="D7674" s="2" t="str">
        <f t="shared" si="124"/>
        <v>Error?</v>
      </c>
      <c r="E7674" s="2" t="s">
        <v>881</v>
      </c>
    </row>
    <row r="7675" spans="1:5" x14ac:dyDescent="0.2">
      <c r="A7675">
        <v>7614</v>
      </c>
      <c r="B7675" s="138">
        <f>'Acct Summary 7-8'!C67</f>
        <v>0</v>
      </c>
      <c r="D7675" s="2" t="str">
        <f t="shared" si="124"/>
        <v>Error?</v>
      </c>
      <c r="E7675" s="2" t="s">
        <v>881</v>
      </c>
    </row>
    <row r="7676" spans="1:5" x14ac:dyDescent="0.2">
      <c r="A7676">
        <v>7615</v>
      </c>
      <c r="B7676" s="138">
        <f>'Acct Summary 7-8'!D67</f>
        <v>0</v>
      </c>
      <c r="D7676" s="2" t="str">
        <f t="shared" si="124"/>
        <v>Error?</v>
      </c>
      <c r="E7676" s="2" t="s">
        <v>881</v>
      </c>
    </row>
    <row r="7677" spans="1:5" x14ac:dyDescent="0.2">
      <c r="A7677">
        <v>7616</v>
      </c>
      <c r="B7677" s="138">
        <f>'Acct Summary 7-8'!C68</f>
        <v>0</v>
      </c>
      <c r="D7677" s="2" t="str">
        <f t="shared" si="124"/>
        <v>Error?</v>
      </c>
      <c r="E7677" s="2" t="s">
        <v>881</v>
      </c>
    </row>
    <row r="7678" spans="1:5" x14ac:dyDescent="0.2">
      <c r="A7678">
        <v>7617</v>
      </c>
      <c r="B7678" s="138">
        <f>'Acct Summary 7-8'!D68</f>
        <v>0</v>
      </c>
      <c r="D7678" s="2" t="str">
        <f t="shared" si="124"/>
        <v>Error?</v>
      </c>
      <c r="E7678" s="2" t="s">
        <v>881</v>
      </c>
    </row>
    <row r="7679" spans="1:5" x14ac:dyDescent="0.2">
      <c r="A7679">
        <v>7618</v>
      </c>
      <c r="B7679" s="138">
        <f>'Acct Summary 7-8'!C69</f>
        <v>0</v>
      </c>
      <c r="D7679" s="2" t="str">
        <f t="shared" ref="D7679:D7742" si="126">IF(ISBLANK(B7679),"OK",IF(A7679-B7679=0,"OK","Error?"))</f>
        <v>Error?</v>
      </c>
      <c r="E7679" s="2" t="s">
        <v>881</v>
      </c>
    </row>
    <row r="7680" spans="1:5" x14ac:dyDescent="0.2">
      <c r="A7680">
        <v>7619</v>
      </c>
      <c r="B7680" s="138">
        <f>'Acct Summary 7-8'!D69</f>
        <v>0</v>
      </c>
      <c r="D7680" s="2" t="str">
        <f t="shared" si="126"/>
        <v>Error?</v>
      </c>
      <c r="E7680" s="2" t="s">
        <v>881</v>
      </c>
    </row>
    <row r="7681" spans="1:5" x14ac:dyDescent="0.2">
      <c r="A7681">
        <v>7620</v>
      </c>
      <c r="B7681" s="138">
        <f>'Acct Summary 7-8'!C71</f>
        <v>0</v>
      </c>
      <c r="D7681" s="2" t="str">
        <f t="shared" si="126"/>
        <v>Error?</v>
      </c>
      <c r="E7681" s="2" t="s">
        <v>881</v>
      </c>
    </row>
    <row r="7682" spans="1:5" x14ac:dyDescent="0.2">
      <c r="A7682">
        <v>7621</v>
      </c>
      <c r="B7682" s="138">
        <f>'Acct Summary 7-8'!D71</f>
        <v>0</v>
      </c>
      <c r="D7682" s="2" t="str">
        <f t="shared" si="126"/>
        <v>Error?</v>
      </c>
      <c r="E7682" s="2" t="s">
        <v>881</v>
      </c>
    </row>
    <row r="7683" spans="1:5" x14ac:dyDescent="0.2">
      <c r="A7683">
        <v>7622</v>
      </c>
      <c r="B7683" s="138">
        <f>'Acct Summary 7-8'!C72</f>
        <v>0</v>
      </c>
      <c r="D7683" s="2" t="str">
        <f t="shared" si="126"/>
        <v>Error?</v>
      </c>
      <c r="E7683" s="2" t="s">
        <v>881</v>
      </c>
    </row>
    <row r="7684" spans="1:5" x14ac:dyDescent="0.2">
      <c r="A7684">
        <v>7623</v>
      </c>
      <c r="B7684" s="138">
        <f>'Acct Summary 7-8'!D72</f>
        <v>0</v>
      </c>
      <c r="D7684" s="2" t="str">
        <f t="shared" si="126"/>
        <v>Error?</v>
      </c>
      <c r="E7684" s="2" t="s">
        <v>881</v>
      </c>
    </row>
    <row r="7685" spans="1:5" x14ac:dyDescent="0.2">
      <c r="A7685">
        <v>7624</v>
      </c>
      <c r="B7685" s="138">
        <f>'Acct Summary 7-8'!C73</f>
        <v>0</v>
      </c>
      <c r="D7685" s="2" t="str">
        <f t="shared" si="126"/>
        <v>Error?</v>
      </c>
      <c r="E7685" s="2" t="s">
        <v>881</v>
      </c>
    </row>
    <row r="7686" spans="1:5" x14ac:dyDescent="0.2">
      <c r="A7686">
        <v>7625</v>
      </c>
      <c r="B7686" s="138">
        <f>'Acct Summary 7-8'!D73</f>
        <v>0</v>
      </c>
      <c r="D7686" s="2" t="str">
        <f t="shared" si="126"/>
        <v>Error?</v>
      </c>
      <c r="E7686" s="2" t="s">
        <v>881</v>
      </c>
    </row>
    <row r="7687" spans="1:5" x14ac:dyDescent="0.2">
      <c r="A7687">
        <v>7626</v>
      </c>
      <c r="B7687" s="138">
        <f>'Revenues 9-14'!C199</f>
        <v>0</v>
      </c>
      <c r="D7687" s="2" t="str">
        <f t="shared" si="126"/>
        <v>Error?</v>
      </c>
      <c r="E7687" s="2" t="s">
        <v>881</v>
      </c>
    </row>
    <row r="7688" spans="1:5" x14ac:dyDescent="0.2">
      <c r="A7688">
        <v>7627</v>
      </c>
      <c r="B7688" s="138">
        <f>'Expenditures 15-22'!C328</f>
        <v>0</v>
      </c>
      <c r="D7688" s="2" t="str">
        <f t="shared" si="126"/>
        <v>Error?</v>
      </c>
      <c r="E7688" s="2" t="s">
        <v>881</v>
      </c>
    </row>
    <row r="7689" spans="1:5" x14ac:dyDescent="0.2">
      <c r="A7689">
        <v>7628</v>
      </c>
      <c r="B7689" s="138">
        <f>'Expenditures 15-22'!D328</f>
        <v>0</v>
      </c>
      <c r="D7689" s="2" t="str">
        <f t="shared" si="126"/>
        <v>Error?</v>
      </c>
      <c r="E7689" s="2" t="s">
        <v>881</v>
      </c>
    </row>
    <row r="7690" spans="1:5" x14ac:dyDescent="0.2">
      <c r="A7690">
        <v>7629</v>
      </c>
      <c r="B7690" s="138">
        <f>'Expenditures 15-22'!E328</f>
        <v>75498</v>
      </c>
      <c r="D7690" s="2" t="str">
        <f t="shared" si="126"/>
        <v>Error?</v>
      </c>
      <c r="E7690" s="2" t="s">
        <v>881</v>
      </c>
    </row>
    <row r="7691" spans="1:5" x14ac:dyDescent="0.2">
      <c r="A7691">
        <v>7630</v>
      </c>
      <c r="B7691" s="138">
        <f>'Expenditures 15-22'!F328</f>
        <v>0</v>
      </c>
      <c r="D7691" s="2" t="str">
        <f t="shared" si="126"/>
        <v>Error?</v>
      </c>
      <c r="E7691" s="2" t="s">
        <v>881</v>
      </c>
    </row>
    <row r="7692" spans="1:5" x14ac:dyDescent="0.2">
      <c r="A7692">
        <v>7631</v>
      </c>
      <c r="B7692" s="138">
        <f>'Expenditures 15-22'!G328</f>
        <v>0</v>
      </c>
      <c r="D7692" s="2" t="str">
        <f t="shared" si="126"/>
        <v>Error?</v>
      </c>
      <c r="E7692" s="2" t="s">
        <v>881</v>
      </c>
    </row>
    <row r="7693" spans="1:5" x14ac:dyDescent="0.2">
      <c r="A7693">
        <v>7632</v>
      </c>
      <c r="B7693" s="138">
        <f>'Expenditures 15-22'!H328</f>
        <v>0</v>
      </c>
      <c r="D7693" s="2" t="str">
        <f t="shared" si="126"/>
        <v>Error?</v>
      </c>
      <c r="E7693" s="2" t="s">
        <v>881</v>
      </c>
    </row>
    <row r="7694" spans="1:5" x14ac:dyDescent="0.2">
      <c r="A7694">
        <v>7633</v>
      </c>
      <c r="B7694" s="138">
        <f>'Expenditures 15-22'!I328</f>
        <v>0</v>
      </c>
      <c r="D7694" s="2" t="str">
        <f t="shared" si="126"/>
        <v>Error?</v>
      </c>
      <c r="E7694" s="2" t="s">
        <v>881</v>
      </c>
    </row>
    <row r="7695" spans="1:5" x14ac:dyDescent="0.2">
      <c r="A7695">
        <v>7634</v>
      </c>
      <c r="B7695" s="138">
        <f>'Expenditures 15-22'!J328</f>
        <v>0</v>
      </c>
      <c r="D7695" s="2" t="str">
        <f t="shared" si="126"/>
        <v>Error?</v>
      </c>
      <c r="E7695" s="2" t="s">
        <v>881</v>
      </c>
    </row>
    <row r="7696" spans="1:5" x14ac:dyDescent="0.2">
      <c r="A7696">
        <v>7635</v>
      </c>
      <c r="B7696" s="138">
        <f>'Expenditures 15-22'!K328</f>
        <v>75498</v>
      </c>
      <c r="D7696" s="2" t="str">
        <f t="shared" si="126"/>
        <v>Error?</v>
      </c>
      <c r="E7696" s="2" t="s">
        <v>881</v>
      </c>
    </row>
    <row r="7697" spans="1:5" x14ac:dyDescent="0.2">
      <c r="A7697">
        <v>7636</v>
      </c>
      <c r="B7697" s="138">
        <f>'Expenditures 15-22'!C329</f>
        <v>0</v>
      </c>
      <c r="D7697" s="2" t="str">
        <f t="shared" si="126"/>
        <v>Error?</v>
      </c>
      <c r="E7697" s="2" t="s">
        <v>881</v>
      </c>
    </row>
    <row r="7698" spans="1:5" x14ac:dyDescent="0.2">
      <c r="A7698">
        <v>7637</v>
      </c>
      <c r="B7698" s="138">
        <f>'Expenditures 15-22'!D329</f>
        <v>0</v>
      </c>
      <c r="D7698" s="2" t="str">
        <f t="shared" si="126"/>
        <v>Error?</v>
      </c>
      <c r="E7698" s="2" t="s">
        <v>881</v>
      </c>
    </row>
    <row r="7699" spans="1:5" x14ac:dyDescent="0.2">
      <c r="A7699">
        <v>7638</v>
      </c>
      <c r="B7699" s="138">
        <f>'Expenditures 15-22'!E329</f>
        <v>2216</v>
      </c>
      <c r="D7699" s="2" t="str">
        <f t="shared" si="126"/>
        <v>Error?</v>
      </c>
      <c r="E7699" s="2" t="s">
        <v>881</v>
      </c>
    </row>
    <row r="7700" spans="1:5" x14ac:dyDescent="0.2">
      <c r="A7700">
        <v>7639</v>
      </c>
      <c r="B7700" s="138">
        <f>'Expenditures 15-22'!F329</f>
        <v>0</v>
      </c>
      <c r="D7700" s="2" t="str">
        <f t="shared" si="126"/>
        <v>Error?</v>
      </c>
      <c r="E7700" s="2" t="s">
        <v>881</v>
      </c>
    </row>
    <row r="7701" spans="1:5" x14ac:dyDescent="0.2">
      <c r="A7701">
        <v>7640</v>
      </c>
      <c r="B7701" s="138">
        <f>'Expenditures 15-22'!G329</f>
        <v>0</v>
      </c>
      <c r="D7701" s="2" t="str">
        <f t="shared" si="126"/>
        <v>Error?</v>
      </c>
      <c r="E7701" s="2" t="s">
        <v>881</v>
      </c>
    </row>
    <row r="7702" spans="1:5" x14ac:dyDescent="0.2">
      <c r="A7702">
        <v>7641</v>
      </c>
      <c r="B7702" s="138">
        <f>'Expenditures 15-22'!H329</f>
        <v>0</v>
      </c>
      <c r="D7702" s="2" t="str">
        <f t="shared" si="126"/>
        <v>Error?</v>
      </c>
      <c r="E7702" s="2" t="s">
        <v>881</v>
      </c>
    </row>
    <row r="7703" spans="1:5" x14ac:dyDescent="0.2">
      <c r="A7703">
        <v>7642</v>
      </c>
      <c r="B7703" s="138">
        <f>'Expenditures 15-22'!I329</f>
        <v>0</v>
      </c>
      <c r="D7703" s="2" t="str">
        <f t="shared" si="126"/>
        <v>Error?</v>
      </c>
      <c r="E7703" s="2" t="s">
        <v>881</v>
      </c>
    </row>
    <row r="7704" spans="1:5" x14ac:dyDescent="0.2">
      <c r="A7704">
        <v>7643</v>
      </c>
      <c r="B7704" s="138">
        <f>'Expenditures 15-22'!J329</f>
        <v>0</v>
      </c>
      <c r="D7704" s="2" t="str">
        <f t="shared" si="126"/>
        <v>Error?</v>
      </c>
      <c r="E7704" s="2" t="s">
        <v>881</v>
      </c>
    </row>
    <row r="7705" spans="1:5" x14ac:dyDescent="0.2">
      <c r="A7705">
        <v>7644</v>
      </c>
      <c r="B7705" s="138">
        <f>'Expenditures 15-22'!K329</f>
        <v>2216</v>
      </c>
      <c r="D7705" s="2" t="str">
        <f t="shared" si="126"/>
        <v>Error?</v>
      </c>
      <c r="E7705" s="2" t="s">
        <v>881</v>
      </c>
    </row>
    <row r="7706" spans="1:5" x14ac:dyDescent="0.2">
      <c r="A7706">
        <v>7645</v>
      </c>
      <c r="B7706" s="138">
        <f>'Revenues 9-14'!H170</f>
        <v>0</v>
      </c>
      <c r="D7706" s="2" t="str">
        <f t="shared" si="126"/>
        <v>Error?</v>
      </c>
      <c r="E7706" s="2" t="s">
        <v>881</v>
      </c>
    </row>
    <row r="7707" spans="1:5" x14ac:dyDescent="0.2">
      <c r="A7707">
        <v>7646</v>
      </c>
      <c r="B7707" s="138">
        <f>'Expenditures 15-22'!I64</f>
        <v>0</v>
      </c>
      <c r="D7707" s="2" t="str">
        <f t="shared" si="126"/>
        <v>Error?</v>
      </c>
      <c r="E7707" s="2" t="s">
        <v>881</v>
      </c>
    </row>
    <row r="7708" spans="1:5" x14ac:dyDescent="0.2">
      <c r="A7708">
        <v>7647</v>
      </c>
      <c r="B7708" s="138">
        <f>'Rest Tax Levies-Tort Im 25'!J3</f>
        <v>0</v>
      </c>
      <c r="D7708" s="2" t="str">
        <f t="shared" si="126"/>
        <v>Error?</v>
      </c>
      <c r="E7708" s="2" t="s">
        <v>881</v>
      </c>
    </row>
    <row r="7709" spans="1:5" x14ac:dyDescent="0.2">
      <c r="A7709">
        <v>7648</v>
      </c>
      <c r="B7709" s="138">
        <f>'Rest Tax Levies-Tort Im 25'!K3</f>
        <v>0</v>
      </c>
      <c r="D7709" s="2" t="str">
        <f t="shared" si="126"/>
        <v>Error?</v>
      </c>
      <c r="E7709" s="2" t="s">
        <v>881</v>
      </c>
    </row>
    <row r="7710" spans="1:5" x14ac:dyDescent="0.2">
      <c r="A7710">
        <v>7649</v>
      </c>
      <c r="B7710" s="138">
        <f>'Rest Tax Levies-Tort Im 25'!J6</f>
        <v>0</v>
      </c>
      <c r="D7710" s="2" t="str">
        <f t="shared" si="126"/>
        <v>Error?</v>
      </c>
      <c r="E7710" s="2" t="s">
        <v>881</v>
      </c>
    </row>
    <row r="7711" spans="1:5" x14ac:dyDescent="0.2">
      <c r="A7711">
        <v>7650</v>
      </c>
      <c r="B7711" s="138">
        <f>'Rest Tax Levies-Tort Im 25'!K6</f>
        <v>0</v>
      </c>
      <c r="D7711" s="2" t="str">
        <f t="shared" si="126"/>
        <v>Error?</v>
      </c>
      <c r="E7711" s="2" t="s">
        <v>881</v>
      </c>
    </row>
    <row r="7712" spans="1:5" x14ac:dyDescent="0.2">
      <c r="A7712">
        <v>7651</v>
      </c>
      <c r="B7712" s="138">
        <f>'Rest Tax Levies-Tort Im 25'!K7</f>
        <v>0</v>
      </c>
      <c r="D7712" s="2" t="str">
        <f t="shared" si="126"/>
        <v>Error?</v>
      </c>
      <c r="E7712" s="2" t="s">
        <v>881</v>
      </c>
    </row>
    <row r="7713" spans="1:6" x14ac:dyDescent="0.2">
      <c r="A7713">
        <v>7652</v>
      </c>
      <c r="B7713" s="138">
        <f>'Rest Tax Levies-Tort Im 25'!J8</f>
        <v>1273743</v>
      </c>
      <c r="D7713" s="2" t="str">
        <f t="shared" si="126"/>
        <v>Error?</v>
      </c>
      <c r="E7713" s="2" t="s">
        <v>881</v>
      </c>
    </row>
    <row r="7714" spans="1:6" x14ac:dyDescent="0.2">
      <c r="A7714">
        <v>7653</v>
      </c>
      <c r="B7714" s="138">
        <f>'Rest Tax Levies-Tort Im 25'!K9</f>
        <v>0</v>
      </c>
      <c r="D7714" s="2" t="str">
        <f t="shared" si="126"/>
        <v>Error?</v>
      </c>
      <c r="E7714" s="2" t="s">
        <v>881</v>
      </c>
    </row>
    <row r="7715" spans="1:6" x14ac:dyDescent="0.2">
      <c r="A7715">
        <v>7654</v>
      </c>
      <c r="B7715" s="138">
        <f>'Rest Tax Levies-Tort Im 25'!J10</f>
        <v>0</v>
      </c>
      <c r="D7715" s="2" t="str">
        <f t="shared" si="126"/>
        <v>Error?</v>
      </c>
      <c r="E7715" s="2" t="s">
        <v>881</v>
      </c>
    </row>
    <row r="7716" spans="1:6" x14ac:dyDescent="0.2">
      <c r="A7716">
        <v>7655</v>
      </c>
      <c r="B7716" s="138">
        <f>'Rest Tax Levies-Tort Im 25'!K10</f>
        <v>0</v>
      </c>
      <c r="D7716" s="2" t="str">
        <f t="shared" si="126"/>
        <v>Error?</v>
      </c>
      <c r="E7716" s="2" t="s">
        <v>881</v>
      </c>
    </row>
    <row r="7717" spans="1:6" x14ac:dyDescent="0.2">
      <c r="A7717">
        <v>7656</v>
      </c>
      <c r="B7717" s="138">
        <f>'Rest Tax Levies-Tort Im 25'!J11</f>
        <v>0</v>
      </c>
      <c r="D7717" s="2" t="str">
        <f t="shared" si="126"/>
        <v>Error?</v>
      </c>
      <c r="E7717" s="2" t="s">
        <v>881</v>
      </c>
    </row>
    <row r="7718" spans="1:6" x14ac:dyDescent="0.2">
      <c r="A7718">
        <v>7657</v>
      </c>
      <c r="B7718" s="138">
        <f>'Rest Tax Levies-Tort Im 25'!J12</f>
        <v>1273743</v>
      </c>
      <c r="D7718" s="2" t="str">
        <f t="shared" si="126"/>
        <v>Error?</v>
      </c>
      <c r="E7718" s="2" t="s">
        <v>881</v>
      </c>
    </row>
    <row r="7719" spans="1:6" x14ac:dyDescent="0.2">
      <c r="A7719">
        <v>7658</v>
      </c>
      <c r="B7719" s="138">
        <f>'Rest Tax Levies-Tort Im 25'!K12</f>
        <v>0</v>
      </c>
      <c r="D7719" s="2" t="str">
        <f t="shared" si="126"/>
        <v>Error?</v>
      </c>
      <c r="E7719" s="2" t="s">
        <v>881</v>
      </c>
    </row>
    <row r="7720" spans="1:6" x14ac:dyDescent="0.2">
      <c r="A7720">
        <v>7659</v>
      </c>
      <c r="B7720" s="138">
        <f>'Rest Tax Levies-Tort Im 25'!H14</f>
        <v>300151</v>
      </c>
      <c r="D7720" s="2" t="str">
        <f t="shared" si="126"/>
        <v>Error?</v>
      </c>
      <c r="E7720" s="2" t="s">
        <v>881</v>
      </c>
    </row>
    <row r="7721" spans="1:6" x14ac:dyDescent="0.2">
      <c r="A7721">
        <v>7660</v>
      </c>
      <c r="B7721" s="138">
        <f>'Rest Tax Levies-Tort Im 25'!K14</f>
        <v>0</v>
      </c>
      <c r="D7721" s="2" t="str">
        <f t="shared" si="126"/>
        <v>Error?</v>
      </c>
      <c r="E7721" s="2" t="s">
        <v>881</v>
      </c>
    </row>
    <row r="7722" spans="1:6" x14ac:dyDescent="0.2">
      <c r="A7722">
        <v>7661</v>
      </c>
      <c r="B7722" s="138">
        <f>'Rest Tax Levies-Tort Im 25'!J15</f>
        <v>200774</v>
      </c>
      <c r="D7722" s="2" t="str">
        <f t="shared" si="126"/>
        <v>Error?</v>
      </c>
      <c r="E7722" s="2" t="s">
        <v>881</v>
      </c>
    </row>
    <row r="7723" spans="1:6" x14ac:dyDescent="0.2">
      <c r="A7723">
        <v>7662</v>
      </c>
      <c r="B7723" s="138">
        <f>'Rest Tax Levies-Tort Im 25'!K15</f>
        <v>0</v>
      </c>
      <c r="D7723" s="2" t="str">
        <f t="shared" si="126"/>
        <v>Error?</v>
      </c>
      <c r="E7723" s="2" t="s">
        <v>881</v>
      </c>
    </row>
    <row r="7724" spans="1:6" x14ac:dyDescent="0.2">
      <c r="A7724">
        <v>7663</v>
      </c>
      <c r="B7724" s="138">
        <f>'Rest Tax Levies-Tort Im 25'!J18</f>
        <v>1072969</v>
      </c>
      <c r="D7724" s="2" t="str">
        <f t="shared" si="126"/>
        <v>Error?</v>
      </c>
      <c r="E7724" s="2" t="s">
        <v>881</v>
      </c>
      <c r="F7724" s="2"/>
    </row>
    <row r="7725" spans="1:6" x14ac:dyDescent="0.2">
      <c r="A7725">
        <v>7664</v>
      </c>
      <c r="B7725" s="138">
        <f>'Rest Tax Levies-Tort Im 25'!J19</f>
        <v>0</v>
      </c>
      <c r="D7725" s="2" t="str">
        <f t="shared" si="126"/>
        <v>Error?</v>
      </c>
      <c r="E7725" s="2" t="s">
        <v>881</v>
      </c>
    </row>
    <row r="7726" spans="1:6" x14ac:dyDescent="0.2">
      <c r="A7726">
        <v>7665</v>
      </c>
      <c r="B7726" s="138">
        <f>'Rest Tax Levies-Tort Im 25'!J20</f>
        <v>0</v>
      </c>
      <c r="D7726" s="2" t="str">
        <f t="shared" si="126"/>
        <v>Error?</v>
      </c>
      <c r="E7726" s="2" t="s">
        <v>881</v>
      </c>
    </row>
    <row r="7727" spans="1:6" x14ac:dyDescent="0.2">
      <c r="A7727">
        <v>7666</v>
      </c>
      <c r="B7727" s="138">
        <f>'Rest Tax Levies-Tort Im 25'!J21</f>
        <v>1072969</v>
      </c>
      <c r="D7727" s="2" t="str">
        <f t="shared" si="126"/>
        <v>Error?</v>
      </c>
      <c r="E7727" s="2" t="s">
        <v>881</v>
      </c>
    </row>
    <row r="7728" spans="1:6" x14ac:dyDescent="0.2">
      <c r="A7728">
        <v>7667</v>
      </c>
      <c r="B7728" s="138">
        <f>'Revenues 9-14'!E103</f>
        <v>1072969</v>
      </c>
      <c r="D7728" s="2" t="str">
        <f t="shared" si="126"/>
        <v>Error?</v>
      </c>
      <c r="E7728" s="2" t="s">
        <v>881</v>
      </c>
    </row>
    <row r="7729" spans="1:6" x14ac:dyDescent="0.2">
      <c r="A7729">
        <v>7668</v>
      </c>
      <c r="B7729" s="138">
        <f>'Rest Tax Levies-Tort Im 25'!K22</f>
        <v>0</v>
      </c>
      <c r="D7729" s="2" t="str">
        <f t="shared" si="126"/>
        <v>Error?</v>
      </c>
      <c r="E7729" s="2" t="s">
        <v>881</v>
      </c>
    </row>
    <row r="7730" spans="1:6" x14ac:dyDescent="0.2">
      <c r="A7730">
        <v>7669</v>
      </c>
      <c r="B7730" s="138">
        <f>'Rest Tax Levies-Tort Im 25'!J23</f>
        <v>1273743</v>
      </c>
      <c r="D7730" s="2" t="str">
        <f t="shared" si="126"/>
        <v>Error?</v>
      </c>
      <c r="E7730" s="2" t="s">
        <v>881</v>
      </c>
    </row>
    <row r="7731" spans="1:6" x14ac:dyDescent="0.2">
      <c r="A7731">
        <v>7670</v>
      </c>
      <c r="B7731" s="138">
        <f>'Revenues 9-14'!H103</f>
        <v>200774</v>
      </c>
      <c r="D7731" s="2" t="str">
        <f t="shared" si="126"/>
        <v>Error?</v>
      </c>
      <c r="E7731" s="2" t="s">
        <v>881</v>
      </c>
    </row>
    <row r="7732" spans="1:6" x14ac:dyDescent="0.2">
      <c r="A7732">
        <v>7671</v>
      </c>
      <c r="B7732" s="138">
        <f>'Rest Tax Levies-Tort Im 25'!J24</f>
        <v>0</v>
      </c>
      <c r="D7732" s="2" t="str">
        <f t="shared" si="126"/>
        <v>Error?</v>
      </c>
      <c r="E7732" s="2" t="s">
        <v>881</v>
      </c>
    </row>
    <row r="7733" spans="1:6" x14ac:dyDescent="0.2">
      <c r="A7733">
        <v>7672</v>
      </c>
      <c r="B7733" s="138">
        <f>'Rest Tax Levies-Tort Im 25'!K24</f>
        <v>0</v>
      </c>
      <c r="D7733" s="2" t="str">
        <f t="shared" si="126"/>
        <v>Error?</v>
      </c>
      <c r="E7733" s="2" t="s">
        <v>881</v>
      </c>
    </row>
    <row r="7734" spans="1:6" x14ac:dyDescent="0.2">
      <c r="A7734">
        <v>7673</v>
      </c>
      <c r="B7734" s="138">
        <f>'Rest Tax Levies-Tort Im 25'!G25</f>
        <v>0</v>
      </c>
      <c r="D7734" s="2" t="str">
        <f t="shared" si="126"/>
        <v>Error?</v>
      </c>
      <c r="E7734" s="2" t="s">
        <v>881</v>
      </c>
    </row>
    <row r="7735" spans="1:6" x14ac:dyDescent="0.2">
      <c r="A7735">
        <v>7674</v>
      </c>
      <c r="B7735" s="138">
        <f>'Rest Tax Levies-Tort Im 25'!H25</f>
        <v>0</v>
      </c>
      <c r="D7735" s="2" t="str">
        <f t="shared" si="126"/>
        <v>Error?</v>
      </c>
      <c r="E7735" s="2" t="s">
        <v>881</v>
      </c>
    </row>
    <row r="7736" spans="1:6" x14ac:dyDescent="0.2">
      <c r="A7736">
        <v>7675</v>
      </c>
      <c r="B7736" s="138">
        <f>'Rest Tax Levies-Tort Im 25'!I25</f>
        <v>0</v>
      </c>
      <c r="D7736" s="2" t="str">
        <f t="shared" si="126"/>
        <v>Error?</v>
      </c>
      <c r="E7736" s="2" t="s">
        <v>881</v>
      </c>
    </row>
    <row r="7737" spans="1:6" x14ac:dyDescent="0.2">
      <c r="A7737">
        <v>7676</v>
      </c>
      <c r="B7737" s="138">
        <f>'Rest Tax Levies-Tort Im 25'!J25</f>
        <v>0</v>
      </c>
      <c r="D7737" s="2" t="str">
        <f t="shared" si="126"/>
        <v>Error?</v>
      </c>
      <c r="E7737" s="2" t="s">
        <v>881</v>
      </c>
    </row>
    <row r="7738" spans="1:6" x14ac:dyDescent="0.2">
      <c r="A7738">
        <v>7677</v>
      </c>
      <c r="B7738" s="138">
        <f>'Rest Tax Levies-Tort Im 25'!K25</f>
        <v>0</v>
      </c>
      <c r="D7738" s="2" t="str">
        <f t="shared" si="126"/>
        <v>Error?</v>
      </c>
      <c r="E7738" s="2" t="s">
        <v>881</v>
      </c>
    </row>
    <row r="7739" spans="1:6" x14ac:dyDescent="0.2">
      <c r="A7739">
        <v>7678</v>
      </c>
      <c r="B7739" s="138">
        <f>'Rest Tax Levies-Tort Im 25'!G26</f>
        <v>0</v>
      </c>
      <c r="D7739" s="2" t="str">
        <f t="shared" si="126"/>
        <v>Error?</v>
      </c>
      <c r="E7739" s="2" t="s">
        <v>881</v>
      </c>
    </row>
    <row r="7740" spans="1:6" x14ac:dyDescent="0.2">
      <c r="A7740">
        <v>7679</v>
      </c>
      <c r="B7740" s="138">
        <f>'Rest Tax Levies-Tort Im 25'!H26</f>
        <v>0</v>
      </c>
      <c r="D7740" s="2" t="str">
        <f t="shared" si="126"/>
        <v>Error?</v>
      </c>
      <c r="E7740" s="2" t="s">
        <v>881</v>
      </c>
    </row>
    <row r="7741" spans="1:6" x14ac:dyDescent="0.2">
      <c r="A7741">
        <v>7680</v>
      </c>
      <c r="B7741" s="138">
        <f>'Rest Tax Levies-Tort Im 25'!I26</f>
        <v>0</v>
      </c>
      <c r="D7741" s="2" t="str">
        <f t="shared" si="126"/>
        <v>Error?</v>
      </c>
      <c r="E7741" s="2" t="s">
        <v>881</v>
      </c>
    </row>
    <row r="7742" spans="1:6" x14ac:dyDescent="0.2">
      <c r="A7742">
        <v>7681</v>
      </c>
      <c r="B7742" s="138">
        <f>'Rest Tax Levies-Tort Im 25'!J26</f>
        <v>0</v>
      </c>
      <c r="D7742" s="2" t="str">
        <f t="shared" si="126"/>
        <v>Error?</v>
      </c>
      <c r="E7742" s="2" t="s">
        <v>881</v>
      </c>
    </row>
    <row r="7743" spans="1:6" x14ac:dyDescent="0.2">
      <c r="A7743">
        <v>7682</v>
      </c>
      <c r="B7743" s="138">
        <f>'Rest Tax Levies-Tort Im 25'!K26</f>
        <v>0</v>
      </c>
      <c r="D7743" s="2" t="str">
        <f t="shared" ref="D7743:D7800" si="127">IF(ISBLANK(B7743),"OK",IF(A7743-B7743=0,"OK","Error?"))</f>
        <v>Error?</v>
      </c>
      <c r="E7743" s="2" t="s">
        <v>881</v>
      </c>
    </row>
    <row r="7744" spans="1:6" x14ac:dyDescent="0.2">
      <c r="A7744">
        <v>7683</v>
      </c>
      <c r="D7744" s="2" t="str">
        <f t="shared" si="127"/>
        <v>OK</v>
      </c>
      <c r="E7744" s="4" t="s">
        <v>1401</v>
      </c>
      <c r="F7744" s="1"/>
    </row>
    <row r="7745" spans="1:6" x14ac:dyDescent="0.2">
      <c r="A7745">
        <v>7684</v>
      </c>
      <c r="B7745" s="138">
        <f>'Expenditures 15-22'!H364</f>
        <v>0</v>
      </c>
      <c r="D7745" s="2" t="str">
        <f t="shared" si="127"/>
        <v>Error?</v>
      </c>
      <c r="E7745" s="2" t="s">
        <v>881</v>
      </c>
    </row>
    <row r="7746" spans="1:6" x14ac:dyDescent="0.2">
      <c r="A7746">
        <v>7685</v>
      </c>
      <c r="B7746" s="138">
        <f>'Expenditures 15-22'!K364</f>
        <v>0</v>
      </c>
      <c r="D7746" s="2" t="str">
        <f t="shared" si="127"/>
        <v>Error?</v>
      </c>
      <c r="E7746" s="2" t="s">
        <v>881</v>
      </c>
    </row>
    <row r="7747" spans="1:6" x14ac:dyDescent="0.2">
      <c r="A7747">
        <v>7686</v>
      </c>
      <c r="B7747" s="138">
        <f>'Revenues 9-14'!E273</f>
        <v>773693</v>
      </c>
      <c r="D7747" s="2" t="str">
        <f t="shared" si="127"/>
        <v>Error?</v>
      </c>
      <c r="E7747" s="2" t="s">
        <v>881</v>
      </c>
      <c r="F7747" s="2" t="s">
        <v>882</v>
      </c>
    </row>
    <row r="7748" spans="1:6" x14ac:dyDescent="0.2">
      <c r="A7748">
        <v>7687</v>
      </c>
      <c r="B7748" s="138">
        <f>'Acct Summary 7-8'!C25</f>
        <v>0</v>
      </c>
      <c r="D7748" s="2" t="str">
        <f t="shared" si="127"/>
        <v>Error?</v>
      </c>
      <c r="E7748" s="4" t="s">
        <v>1400</v>
      </c>
    </row>
    <row r="7749" spans="1:6" x14ac:dyDescent="0.2">
      <c r="A7749">
        <v>7688</v>
      </c>
      <c r="B7749" s="138">
        <f>'Acct Summary 7-8'!D25</f>
        <v>0</v>
      </c>
      <c r="D7749" s="2" t="str">
        <f t="shared" si="127"/>
        <v>Error?</v>
      </c>
      <c r="E7749" s="4" t="s">
        <v>1400</v>
      </c>
    </row>
    <row r="7750" spans="1:6" x14ac:dyDescent="0.2">
      <c r="A7750">
        <v>7689</v>
      </c>
      <c r="B7750" s="138">
        <f>'Acct Summary 7-8'!E25</f>
        <v>0</v>
      </c>
      <c r="D7750" s="2" t="str">
        <f t="shared" si="127"/>
        <v>Error?</v>
      </c>
      <c r="E7750" s="4" t="s">
        <v>1400</v>
      </c>
    </row>
    <row r="7751" spans="1:6" x14ac:dyDescent="0.2">
      <c r="A7751">
        <v>7690</v>
      </c>
      <c r="B7751" s="138">
        <f>'Acct Summary 7-8'!F25</f>
        <v>0</v>
      </c>
      <c r="D7751" s="2" t="str">
        <f t="shared" si="127"/>
        <v>Error?</v>
      </c>
      <c r="E7751" s="4" t="s">
        <v>1400</v>
      </c>
    </row>
    <row r="7752" spans="1:6" x14ac:dyDescent="0.2">
      <c r="A7752">
        <v>7691</v>
      </c>
      <c r="B7752" s="138">
        <f>'Acct Summary 7-8'!G25</f>
        <v>0</v>
      </c>
      <c r="D7752" s="2" t="str">
        <f t="shared" si="127"/>
        <v>Error?</v>
      </c>
      <c r="E7752" s="4" t="s">
        <v>1400</v>
      </c>
    </row>
    <row r="7753" spans="1:6" x14ac:dyDescent="0.2">
      <c r="A7753">
        <v>7692</v>
      </c>
      <c r="B7753" s="138">
        <f>'Acct Summary 7-8'!H25</f>
        <v>0</v>
      </c>
      <c r="D7753" s="2" t="str">
        <f t="shared" si="127"/>
        <v>Error?</v>
      </c>
      <c r="E7753" s="4" t="s">
        <v>1400</v>
      </c>
    </row>
    <row r="7754" spans="1:6" x14ac:dyDescent="0.2">
      <c r="A7754">
        <v>7693</v>
      </c>
      <c r="B7754" s="138">
        <f>'Acct Summary 7-8'!J25</f>
        <v>0</v>
      </c>
      <c r="D7754" s="2" t="str">
        <f t="shared" si="127"/>
        <v>Error?</v>
      </c>
      <c r="E7754" s="4" t="s">
        <v>1400</v>
      </c>
    </row>
    <row r="7755" spans="1:6" x14ac:dyDescent="0.2">
      <c r="A7755">
        <v>7694</v>
      </c>
      <c r="B7755" s="138">
        <f>'Acct Summary 7-8'!K25</f>
        <v>0</v>
      </c>
      <c r="D7755" s="2" t="str">
        <f t="shared" si="127"/>
        <v>Error?</v>
      </c>
      <c r="E7755" s="4" t="s">
        <v>1400</v>
      </c>
    </row>
    <row r="7756" spans="1:6" x14ac:dyDescent="0.2">
      <c r="A7756">
        <v>7695</v>
      </c>
      <c r="B7756" s="138">
        <f>'Aud Quest 2'!E85</f>
        <v>0</v>
      </c>
      <c r="D7756" s="2" t="str">
        <f t="shared" si="127"/>
        <v>Error?</v>
      </c>
      <c r="E7756" s="4" t="s">
        <v>1400</v>
      </c>
      <c r="F7756" t="s">
        <v>1520</v>
      </c>
    </row>
    <row r="7757" spans="1:6" x14ac:dyDescent="0.2">
      <c r="A7757">
        <v>7696</v>
      </c>
      <c r="B7757" s="138">
        <f>'Aud Quest 2'!E87</f>
        <v>0</v>
      </c>
      <c r="D7757" s="2" t="str">
        <f t="shared" si="127"/>
        <v>Error?</v>
      </c>
      <c r="E7757" s="4" t="s">
        <v>1400</v>
      </c>
      <c r="F7757" t="s">
        <v>1520</v>
      </c>
    </row>
    <row r="7758" spans="1:6" x14ac:dyDescent="0.2">
      <c r="A7758">
        <v>7697</v>
      </c>
      <c r="B7758" s="138">
        <f>'Aud Quest 2'!J85</f>
        <v>1</v>
      </c>
      <c r="D7758" s="2" t="str">
        <f t="shared" si="127"/>
        <v>Error?</v>
      </c>
      <c r="E7758" s="4" t="s">
        <v>1400</v>
      </c>
    </row>
    <row r="7759" spans="1:6" x14ac:dyDescent="0.2">
      <c r="A7759">
        <v>7698</v>
      </c>
      <c r="B7759" s="138">
        <f>'Aud Quest 2'!J88</f>
        <v>0</v>
      </c>
      <c r="D7759" s="2" t="str">
        <f t="shared" si="127"/>
        <v>Error?</v>
      </c>
      <c r="E7759" s="4" t="s">
        <v>1400</v>
      </c>
    </row>
    <row r="7760" spans="1:6" x14ac:dyDescent="0.2">
      <c r="A7760">
        <v>7699</v>
      </c>
      <c r="B7760" s="138">
        <f>'Aud Quest 2'!J90</f>
        <v>1</v>
      </c>
      <c r="D7760" s="2" t="str">
        <f t="shared" si="127"/>
        <v>Error?</v>
      </c>
      <c r="E7760" s="4" t="s">
        <v>1400</v>
      </c>
    </row>
    <row r="7761" spans="1:5" x14ac:dyDescent="0.2">
      <c r="A7761">
        <v>7700</v>
      </c>
      <c r="B7761" s="138">
        <f>'Revenues 9-14'!C260</f>
        <v>0</v>
      </c>
      <c r="D7761" s="2" t="str">
        <f t="shared" si="127"/>
        <v>Error?</v>
      </c>
      <c r="E7761" s="4" t="s">
        <v>1494</v>
      </c>
    </row>
    <row r="7762" spans="1:5" x14ac:dyDescent="0.2">
      <c r="A7762">
        <v>7701</v>
      </c>
      <c r="B7762" s="138">
        <f>'Expenditures 15-22'!E6</f>
        <v>0</v>
      </c>
      <c r="D7762" s="2" t="str">
        <f t="shared" si="127"/>
        <v>Error?</v>
      </c>
      <c r="E7762" s="4" t="s">
        <v>1507</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1535</v>
      </c>
    </row>
    <row r="7765" spans="1:5" x14ac:dyDescent="0.2">
      <c r="A7765">
        <v>7704</v>
      </c>
      <c r="B7765" s="138">
        <f>'Revenues 9-14'!C261</f>
        <v>0</v>
      </c>
      <c r="D7765" s="2" t="str">
        <f t="shared" si="127"/>
        <v>Error?</v>
      </c>
      <c r="E7765" s="4" t="s">
        <v>1539</v>
      </c>
    </row>
    <row r="7766" spans="1:5" x14ac:dyDescent="0.2">
      <c r="A7766">
        <v>7705</v>
      </c>
      <c r="B7766" s="138">
        <f>'Revenues 9-14'!D261</f>
        <v>0</v>
      </c>
      <c r="D7766" s="2" t="str">
        <f t="shared" si="127"/>
        <v>Error?</v>
      </c>
      <c r="E7766" s="4" t="s">
        <v>1539</v>
      </c>
    </row>
    <row r="7767" spans="1:5" x14ac:dyDescent="0.2">
      <c r="A7767" s="129">
        <v>7706</v>
      </c>
      <c r="E7767" s="4"/>
    </row>
    <row r="7768" spans="1:5" x14ac:dyDescent="0.2">
      <c r="A7768">
        <v>7707</v>
      </c>
      <c r="B7768" s="138">
        <f>'Revenues 9-14'!F261</f>
        <v>0</v>
      </c>
      <c r="D7768" s="2" t="str">
        <f t="shared" si="127"/>
        <v>Error?</v>
      </c>
      <c r="E7768" s="4" t="s">
        <v>1539</v>
      </c>
    </row>
    <row r="7769" spans="1:5" x14ac:dyDescent="0.2">
      <c r="A7769">
        <v>7708</v>
      </c>
      <c r="B7769" s="138">
        <f>'Revenues 9-14'!G261</f>
        <v>0</v>
      </c>
      <c r="D7769" s="2" t="str">
        <f t="shared" si="127"/>
        <v>Error?</v>
      </c>
      <c r="E7769" s="4" t="s">
        <v>1539</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1540</v>
      </c>
    </row>
    <row r="7773" spans="1:5" x14ac:dyDescent="0.2">
      <c r="A7773">
        <v>7712</v>
      </c>
      <c r="B7773" s="138">
        <f>'Rest Tax Levies-Tort Im 25'!J22</f>
        <v>0</v>
      </c>
      <c r="D7773" s="2" t="str">
        <f t="shared" si="127"/>
        <v>Error?</v>
      </c>
      <c r="E7773" s="4" t="s">
        <v>1634</v>
      </c>
    </row>
    <row r="7774" spans="1:5" x14ac:dyDescent="0.2">
      <c r="A7774">
        <v>7713</v>
      </c>
      <c r="B7774" s="138">
        <f>'Expenditures 15-22'!E133</f>
        <v>0</v>
      </c>
      <c r="D7774" s="2" t="str">
        <f t="shared" si="127"/>
        <v>Error?</v>
      </c>
      <c r="E7774" s="4" t="s">
        <v>1964</v>
      </c>
    </row>
    <row r="7775" spans="1:5" x14ac:dyDescent="0.2">
      <c r="A7775">
        <v>7714</v>
      </c>
      <c r="B7775" s="138">
        <f>'Expenditures 15-22'!H133</f>
        <v>0</v>
      </c>
      <c r="D7775" s="2" t="str">
        <f t="shared" si="127"/>
        <v>Error?</v>
      </c>
      <c r="E7775" s="4" t="s">
        <v>1964</v>
      </c>
    </row>
    <row r="7776" spans="1:5" x14ac:dyDescent="0.2">
      <c r="A7776">
        <v>7715</v>
      </c>
      <c r="B7776" s="138">
        <f>'Expenditures 15-22'!K133</f>
        <v>0</v>
      </c>
      <c r="D7776" s="2" t="str">
        <f t="shared" si="127"/>
        <v>Error?</v>
      </c>
      <c r="E7776" s="4" t="s">
        <v>1964</v>
      </c>
    </row>
    <row r="7777" spans="1:5" x14ac:dyDescent="0.2">
      <c r="A7777">
        <v>7716</v>
      </c>
      <c r="B7777" s="138">
        <f>'Expenditures 15-22'!H157</f>
        <v>0</v>
      </c>
      <c r="D7777" s="2" t="str">
        <f t="shared" si="127"/>
        <v>Error?</v>
      </c>
      <c r="E7777" s="4" t="s">
        <v>1964</v>
      </c>
    </row>
    <row r="7778" spans="1:5" x14ac:dyDescent="0.2">
      <c r="A7778">
        <v>7717</v>
      </c>
      <c r="B7778" s="138">
        <f>'Expenditures 15-22'!K157</f>
        <v>0</v>
      </c>
      <c r="D7778" s="2" t="str">
        <f t="shared" si="127"/>
        <v>Error?</v>
      </c>
      <c r="E7778" s="4" t="s">
        <v>1964</v>
      </c>
    </row>
    <row r="7779" spans="1:5" x14ac:dyDescent="0.2">
      <c r="A7779">
        <v>7718</v>
      </c>
      <c r="B7779" s="138">
        <f>'Expenditures 15-22'!H158</f>
        <v>0</v>
      </c>
      <c r="D7779" s="2" t="str">
        <f t="shared" si="127"/>
        <v>Error?</v>
      </c>
      <c r="E7779" s="4" t="s">
        <v>1964</v>
      </c>
    </row>
    <row r="7780" spans="1:5" x14ac:dyDescent="0.2">
      <c r="A7780">
        <v>7719</v>
      </c>
      <c r="B7780" s="138">
        <f>'Expenditures 15-22'!K158</f>
        <v>0</v>
      </c>
      <c r="D7780" s="2" t="str">
        <f t="shared" si="127"/>
        <v>Error?</v>
      </c>
      <c r="E7780" s="4" t="s">
        <v>1964</v>
      </c>
    </row>
    <row r="7781" spans="1:5" x14ac:dyDescent="0.2">
      <c r="A7781">
        <v>7720</v>
      </c>
      <c r="B7781" s="138">
        <f>'Expenditures 15-22'!H159</f>
        <v>0</v>
      </c>
      <c r="D7781" s="2" t="str">
        <f t="shared" si="127"/>
        <v>Error?</v>
      </c>
      <c r="E7781" s="4" t="s">
        <v>1964</v>
      </c>
    </row>
    <row r="7782" spans="1:5" x14ac:dyDescent="0.2">
      <c r="A7782">
        <v>7721</v>
      </c>
      <c r="B7782" s="138">
        <f>'Expenditures 15-22'!K159</f>
        <v>0</v>
      </c>
      <c r="D7782" s="2" t="str">
        <f t="shared" si="127"/>
        <v>Error?</v>
      </c>
      <c r="E7782" s="4" t="s">
        <v>1964</v>
      </c>
    </row>
    <row r="7783" spans="1:5" x14ac:dyDescent="0.2">
      <c r="A7783">
        <v>7722</v>
      </c>
      <c r="B7783" s="138">
        <f>'Expenditures 15-22'!D282</f>
        <v>0</v>
      </c>
      <c r="D7783" s="2" t="str">
        <f t="shared" si="127"/>
        <v>Error?</v>
      </c>
      <c r="E7783" s="4" t="s">
        <v>1964</v>
      </c>
    </row>
    <row r="7784" spans="1:5" x14ac:dyDescent="0.2">
      <c r="A7784">
        <v>7723</v>
      </c>
      <c r="B7784" s="138">
        <f>'Expenditures 15-22'!K282</f>
        <v>0</v>
      </c>
      <c r="D7784" s="2" t="str">
        <f t="shared" si="127"/>
        <v>Error?</v>
      </c>
      <c r="E7784" s="4" t="s">
        <v>1964</v>
      </c>
    </row>
    <row r="7785" spans="1:5" x14ac:dyDescent="0.2">
      <c r="A7785">
        <v>7724</v>
      </c>
      <c r="B7785" s="138">
        <f>'Expenditures 15-22'!H332</f>
        <v>0</v>
      </c>
      <c r="D7785" s="2" t="str">
        <f t="shared" si="127"/>
        <v>Error?</v>
      </c>
      <c r="E7785" s="4" t="s">
        <v>1964</v>
      </c>
    </row>
    <row r="7786" spans="1:5" x14ac:dyDescent="0.2">
      <c r="A7786">
        <v>7725</v>
      </c>
      <c r="B7786" s="138">
        <f>'Expenditures 15-22'!K332</f>
        <v>0</v>
      </c>
      <c r="D7786" s="2" t="str">
        <f t="shared" si="127"/>
        <v>Error?</v>
      </c>
      <c r="E7786" s="4" t="s">
        <v>1964</v>
      </c>
    </row>
    <row r="7787" spans="1:5" x14ac:dyDescent="0.2">
      <c r="A7787">
        <v>7726</v>
      </c>
      <c r="B7787" s="138">
        <f>'Expenditures 15-22'!H333</f>
        <v>0</v>
      </c>
      <c r="D7787" s="2" t="str">
        <f t="shared" si="127"/>
        <v>Error?</v>
      </c>
      <c r="E7787" s="4" t="s">
        <v>1964</v>
      </c>
    </row>
    <row r="7788" spans="1:5" x14ac:dyDescent="0.2">
      <c r="A7788">
        <v>7727</v>
      </c>
      <c r="B7788" s="138">
        <f>'Expenditures 15-22'!K333</f>
        <v>0</v>
      </c>
      <c r="D7788" s="2" t="str">
        <f t="shared" si="127"/>
        <v>Error?</v>
      </c>
      <c r="E7788" s="4" t="s">
        <v>1964</v>
      </c>
    </row>
    <row r="7789" spans="1:5" x14ac:dyDescent="0.2">
      <c r="A7789">
        <v>7728</v>
      </c>
      <c r="B7789" s="138">
        <f>'Expenditures 15-22'!H334</f>
        <v>0</v>
      </c>
      <c r="D7789" s="2" t="str">
        <f t="shared" si="127"/>
        <v>Error?</v>
      </c>
      <c r="E7789" s="4" t="s">
        <v>1964</v>
      </c>
    </row>
    <row r="7790" spans="1:5" x14ac:dyDescent="0.2">
      <c r="A7790">
        <v>7729</v>
      </c>
      <c r="B7790" s="138">
        <f>'Expenditures 15-22'!K334</f>
        <v>0</v>
      </c>
      <c r="D7790" s="2" t="str">
        <f t="shared" si="127"/>
        <v>Error?</v>
      </c>
      <c r="E7790" s="4" t="s">
        <v>1964</v>
      </c>
    </row>
    <row r="7791" spans="1:5" x14ac:dyDescent="0.2">
      <c r="A7791">
        <v>7730</v>
      </c>
      <c r="B7791" s="138">
        <f>'Expenditures 15-22'!H354</f>
        <v>0</v>
      </c>
      <c r="D7791" s="2" t="str">
        <f t="shared" si="127"/>
        <v>Error?</v>
      </c>
      <c r="E7791" s="4" t="s">
        <v>1964</v>
      </c>
    </row>
    <row r="7792" spans="1:5" x14ac:dyDescent="0.2">
      <c r="A7792">
        <v>7731</v>
      </c>
      <c r="B7792" s="138">
        <f>'Expenditures 15-22'!K354</f>
        <v>0</v>
      </c>
      <c r="D7792" s="2" t="str">
        <f t="shared" si="127"/>
        <v>Error?</v>
      </c>
      <c r="E7792" s="4" t="s">
        <v>1964</v>
      </c>
    </row>
    <row r="7793" spans="1:5" x14ac:dyDescent="0.2">
      <c r="A7793">
        <v>7732</v>
      </c>
      <c r="B7793" s="138">
        <f>'Expenditures 15-22'!H355</f>
        <v>0</v>
      </c>
      <c r="D7793" s="2" t="str">
        <f t="shared" si="127"/>
        <v>Error?</v>
      </c>
      <c r="E7793" s="4" t="s">
        <v>1964</v>
      </c>
    </row>
    <row r="7794" spans="1:5" x14ac:dyDescent="0.2">
      <c r="A7794">
        <v>7733</v>
      </c>
      <c r="B7794" s="138">
        <f>'Expenditures 15-22'!K355</f>
        <v>0</v>
      </c>
      <c r="D7794" s="2" t="str">
        <f t="shared" si="127"/>
        <v>Error?</v>
      </c>
      <c r="E7794" s="4" t="s">
        <v>1964</v>
      </c>
    </row>
    <row r="7795" spans="1:5" x14ac:dyDescent="0.2">
      <c r="A7795">
        <v>7734</v>
      </c>
      <c r="B7795" s="138">
        <f>'Expenditures 15-22'!E138</f>
        <v>0</v>
      </c>
      <c r="D7795" s="2" t="str">
        <f t="shared" si="127"/>
        <v>Error?</v>
      </c>
      <c r="E7795" s="4" t="s">
        <v>1964</v>
      </c>
    </row>
    <row r="7796" spans="1:5" x14ac:dyDescent="0.2">
      <c r="A7796">
        <v>7735</v>
      </c>
      <c r="B7796" s="138">
        <f>'Acct Summary 7-8'!J15</f>
        <v>0</v>
      </c>
      <c r="D7796" s="2" t="str">
        <f t="shared" si="127"/>
        <v>Error?</v>
      </c>
      <c r="E7796" s="4" t="s">
        <v>1964</v>
      </c>
    </row>
    <row r="7797" spans="1:5" x14ac:dyDescent="0.2">
      <c r="A7797">
        <v>7736</v>
      </c>
      <c r="B7797" s="138">
        <f>'Contracts Paid in CY 29'!D141</f>
        <v>0</v>
      </c>
      <c r="D7797" s="2" t="str">
        <f t="shared" si="127"/>
        <v>Error?</v>
      </c>
      <c r="E7797" s="4" t="s">
        <v>2017</v>
      </c>
    </row>
    <row r="7798" spans="1:5" x14ac:dyDescent="0.2">
      <c r="A7798">
        <v>7737</v>
      </c>
      <c r="B7798" s="138">
        <f>'Contracts Paid in CY 29'!F141</f>
        <v>0</v>
      </c>
      <c r="D7798" s="2" t="str">
        <f t="shared" si="127"/>
        <v>Error?</v>
      </c>
      <c r="E7798" s="4" t="s">
        <v>2017</v>
      </c>
    </row>
    <row r="7799" spans="1:5" x14ac:dyDescent="0.2">
      <c r="A7799">
        <v>7738</v>
      </c>
      <c r="B7799" s="138">
        <f>'Contracts Paid in CY 29'!G141</f>
        <v>0</v>
      </c>
      <c r="D7799" s="2" t="str">
        <f t="shared" si="127"/>
        <v>Error?</v>
      </c>
      <c r="E7799" s="4" t="s">
        <v>2017</v>
      </c>
    </row>
    <row r="7800" spans="1:5" x14ac:dyDescent="0.2">
      <c r="A7800">
        <v>7739</v>
      </c>
      <c r="D7800" s="2" t="str">
        <f t="shared" si="127"/>
        <v>OK</v>
      </c>
    </row>
  </sheetData>
  <sheetProtection algorithmName="SHA-512" hashValue="CXwrNVRGVXr/Zu6d9Kv1wyZI6qIjFRBAfTjnkIFxiTZColNklmcjz1qtttyQJTVgYgl5I5wtqp2zrxIFa+9GWA==" saltValue="LNXiuo/CCddag/Ub2GjqbQ==" spinCount="100000" sheet="1" objects="1" scenarios="1"/>
  <phoneticPr fontId="13"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0"/>
  <sheetViews>
    <sheetView showGridLines="0" showZeros="0" zoomScale="110" zoomScaleNormal="110" workbookViewId="0"/>
  </sheetViews>
  <sheetFormatPr defaultColWidth="9.140625" defaultRowHeight="12.75" x14ac:dyDescent="0.2"/>
  <cols>
    <col min="1" max="1" width="7.85546875" style="1181" customWidth="1"/>
    <col min="2" max="2" width="2.28515625" style="1177" customWidth="1"/>
    <col min="3" max="3" width="9.140625" style="1181"/>
    <col min="4" max="4" width="13" style="1181" customWidth="1"/>
    <col min="5" max="5" width="16" style="1181" customWidth="1"/>
    <col min="6" max="6" width="4.140625" style="1181" customWidth="1"/>
    <col min="7" max="7" width="3.7109375" style="1181" customWidth="1"/>
    <col min="8" max="8" width="9.7109375" style="1181" customWidth="1"/>
    <col min="9" max="9" width="10.7109375" style="1181" customWidth="1"/>
    <col min="10" max="10" width="5" style="1181" customWidth="1"/>
    <col min="11" max="11" width="6.5703125" style="1181" customWidth="1"/>
    <col min="12" max="12" width="12.85546875" style="1181" customWidth="1"/>
    <col min="13" max="13" width="2.7109375" style="1181" customWidth="1"/>
    <col min="14" max="14" width="13.140625" style="1181" customWidth="1"/>
    <col min="15" max="15" width="7.140625" style="1181" customWidth="1"/>
    <col min="16" max="16" width="7" style="1181" customWidth="1"/>
    <col min="17" max="17" width="9.7109375" style="1181" customWidth="1"/>
    <col min="18" max="19" width="9.85546875" style="1181" customWidth="1"/>
    <col min="20" max="16384" width="9.140625" style="1181"/>
  </cols>
  <sheetData>
    <row r="1" spans="1:29" x14ac:dyDescent="0.2">
      <c r="A1" s="1176"/>
      <c r="C1" s="1176"/>
      <c r="D1" s="1176"/>
      <c r="E1" s="1176"/>
      <c r="F1" s="1178"/>
      <c r="G1" s="1178"/>
      <c r="H1" s="1176"/>
      <c r="I1" s="1176"/>
      <c r="J1" s="1176"/>
      <c r="K1" s="1176"/>
      <c r="L1" s="1179"/>
      <c r="M1" s="1180"/>
    </row>
    <row r="2" spans="1:29" ht="13.5" customHeight="1" x14ac:dyDescent="0.2">
      <c r="A2" s="2400" t="s">
        <v>1253</v>
      </c>
      <c r="B2" s="2400"/>
      <c r="C2" s="2400"/>
      <c r="D2" s="2400"/>
      <c r="E2" s="2400"/>
      <c r="F2" s="2400"/>
      <c r="G2" s="2400"/>
      <c r="H2" s="2400"/>
      <c r="I2" s="2400"/>
      <c r="J2" s="2400"/>
      <c r="K2" s="2400"/>
      <c r="L2" s="2400"/>
    </row>
    <row r="3" spans="1:29" ht="13.5" customHeight="1" x14ac:dyDescent="0.2">
      <c r="A3" s="2431" t="s">
        <v>1252</v>
      </c>
      <c r="B3" s="2431"/>
      <c r="C3" s="2431"/>
      <c r="D3" s="2431"/>
      <c r="E3" s="2431"/>
      <c r="F3" s="2431"/>
      <c r="G3" s="2431"/>
      <c r="H3" s="2431"/>
      <c r="I3" s="2431"/>
      <c r="J3" s="2431"/>
      <c r="K3" s="2431"/>
      <c r="L3" s="2431"/>
    </row>
    <row r="4" spans="1:29" ht="13.5" customHeight="1" x14ac:dyDescent="0.2">
      <c r="A4" s="2400" t="s">
        <v>1799</v>
      </c>
      <c r="B4" s="2421"/>
      <c r="C4" s="2421"/>
      <c r="D4" s="2421"/>
      <c r="E4" s="2421"/>
      <c r="F4" s="2421"/>
      <c r="G4" s="2421"/>
      <c r="H4" s="2421"/>
      <c r="I4" s="2421"/>
      <c r="J4" s="2421"/>
      <c r="K4" s="2421"/>
      <c r="L4" s="2421"/>
    </row>
    <row r="5" spans="1:29" ht="29.85" customHeight="1" x14ac:dyDescent="0.2">
      <c r="A5" s="1182"/>
      <c r="B5" s="1183"/>
      <c r="C5" s="1182"/>
      <c r="D5" s="1182"/>
      <c r="E5" s="1182"/>
      <c r="F5" s="1182"/>
      <c r="G5" s="1182"/>
      <c r="H5" s="1182"/>
      <c r="I5" s="1182"/>
      <c r="J5" s="1182"/>
      <c r="K5" s="1182"/>
      <c r="L5" s="1182"/>
      <c r="V5" s="1184"/>
      <c r="W5" s="1184"/>
      <c r="X5" s="1184"/>
      <c r="Y5" s="1184"/>
      <c r="Z5" s="1184"/>
      <c r="AA5" s="1184"/>
      <c r="AB5" s="1184"/>
      <c r="AC5" s="1184"/>
    </row>
    <row r="6" spans="1:29" ht="13.5" customHeight="1" x14ac:dyDescent="0.2">
      <c r="A6" s="1185" t="s">
        <v>1251</v>
      </c>
      <c r="B6" s="1186"/>
      <c r="C6" s="1187"/>
      <c r="D6" s="1187"/>
      <c r="E6" s="1188" t="s">
        <v>1250</v>
      </c>
      <c r="F6" s="1189"/>
      <c r="G6" s="1190" t="s">
        <v>1249</v>
      </c>
      <c r="H6" s="1187"/>
      <c r="I6" s="1187"/>
      <c r="J6" s="1187"/>
      <c r="K6" s="1187"/>
      <c r="L6" s="1191"/>
      <c r="V6" s="1184"/>
      <c r="W6" s="1184"/>
      <c r="X6" s="1184"/>
      <c r="Y6" s="1184"/>
      <c r="Z6" s="1184"/>
      <c r="AA6" s="1184"/>
      <c r="AB6" s="1184"/>
      <c r="AC6" s="1184"/>
    </row>
    <row r="7" spans="1:29" ht="16.5" customHeight="1" x14ac:dyDescent="0.2">
      <c r="A7" s="2422" t="str">
        <f>COVER!A17</f>
        <v>RANTOUL CITY SCHOOLS</v>
      </c>
      <c r="B7" s="2423"/>
      <c r="C7" s="2423"/>
      <c r="D7" s="2424"/>
      <c r="E7" s="2425" t="str">
        <f>COVER!A13</f>
        <v>09-010-1370-02</v>
      </c>
      <c r="F7" s="2426"/>
      <c r="G7" s="2432" t="str">
        <f>COVER!T23</f>
        <v>065-018319</v>
      </c>
      <c r="H7" s="2433"/>
      <c r="I7" s="2433"/>
      <c r="J7" s="2433"/>
      <c r="K7" s="2433"/>
      <c r="L7" s="2434"/>
    </row>
    <row r="8" spans="1:29" ht="13.5" customHeight="1" x14ac:dyDescent="0.2">
      <c r="A8" s="1185" t="s">
        <v>1597</v>
      </c>
      <c r="B8" s="1186"/>
      <c r="C8" s="1187"/>
      <c r="D8" s="1187"/>
      <c r="E8" s="1192"/>
      <c r="F8" s="1191"/>
      <c r="G8" s="1193" t="s">
        <v>1248</v>
      </c>
      <c r="H8" s="1194"/>
      <c r="I8" s="1194"/>
      <c r="J8" s="1194"/>
      <c r="K8" s="1194"/>
      <c r="L8" s="1195"/>
    </row>
    <row r="9" spans="1:29" ht="13.5" customHeight="1" x14ac:dyDescent="0.2">
      <c r="A9" s="2435"/>
      <c r="B9" s="2436"/>
      <c r="C9" s="2436"/>
      <c r="D9" s="2436"/>
      <c r="E9" s="2436"/>
      <c r="F9" s="2437"/>
      <c r="G9" s="2406" t="str">
        <f>COVER!T13</f>
        <v>RUSSELL LEIGH &amp; ASSOCIATES</v>
      </c>
      <c r="H9" s="2438"/>
      <c r="I9" s="2438"/>
      <c r="J9" s="2438"/>
      <c r="K9" s="2438"/>
      <c r="L9" s="2439"/>
    </row>
    <row r="10" spans="1:29" ht="13.5" customHeight="1" x14ac:dyDescent="0.2">
      <c r="A10" s="2412" t="str">
        <f>COVER!A38</f>
        <v>Michelle Ramage</v>
      </c>
      <c r="B10" s="2413"/>
      <c r="C10" s="2413"/>
      <c r="D10" s="2413"/>
      <c r="E10" s="2413"/>
      <c r="F10" s="2414"/>
      <c r="G10" s="2406" t="str">
        <f>COVER!T17</f>
        <v>228 E MAIN ST</v>
      </c>
      <c r="H10" s="2407"/>
      <c r="I10" s="2407"/>
      <c r="J10" s="2407"/>
      <c r="K10" s="2407"/>
      <c r="L10" s="2408"/>
    </row>
    <row r="11" spans="1:29" ht="13.5" customHeight="1" x14ac:dyDescent="0.2">
      <c r="A11" s="1185" t="s">
        <v>1599</v>
      </c>
      <c r="B11" s="1186"/>
      <c r="C11" s="1187"/>
      <c r="D11" s="1192"/>
      <c r="E11" s="1187"/>
      <c r="F11" s="1191"/>
      <c r="G11" s="2406" t="str">
        <f>COVER!T19</f>
        <v>HOOPESTON</v>
      </c>
      <c r="H11" s="2407"/>
      <c r="I11" s="2407"/>
      <c r="J11" s="2407"/>
      <c r="K11" s="2407"/>
      <c r="L11" s="2408"/>
    </row>
    <row r="12" spans="1:29" ht="13.5" customHeight="1" x14ac:dyDescent="0.2">
      <c r="A12" s="2415" t="s">
        <v>1598</v>
      </c>
      <c r="B12" s="2416"/>
      <c r="C12" s="2416"/>
      <c r="D12" s="2416"/>
      <c r="E12" s="2416"/>
      <c r="F12" s="2417"/>
      <c r="G12" s="2409"/>
      <c r="H12" s="2410"/>
      <c r="I12" s="2410"/>
      <c r="J12" s="2410"/>
      <c r="K12" s="2410"/>
      <c r="L12" s="2411"/>
    </row>
    <row r="13" spans="1:29" ht="13.5" customHeight="1" x14ac:dyDescent="0.2">
      <c r="A13" s="2406"/>
      <c r="B13" s="2407"/>
      <c r="C13" s="2407"/>
      <c r="D13" s="2407"/>
      <c r="E13" s="2407"/>
      <c r="F13" s="2408"/>
      <c r="G13" s="2401" t="s">
        <v>1600</v>
      </c>
      <c r="H13" s="2402"/>
      <c r="I13" s="2418" t="str">
        <f>COVER!T25</f>
        <v>admin@russleigh.com</v>
      </c>
      <c r="J13" s="2419"/>
      <c r="K13" s="2419"/>
      <c r="L13" s="2420"/>
    </row>
    <row r="14" spans="1:29" ht="13.5" customHeight="1" x14ac:dyDescent="0.2">
      <c r="A14" s="2406" t="str">
        <f>COVER!A19</f>
        <v>400 EAST WABASH</v>
      </c>
      <c r="B14" s="2407"/>
      <c r="C14" s="2407"/>
      <c r="D14" s="2407"/>
      <c r="E14" s="2407"/>
      <c r="F14" s="2408"/>
      <c r="G14" s="1196" t="s">
        <v>1247</v>
      </c>
      <c r="H14" s="1194"/>
      <c r="I14" s="1194"/>
      <c r="J14" s="1194"/>
      <c r="K14" s="1194"/>
      <c r="L14" s="1195"/>
    </row>
    <row r="15" spans="1:29" ht="13.5" customHeight="1" x14ac:dyDescent="0.2">
      <c r="A15" s="2406" t="str">
        <f>COVER!A21</f>
        <v>RANTOUL</v>
      </c>
      <c r="B15" s="2407"/>
      <c r="C15" s="2407"/>
      <c r="D15" s="2407"/>
      <c r="E15" s="2407"/>
      <c r="F15" s="2408"/>
      <c r="G15" s="2403" t="str">
        <f>COVER!T15</f>
        <v>RUSS LEIGH</v>
      </c>
      <c r="H15" s="2404"/>
      <c r="I15" s="2404"/>
      <c r="J15" s="2404"/>
      <c r="K15" s="2404"/>
      <c r="L15" s="2405"/>
    </row>
    <row r="16" spans="1:29" ht="12.2" customHeight="1" x14ac:dyDescent="0.2">
      <c r="A16" s="2428">
        <f>COVER!A25</f>
        <v>61866</v>
      </c>
      <c r="B16" s="2429"/>
      <c r="C16" s="2429"/>
      <c r="D16" s="2429"/>
      <c r="E16" s="2429"/>
      <c r="F16" s="2430"/>
      <c r="G16" s="2440"/>
      <c r="H16" s="2441"/>
      <c r="I16" s="2441"/>
      <c r="J16" s="2441"/>
      <c r="K16" s="2441"/>
      <c r="L16" s="2442"/>
    </row>
    <row r="17" spans="1:13" ht="12.2" customHeight="1" x14ac:dyDescent="0.2">
      <c r="A17" s="2443"/>
      <c r="B17" s="2429"/>
      <c r="C17" s="2429"/>
      <c r="D17" s="2429"/>
      <c r="E17" s="2429"/>
      <c r="F17" s="2430"/>
      <c r="G17" s="1196" t="s">
        <v>1246</v>
      </c>
      <c r="H17" s="1194"/>
      <c r="I17" s="1194"/>
      <c r="J17" s="1194"/>
      <c r="K17" s="1198" t="s">
        <v>1245</v>
      </c>
      <c r="L17" s="1191"/>
      <c r="M17" s="1184"/>
    </row>
    <row r="18" spans="1:13" ht="12.2" customHeight="1" x14ac:dyDescent="0.2">
      <c r="A18" s="2412"/>
      <c r="B18" s="2413"/>
      <c r="C18" s="2413"/>
      <c r="D18" s="2413"/>
      <c r="E18" s="2413"/>
      <c r="F18" s="2414"/>
      <c r="G18" s="2422" t="str">
        <f>COVER!T21</f>
        <v>217-283-9336</v>
      </c>
      <c r="H18" s="2423"/>
      <c r="I18" s="2423"/>
      <c r="J18" s="2423"/>
      <c r="K18" s="2422" t="str">
        <f>COVER!X21</f>
        <v>217-283-9736</v>
      </c>
      <c r="L18" s="2427"/>
    </row>
    <row r="19" spans="1:13" ht="12.2" customHeight="1" x14ac:dyDescent="0.2">
      <c r="A19" s="1199"/>
      <c r="C19" s="1199"/>
      <c r="D19" s="1199"/>
      <c r="E19" s="1199"/>
      <c r="F19" s="1199"/>
      <c r="G19" s="1199"/>
      <c r="H19" s="1199"/>
      <c r="I19" s="1199"/>
      <c r="J19" s="1199"/>
      <c r="K19" s="1199"/>
      <c r="L19" s="1199"/>
    </row>
    <row r="20" spans="1:13" ht="12.2" customHeight="1" x14ac:dyDescent="0.2">
      <c r="A20" s="1199"/>
      <c r="C20" s="1199"/>
      <c r="D20" s="1199"/>
      <c r="E20" s="1199"/>
      <c r="F20" s="1199"/>
      <c r="G20" s="1199"/>
      <c r="H20" s="1199"/>
      <c r="I20" s="1199"/>
      <c r="J20" s="1199" t="s">
        <v>1231</v>
      </c>
      <c r="K20" s="1177" t="s">
        <v>1231</v>
      </c>
    </row>
    <row r="21" spans="1:13" ht="12.2" customHeight="1" x14ac:dyDescent="0.2">
      <c r="A21" s="1200" t="s">
        <v>1800</v>
      </c>
    </row>
    <row r="22" spans="1:13" ht="12.2" customHeight="1" x14ac:dyDescent="0.2">
      <c r="A22" s="1201"/>
    </row>
    <row r="23" spans="1:13" ht="12.2" customHeight="1" x14ac:dyDescent="0.2">
      <c r="A23" s="1201"/>
      <c r="B23" s="1202"/>
      <c r="C23" s="1203" t="s">
        <v>1244</v>
      </c>
    </row>
    <row r="24" spans="1:13" ht="10.15" customHeight="1" x14ac:dyDescent="0.2">
      <c r="A24" s="1201"/>
      <c r="C24" s="1203" t="s">
        <v>1243</v>
      </c>
    </row>
    <row r="25" spans="1:13" ht="9" customHeight="1" x14ac:dyDescent="0.2">
      <c r="B25" s="1204" t="s">
        <v>1231</v>
      </c>
      <c r="C25" s="1205"/>
    </row>
    <row r="26" spans="1:13" s="1199" customFormat="1" ht="12.2" customHeight="1" x14ac:dyDescent="0.2">
      <c r="B26" s="1202"/>
      <c r="C26" s="1203" t="s">
        <v>1801</v>
      </c>
    </row>
    <row r="27" spans="1:13" s="1199" customFormat="1" ht="9" customHeight="1" x14ac:dyDescent="0.2">
      <c r="B27" s="1204"/>
      <c r="C27" s="1203"/>
    </row>
    <row r="28" spans="1:13" s="1199" customFormat="1" ht="12.2" customHeight="1" x14ac:dyDescent="0.2">
      <c r="A28" s="1206"/>
      <c r="B28" s="1202"/>
      <c r="C28" s="1203" t="s">
        <v>1802</v>
      </c>
    </row>
    <row r="29" spans="1:13" s="1199" customFormat="1" ht="9" customHeight="1" x14ac:dyDescent="0.2">
      <c r="A29" s="1206"/>
      <c r="B29" s="1204"/>
      <c r="C29" s="1203"/>
    </row>
    <row r="30" spans="1:13" s="1199" customFormat="1" ht="12.2" customHeight="1" x14ac:dyDescent="0.2">
      <c r="B30" s="1202"/>
      <c r="C30" s="1203" t="s">
        <v>1643</v>
      </c>
      <c r="D30" s="1197"/>
      <c r="E30" s="1197"/>
    </row>
    <row r="31" spans="1:13" s="1199" customFormat="1" ht="9" customHeight="1" x14ac:dyDescent="0.2">
      <c r="B31" s="1204"/>
      <c r="C31" s="1203"/>
      <c r="D31" s="1197"/>
      <c r="E31" s="1197"/>
    </row>
    <row r="32" spans="1:13" s="1199" customFormat="1" ht="12.2" customHeight="1" x14ac:dyDescent="0.2">
      <c r="B32" s="1202"/>
      <c r="C32" s="1203" t="s">
        <v>1644</v>
      </c>
      <c r="D32" s="1197"/>
      <c r="E32" s="1197"/>
    </row>
    <row r="33" spans="1:8" s="1199" customFormat="1" ht="10.9" customHeight="1" x14ac:dyDescent="0.2">
      <c r="B33" s="1204"/>
      <c r="C33" s="1207" t="s">
        <v>1803</v>
      </c>
      <c r="D33" s="1197"/>
      <c r="E33" s="1197"/>
    </row>
    <row r="34" spans="1:8" ht="9" customHeight="1" x14ac:dyDescent="0.2">
      <c r="B34" s="1204"/>
      <c r="C34" s="1207"/>
    </row>
    <row r="35" spans="1:8" s="1199" customFormat="1" ht="13.5" customHeight="1" x14ac:dyDescent="0.2">
      <c r="B35" s="1202"/>
      <c r="C35" s="1203" t="s">
        <v>1645</v>
      </c>
    </row>
    <row r="36" spans="1:8" s="1199" customFormat="1" ht="10.9" customHeight="1" x14ac:dyDescent="0.2">
      <c r="B36" s="1204"/>
      <c r="C36" s="1207" t="s">
        <v>1646</v>
      </c>
    </row>
    <row r="37" spans="1:8" ht="9" customHeight="1" x14ac:dyDescent="0.2">
      <c r="B37" s="1204"/>
      <c r="C37" s="1207"/>
    </row>
    <row r="38" spans="1:8" s="1199" customFormat="1" ht="12.2" customHeight="1" x14ac:dyDescent="0.2">
      <c r="B38" s="1202"/>
      <c r="C38" s="1203" t="s">
        <v>1647</v>
      </c>
    </row>
    <row r="39" spans="1:8" ht="9" customHeight="1" x14ac:dyDescent="0.2">
      <c r="B39" s="1204"/>
      <c r="C39" s="1207"/>
    </row>
    <row r="40" spans="1:8" s="1199" customFormat="1" ht="13.5" customHeight="1" x14ac:dyDescent="0.2">
      <c r="B40" s="1202"/>
      <c r="C40" s="1203" t="s">
        <v>1648</v>
      </c>
    </row>
    <row r="41" spans="1:8" ht="9" customHeight="1" x14ac:dyDescent="0.2">
      <c r="A41" s="1208"/>
      <c r="B41" s="1204"/>
      <c r="C41" s="1207"/>
    </row>
    <row r="42" spans="1:8" s="1199" customFormat="1" ht="13.5" customHeight="1" x14ac:dyDescent="0.2">
      <c r="B42" s="1202"/>
      <c r="C42" s="1203" t="s">
        <v>1944</v>
      </c>
      <c r="D42" s="1197"/>
      <c r="E42" s="1197"/>
      <c r="F42" s="1197"/>
      <c r="G42" s="1197"/>
      <c r="H42" s="1197"/>
    </row>
    <row r="43" spans="1:8" s="1199" customFormat="1" ht="12.95" customHeight="1" x14ac:dyDescent="0.2">
      <c r="B43" s="1204"/>
      <c r="C43" s="1194"/>
      <c r="D43" s="1197"/>
      <c r="E43" s="1197"/>
      <c r="F43" s="1197"/>
      <c r="G43" s="1197"/>
      <c r="H43" s="1197"/>
    </row>
    <row r="44" spans="1:8" s="1199" customFormat="1" ht="13.5" customHeight="1" x14ac:dyDescent="0.2">
      <c r="A44" s="1200" t="s">
        <v>1242</v>
      </c>
      <c r="B44" s="1204"/>
      <c r="D44" s="1197"/>
      <c r="E44" s="1197"/>
      <c r="F44" s="1197"/>
      <c r="G44" s="1197"/>
      <c r="H44" s="1197"/>
    </row>
    <row r="45" spans="1:8" ht="12" customHeight="1" x14ac:dyDescent="0.2">
      <c r="B45" s="1204"/>
      <c r="D45" s="1209"/>
      <c r="E45" s="1209"/>
      <c r="F45" s="1209"/>
      <c r="G45" s="1209"/>
      <c r="H45" s="1209"/>
    </row>
    <row r="46" spans="1:8" s="1199" customFormat="1" ht="12.2" customHeight="1" x14ac:dyDescent="0.2">
      <c r="B46" s="1202"/>
      <c r="C46" s="1210" t="s">
        <v>1649</v>
      </c>
      <c r="D46" s="1197"/>
      <c r="E46" s="1197"/>
      <c r="F46" s="1197"/>
      <c r="G46" s="1197"/>
      <c r="H46" s="1197"/>
    </row>
    <row r="47" spans="1:8" ht="9" customHeight="1" x14ac:dyDescent="0.2"/>
    <row r="48" spans="1:8" ht="12.2" customHeight="1" x14ac:dyDescent="0.2">
      <c r="B48" s="1211"/>
      <c r="C48" s="1212" t="s">
        <v>1650</v>
      </c>
    </row>
    <row r="49" spans="1:12" ht="9" customHeight="1" x14ac:dyDescent="0.2"/>
    <row r="50" spans="1:12" ht="6" customHeight="1" x14ac:dyDescent="0.2">
      <c r="C50" s="1212"/>
    </row>
    <row r="51" spans="1:12" ht="12.2" customHeight="1" x14ac:dyDescent="0.2">
      <c r="A51" s="1214" t="s">
        <v>1804</v>
      </c>
    </row>
    <row r="52" spans="1:12" ht="12.2" customHeight="1" x14ac:dyDescent="0.2">
      <c r="A52" s="1209"/>
    </row>
    <row r="53" spans="1:12" ht="12.2" customHeight="1" x14ac:dyDescent="0.2"/>
    <row r="54" spans="1:12" ht="12.2" customHeight="1" x14ac:dyDescent="0.2"/>
    <row r="55" spans="1:12" ht="12.2" customHeight="1" x14ac:dyDescent="0.2"/>
    <row r="56" spans="1:12" ht="12.2" customHeight="1" x14ac:dyDescent="0.2">
      <c r="A56" s="1213"/>
    </row>
    <row r="59" spans="1:12" ht="12.75" customHeight="1" x14ac:dyDescent="0.2"/>
    <row r="60" spans="1:12" ht="36" customHeight="1" x14ac:dyDescent="0.2">
      <c r="L60" s="1179"/>
    </row>
  </sheetData>
  <sheetProtection sheet="1" objects="1" scenarios="1"/>
  <mergeCells count="25">
    <mergeCell ref="A18:F18"/>
    <mergeCell ref="G18:J18"/>
    <mergeCell ref="K18:L18"/>
    <mergeCell ref="A16:F16"/>
    <mergeCell ref="A3:L3"/>
    <mergeCell ref="G7:L7"/>
    <mergeCell ref="A9:F9"/>
    <mergeCell ref="G9:L9"/>
    <mergeCell ref="G16:L16"/>
    <mergeCell ref="A17:F17"/>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7"/>
  <sheetViews>
    <sheetView showGridLines="0" zoomScale="125" zoomScaleNormal="125" workbookViewId="0">
      <selection sqref="A1:D1"/>
    </sheetView>
  </sheetViews>
  <sheetFormatPr defaultColWidth="10.7109375" defaultRowHeight="11.25" x14ac:dyDescent="0.2"/>
  <cols>
    <col min="1" max="1" width="1.7109375" style="1218" customWidth="1"/>
    <col min="2" max="2" width="2.7109375" style="1222" customWidth="1"/>
    <col min="3" max="3" width="3.28515625" style="1232" customWidth="1"/>
    <col min="4" max="4" width="97.7109375" style="1222" customWidth="1"/>
    <col min="5" max="5" width="4.140625" style="1222" customWidth="1"/>
    <col min="6" max="16384" width="10.7109375" style="1222"/>
  </cols>
  <sheetData>
    <row r="1" spans="1:11" s="1215" customFormat="1" ht="12.75" x14ac:dyDescent="0.2">
      <c r="A1" s="2444" t="str">
        <f>'Single Audit Cover'!A7</f>
        <v>RANTOUL CITY SCHOOLS</v>
      </c>
      <c r="B1" s="2421"/>
      <c r="C1" s="2421"/>
      <c r="D1" s="2421"/>
    </row>
    <row r="2" spans="1:11" s="1215" customFormat="1" ht="12.75" x14ac:dyDescent="0.2">
      <c r="A2" s="2445" t="str">
        <f>'Single Audit Cover'!E7</f>
        <v>09-010-1370-02</v>
      </c>
      <c r="B2" s="2446"/>
      <c r="C2" s="2446"/>
      <c r="D2" s="2446"/>
    </row>
    <row r="3" spans="1:11" s="1215" customFormat="1" ht="12.75" x14ac:dyDescent="0.2">
      <c r="A3" s="2444" t="s">
        <v>1593</v>
      </c>
      <c r="B3" s="2421"/>
      <c r="C3" s="2421"/>
      <c r="D3" s="2421"/>
    </row>
    <row r="4" spans="1:11" s="1215" customFormat="1" ht="4.5" customHeight="1" x14ac:dyDescent="0.2">
      <c r="A4" s="1216"/>
      <c r="B4" s="1217"/>
      <c r="C4" s="1217"/>
      <c r="D4" s="1217"/>
    </row>
    <row r="5" spans="1:11" x14ac:dyDescent="0.2">
      <c r="B5" s="1219" t="s">
        <v>1594</v>
      </c>
      <c r="C5" s="1220"/>
      <c r="D5" s="1221"/>
    </row>
    <row r="6" spans="1:11" x14ac:dyDescent="0.2">
      <c r="B6" s="1219" t="s">
        <v>1287</v>
      </c>
      <c r="C6" s="1220"/>
      <c r="D6" s="1221"/>
    </row>
    <row r="7" spans="1:11" x14ac:dyDescent="0.2">
      <c r="B7" s="1219" t="s">
        <v>1595</v>
      </c>
      <c r="C7" s="1220"/>
      <c r="D7" s="1221"/>
    </row>
    <row r="8" spans="1:11" ht="4.5" customHeight="1" x14ac:dyDescent="0.2">
      <c r="B8" s="1219"/>
      <c r="C8" s="1220"/>
      <c r="D8" s="1221"/>
    </row>
    <row r="9" spans="1:11" x14ac:dyDescent="0.2">
      <c r="B9" s="1223" t="s">
        <v>1286</v>
      </c>
      <c r="C9" s="1224"/>
      <c r="D9" s="1221"/>
    </row>
    <row r="10" spans="1:11" ht="4.5" customHeight="1" x14ac:dyDescent="0.2">
      <c r="B10" s="1223"/>
      <c r="C10" s="1224"/>
      <c r="D10" s="1221"/>
    </row>
    <row r="11" spans="1:11" x14ac:dyDescent="0.2">
      <c r="B11" s="1225"/>
      <c r="C11" s="1226">
        <v>1</v>
      </c>
      <c r="D11" s="1227" t="s">
        <v>1805</v>
      </c>
      <c r="E11" s="1228"/>
      <c r="F11" s="1228"/>
      <c r="G11" s="1228"/>
      <c r="H11" s="1228"/>
      <c r="I11" s="1228"/>
      <c r="J11" s="1228"/>
      <c r="K11" s="1228"/>
    </row>
    <row r="12" spans="1:11" ht="3" customHeight="1" x14ac:dyDescent="0.2">
      <c r="B12" s="1229"/>
      <c r="C12" s="1226"/>
      <c r="D12" s="1227"/>
      <c r="E12" s="1228"/>
      <c r="F12" s="1228"/>
      <c r="G12" s="1228"/>
      <c r="H12" s="1228"/>
      <c r="I12" s="1228"/>
      <c r="J12" s="1228"/>
      <c r="K12" s="1228"/>
    </row>
    <row r="13" spans="1:11" x14ac:dyDescent="0.2">
      <c r="B13" s="1225"/>
      <c r="C13" s="1226">
        <f>C11+1</f>
        <v>2</v>
      </c>
      <c r="D13" s="1230" t="s">
        <v>1806</v>
      </c>
      <c r="E13" s="1228"/>
      <c r="F13" s="1228"/>
      <c r="G13" s="1228"/>
      <c r="H13" s="1228"/>
      <c r="I13" s="1228"/>
      <c r="J13" s="1228"/>
      <c r="K13" s="1228"/>
    </row>
    <row r="14" spans="1:11" ht="3" customHeight="1" x14ac:dyDescent="0.2">
      <c r="B14" s="1229"/>
      <c r="C14" s="1226"/>
      <c r="D14" s="1230"/>
      <c r="E14" s="1228"/>
      <c r="F14" s="1228"/>
      <c r="G14" s="1228"/>
      <c r="H14" s="1228"/>
      <c r="I14" s="1228"/>
      <c r="J14" s="1228"/>
      <c r="K14" s="1228"/>
    </row>
    <row r="15" spans="1:11" x14ac:dyDescent="0.2">
      <c r="B15" s="1225"/>
      <c r="C15" s="1226">
        <f>C13+1</f>
        <v>3</v>
      </c>
      <c r="D15" s="1227" t="s">
        <v>1807</v>
      </c>
      <c r="E15" s="1228"/>
      <c r="F15" s="1228"/>
      <c r="G15" s="1228"/>
      <c r="H15" s="1228"/>
      <c r="I15" s="1228"/>
      <c r="J15" s="1228"/>
      <c r="K15" s="1228"/>
    </row>
    <row r="16" spans="1:11" ht="10.5" customHeight="1" x14ac:dyDescent="0.2">
      <c r="B16" s="1231"/>
      <c r="D16" s="1230" t="s">
        <v>1285</v>
      </c>
      <c r="E16" s="1228"/>
      <c r="F16" s="1228"/>
      <c r="G16" s="1228"/>
      <c r="H16" s="1228"/>
      <c r="I16" s="1228"/>
      <c r="J16" s="1228"/>
      <c r="K16" s="1228"/>
    </row>
    <row r="17" spans="1:11" ht="3" customHeight="1" x14ac:dyDescent="0.2">
      <c r="B17" s="1231"/>
      <c r="D17" s="1230"/>
      <c r="E17" s="1228"/>
      <c r="F17" s="1228"/>
      <c r="G17" s="1228"/>
      <c r="H17" s="1228"/>
      <c r="I17" s="1228"/>
      <c r="J17" s="1228"/>
      <c r="K17" s="1228"/>
    </row>
    <row r="18" spans="1:11" x14ac:dyDescent="0.2">
      <c r="B18" s="1225"/>
      <c r="C18" s="1226">
        <f>C15+1</f>
        <v>4</v>
      </c>
      <c r="D18" s="1233" t="s">
        <v>1808</v>
      </c>
      <c r="E18" s="1228"/>
      <c r="F18" s="1228"/>
      <c r="G18" s="1228"/>
      <c r="H18" s="1228"/>
      <c r="I18" s="1228"/>
      <c r="J18" s="1228"/>
      <c r="K18" s="1228"/>
    </row>
    <row r="19" spans="1:11" ht="9.75" customHeight="1" x14ac:dyDescent="0.2">
      <c r="A19" s="1222"/>
      <c r="B19" s="1231"/>
      <c r="D19" s="1230" t="s">
        <v>1284</v>
      </c>
      <c r="E19" s="1228"/>
      <c r="F19" s="1228"/>
      <c r="G19" s="1228"/>
      <c r="H19" s="1228"/>
      <c r="I19" s="1228"/>
      <c r="J19" s="1228"/>
      <c r="K19" s="1228"/>
    </row>
    <row r="20" spans="1:11" ht="3" customHeight="1" x14ac:dyDescent="0.2">
      <c r="A20" s="1222"/>
      <c r="B20" s="1231"/>
      <c r="D20" s="1230"/>
      <c r="E20" s="1228"/>
      <c r="F20" s="1228"/>
      <c r="G20" s="1228"/>
      <c r="H20" s="1228"/>
      <c r="I20" s="1228"/>
      <c r="J20" s="1228"/>
      <c r="K20" s="1228"/>
    </row>
    <row r="21" spans="1:11" x14ac:dyDescent="0.2">
      <c r="A21" s="1222"/>
      <c r="B21" s="1225"/>
      <c r="C21" s="1226">
        <f>C18+1</f>
        <v>5</v>
      </c>
      <c r="D21" s="1230" t="s">
        <v>1283</v>
      </c>
      <c r="E21" s="1228"/>
      <c r="F21" s="1228"/>
      <c r="G21" s="1228"/>
      <c r="H21" s="1228"/>
      <c r="I21" s="1228"/>
      <c r="J21" s="1228"/>
      <c r="K21" s="1228"/>
    </row>
    <row r="22" spans="1:11" ht="10.5" customHeight="1" x14ac:dyDescent="0.2">
      <c r="A22" s="1222"/>
      <c r="B22" s="1231"/>
      <c r="D22" s="1230" t="s">
        <v>1282</v>
      </c>
      <c r="E22" s="1228"/>
      <c r="F22" s="1228"/>
      <c r="G22" s="1228"/>
      <c r="H22" s="1228"/>
      <c r="I22" s="1228"/>
      <c r="J22" s="1228"/>
      <c r="K22" s="1228"/>
    </row>
    <row r="23" spans="1:11" ht="3" customHeight="1" x14ac:dyDescent="0.2">
      <c r="A23" s="1222"/>
      <c r="B23" s="1231"/>
      <c r="D23" s="1230"/>
      <c r="E23" s="1228"/>
      <c r="F23" s="1228"/>
      <c r="G23" s="1228"/>
      <c r="H23" s="1228"/>
      <c r="I23" s="1228"/>
      <c r="J23" s="1228"/>
      <c r="K23" s="1228"/>
    </row>
    <row r="24" spans="1:11" x14ac:dyDescent="0.2">
      <c r="A24" s="1222"/>
      <c r="B24" s="1225"/>
      <c r="C24" s="1226">
        <f>C21+1</f>
        <v>6</v>
      </c>
      <c r="D24" s="1234" t="s">
        <v>1829</v>
      </c>
      <c r="E24" s="1228"/>
      <c r="F24" s="1228"/>
      <c r="G24" s="1228"/>
      <c r="H24" s="1228"/>
      <c r="I24" s="1228"/>
      <c r="J24" s="1228"/>
      <c r="K24" s="1228"/>
    </row>
    <row r="25" spans="1:11" x14ac:dyDescent="0.2">
      <c r="A25" s="1222"/>
      <c r="B25" s="1231"/>
      <c r="D25" s="1230" t="s">
        <v>1809</v>
      </c>
      <c r="E25" s="1228"/>
      <c r="F25" s="1228"/>
      <c r="G25" s="1228"/>
      <c r="H25" s="1228"/>
      <c r="I25" s="1228"/>
      <c r="J25" s="1228"/>
      <c r="K25" s="1228"/>
    </row>
    <row r="26" spans="1:11" x14ac:dyDescent="0.2">
      <c r="A26" s="1222"/>
      <c r="B26" s="1231"/>
      <c r="D26" s="1235" t="s">
        <v>1810</v>
      </c>
      <c r="E26" s="1228"/>
      <c r="F26" s="1228"/>
      <c r="G26" s="1228"/>
      <c r="H26" s="1228"/>
      <c r="I26" s="1228"/>
      <c r="J26" s="1228"/>
      <c r="K26" s="1228"/>
    </row>
    <row r="27" spans="1:11" ht="3" customHeight="1" x14ac:dyDescent="0.2">
      <c r="A27" s="1222"/>
      <c r="B27" s="1231"/>
      <c r="D27" s="1235"/>
      <c r="E27" s="1228"/>
      <c r="F27" s="1228"/>
      <c r="G27" s="1228"/>
      <c r="H27" s="1228"/>
      <c r="I27" s="1228"/>
      <c r="J27" s="1228"/>
      <c r="K27" s="1228"/>
    </row>
    <row r="28" spans="1:11" x14ac:dyDescent="0.2">
      <c r="A28" s="1222"/>
      <c r="B28" s="1225"/>
      <c r="C28" s="1232">
        <f>C24+1</f>
        <v>7</v>
      </c>
      <c r="D28" s="1235" t="s">
        <v>1651</v>
      </c>
      <c r="E28" s="1228"/>
      <c r="F28" s="1228"/>
      <c r="G28" s="1228"/>
      <c r="H28" s="1228"/>
      <c r="I28" s="1228"/>
      <c r="J28" s="1228"/>
      <c r="K28" s="1228"/>
    </row>
    <row r="29" spans="1:11" ht="10.5" customHeight="1" x14ac:dyDescent="0.2">
      <c r="A29" s="1222"/>
      <c r="D29" s="1236" t="s">
        <v>1652</v>
      </c>
    </row>
    <row r="30" spans="1:11" ht="6" customHeight="1" x14ac:dyDescent="0.2">
      <c r="A30" s="1222"/>
      <c r="D30" s="1221"/>
    </row>
    <row r="31" spans="1:11" x14ac:dyDescent="0.2">
      <c r="A31" s="1222"/>
      <c r="B31" s="1223" t="s">
        <v>1281</v>
      </c>
      <c r="C31" s="1224"/>
      <c r="D31" s="1221"/>
    </row>
    <row r="32" spans="1:11" ht="4.5" customHeight="1" x14ac:dyDescent="0.2">
      <c r="A32" s="1222"/>
      <c r="B32" s="1223"/>
      <c r="C32" s="1224"/>
      <c r="D32" s="1221"/>
    </row>
    <row r="33" spans="1:5" x14ac:dyDescent="0.2">
      <c r="A33" s="1222"/>
      <c r="B33" s="1225"/>
      <c r="C33" s="1226">
        <v>8</v>
      </c>
      <c r="D33" s="1237" t="s">
        <v>1280</v>
      </c>
    </row>
    <row r="34" spans="1:5" ht="10.5" customHeight="1" x14ac:dyDescent="0.2">
      <c r="A34" s="1222"/>
      <c r="B34" s="1238"/>
      <c r="C34" s="1226"/>
      <c r="D34" s="1237" t="s">
        <v>1653</v>
      </c>
    </row>
    <row r="35" spans="1:5" ht="3" customHeight="1" x14ac:dyDescent="0.2">
      <c r="A35" s="1222"/>
      <c r="B35" s="1231"/>
      <c r="D35" s="1221"/>
    </row>
    <row r="36" spans="1:5" x14ac:dyDescent="0.2">
      <c r="A36" s="1222"/>
      <c r="B36" s="1225"/>
      <c r="C36" s="1226">
        <f>C33+1</f>
        <v>9</v>
      </c>
      <c r="D36" s="1237" t="s">
        <v>1279</v>
      </c>
    </row>
    <row r="37" spans="1:5" ht="10.5" customHeight="1" x14ac:dyDescent="0.2">
      <c r="A37" s="1222"/>
      <c r="B37" s="1231"/>
      <c r="D37" s="1237" t="s">
        <v>1653</v>
      </c>
    </row>
    <row r="38" spans="1:5" ht="3" customHeight="1" x14ac:dyDescent="0.2">
      <c r="A38" s="1222"/>
      <c r="B38" s="1239"/>
      <c r="C38" s="1240"/>
      <c r="D38" s="1221"/>
    </row>
    <row r="39" spans="1:5" x14ac:dyDescent="0.2">
      <c r="A39" s="1222"/>
      <c r="B39" s="1241"/>
      <c r="C39" s="1232">
        <f>C36+1</f>
        <v>10</v>
      </c>
      <c r="D39" s="1221" t="s">
        <v>1278</v>
      </c>
    </row>
    <row r="40" spans="1:5" ht="10.5" customHeight="1" x14ac:dyDescent="0.2">
      <c r="A40" s="1222"/>
      <c r="B40" s="1242"/>
      <c r="C40" s="1240"/>
      <c r="D40" s="1221" t="s">
        <v>1654</v>
      </c>
    </row>
    <row r="41" spans="1:5" ht="3" customHeight="1" x14ac:dyDescent="0.2">
      <c r="A41" s="1222"/>
      <c r="B41" s="1239"/>
      <c r="C41" s="1240"/>
      <c r="D41" s="1221"/>
    </row>
    <row r="42" spans="1:5" ht="10.5" customHeight="1" x14ac:dyDescent="0.2">
      <c r="A42" s="1222"/>
      <c r="B42" s="1241"/>
      <c r="C42" s="1232">
        <v>11</v>
      </c>
      <c r="D42" s="1243" t="s">
        <v>1655</v>
      </c>
      <c r="E42" s="312"/>
    </row>
    <row r="43" spans="1:5" ht="3" customHeight="1" x14ac:dyDescent="0.2">
      <c r="A43" s="1222"/>
      <c r="B43" s="1239"/>
      <c r="C43" s="1240"/>
      <c r="D43" s="1221"/>
    </row>
    <row r="44" spans="1:5" x14ac:dyDescent="0.2">
      <c r="A44" s="1222"/>
      <c r="B44" s="1225"/>
      <c r="C44" s="1226">
        <f>C42+1</f>
        <v>12</v>
      </c>
      <c r="D44" s="1237" t="s">
        <v>1277</v>
      </c>
    </row>
    <row r="45" spans="1:5" ht="10.5" customHeight="1" x14ac:dyDescent="0.2">
      <c r="A45" s="1222"/>
      <c r="B45" s="1238"/>
      <c r="C45" s="1226"/>
      <c r="D45" s="1237" t="s">
        <v>1276</v>
      </c>
    </row>
    <row r="46" spans="1:5" ht="10.5" customHeight="1" x14ac:dyDescent="0.2">
      <c r="A46" s="1222"/>
      <c r="B46" s="1239"/>
      <c r="C46" s="1240"/>
      <c r="D46" s="1237" t="s">
        <v>1275</v>
      </c>
    </row>
    <row r="47" spans="1:5" ht="3" customHeight="1" x14ac:dyDescent="0.2">
      <c r="A47" s="1222"/>
      <c r="B47" s="1239"/>
      <c r="C47" s="1240"/>
      <c r="D47" s="1237"/>
    </row>
    <row r="48" spans="1:5" x14ac:dyDescent="0.2">
      <c r="A48" s="1222"/>
      <c r="B48" s="1225"/>
      <c r="C48" s="1226">
        <f>C44+1</f>
        <v>13</v>
      </c>
      <c r="D48" s="1237" t="s">
        <v>1656</v>
      </c>
    </row>
    <row r="49" spans="1:4" ht="3" customHeight="1" x14ac:dyDescent="0.2">
      <c r="A49" s="1222"/>
      <c r="B49" s="1229"/>
      <c r="C49" s="1226"/>
      <c r="D49" s="1237"/>
    </row>
    <row r="50" spans="1:4" x14ac:dyDescent="0.2">
      <c r="A50" s="1222"/>
      <c r="B50" s="1225"/>
      <c r="C50" s="1226">
        <f>C48+1</f>
        <v>14</v>
      </c>
      <c r="D50" s="1237" t="s">
        <v>1274</v>
      </c>
    </row>
    <row r="51" spans="1:4" ht="3" customHeight="1" x14ac:dyDescent="0.2">
      <c r="A51" s="1222"/>
      <c r="B51" s="1229"/>
      <c r="C51" s="1226"/>
      <c r="D51" s="1237"/>
    </row>
    <row r="52" spans="1:4" x14ac:dyDescent="0.2">
      <c r="A52" s="1222"/>
      <c r="B52" s="1225"/>
      <c r="C52" s="1226">
        <f>C50+1</f>
        <v>15</v>
      </c>
      <c r="D52" s="1237" t="s">
        <v>1273</v>
      </c>
    </row>
    <row r="53" spans="1:4" ht="3" customHeight="1" x14ac:dyDescent="0.2">
      <c r="A53" s="1222"/>
      <c r="B53" s="1229"/>
      <c r="C53" s="1226"/>
      <c r="D53" s="1237"/>
    </row>
    <row r="54" spans="1:4" x14ac:dyDescent="0.2">
      <c r="A54" s="1222"/>
      <c r="B54" s="1225"/>
      <c r="C54" s="1226">
        <f>C52+1</f>
        <v>16</v>
      </c>
      <c r="D54" s="1237" t="s">
        <v>1272</v>
      </c>
    </row>
    <row r="55" spans="1:4" ht="3" customHeight="1" x14ac:dyDescent="0.2">
      <c r="A55" s="1222"/>
      <c r="B55" s="1229"/>
      <c r="C55" s="1226"/>
      <c r="D55" s="1237"/>
    </row>
    <row r="56" spans="1:4" x14ac:dyDescent="0.2">
      <c r="A56" s="1222"/>
      <c r="B56" s="1225"/>
      <c r="C56" s="1226">
        <f>C54+1</f>
        <v>17</v>
      </c>
      <c r="D56" s="1221" t="s">
        <v>1811</v>
      </c>
    </row>
    <row r="57" spans="1:4" ht="10.5" customHeight="1" x14ac:dyDescent="0.2">
      <c r="A57" s="1222"/>
      <c r="D57" s="1237" t="s">
        <v>1812</v>
      </c>
    </row>
    <row r="58" spans="1:4" x14ac:dyDescent="0.2">
      <c r="A58" s="1222"/>
      <c r="C58" s="1244"/>
      <c r="D58" s="1237" t="s">
        <v>1813</v>
      </c>
    </row>
    <row r="59" spans="1:4" ht="10.5" customHeight="1" x14ac:dyDescent="0.2">
      <c r="A59" s="1222"/>
      <c r="D59" s="1221" t="s">
        <v>1271</v>
      </c>
    </row>
    <row r="60" spans="1:4" ht="10.5" customHeight="1" x14ac:dyDescent="0.2">
      <c r="A60" s="1222"/>
      <c r="D60" s="1245" t="s">
        <v>1681</v>
      </c>
    </row>
    <row r="61" spans="1:4" ht="10.5" customHeight="1" x14ac:dyDescent="0.2">
      <c r="A61" s="1222"/>
      <c r="C61" s="1244"/>
      <c r="D61" s="1237" t="s">
        <v>1814</v>
      </c>
    </row>
    <row r="62" spans="1:4" ht="10.5" customHeight="1" x14ac:dyDescent="0.2">
      <c r="A62" s="1222"/>
      <c r="D62" s="1246" t="s">
        <v>1270</v>
      </c>
    </row>
    <row r="63" spans="1:4" ht="10.5" customHeight="1" x14ac:dyDescent="0.2">
      <c r="A63" s="1222"/>
      <c r="D63" s="1221" t="s">
        <v>1657</v>
      </c>
    </row>
    <row r="64" spans="1:4" ht="10.5" customHeight="1" x14ac:dyDescent="0.2">
      <c r="A64" s="1222"/>
      <c r="D64" s="1245" t="s">
        <v>1680</v>
      </c>
    </row>
    <row r="65" spans="1:4" x14ac:dyDescent="0.2">
      <c r="A65" s="1222"/>
      <c r="C65" s="1244"/>
      <c r="D65" s="1237" t="s">
        <v>1815</v>
      </c>
    </row>
    <row r="66" spans="1:4" ht="10.5" customHeight="1" x14ac:dyDescent="0.2">
      <c r="A66" s="1222"/>
      <c r="D66" s="1247" t="s">
        <v>1269</v>
      </c>
    </row>
    <row r="67" spans="1:4" ht="10.5" customHeight="1" x14ac:dyDescent="0.2">
      <c r="A67" s="1222"/>
      <c r="D67" s="1221" t="s">
        <v>1658</v>
      </c>
    </row>
    <row r="68" spans="1:4" ht="10.5" customHeight="1" x14ac:dyDescent="0.2">
      <c r="A68" s="1222"/>
      <c r="D68" s="1245" t="s">
        <v>1680</v>
      </c>
    </row>
    <row r="69" spans="1:4" ht="10.5" customHeight="1" x14ac:dyDescent="0.2">
      <c r="A69" s="1222"/>
      <c r="C69" s="1244"/>
      <c r="D69" s="1237" t="s">
        <v>1816</v>
      </c>
    </row>
    <row r="70" spans="1:4" x14ac:dyDescent="0.2">
      <c r="A70" s="1222"/>
      <c r="D70" s="1246" t="s">
        <v>1268</v>
      </c>
    </row>
    <row r="71" spans="1:4" ht="3" customHeight="1" x14ac:dyDescent="0.2">
      <c r="A71" s="1222"/>
      <c r="D71" s="1221"/>
    </row>
    <row r="72" spans="1:4" x14ac:dyDescent="0.2">
      <c r="A72" s="1222"/>
      <c r="B72" s="1225"/>
      <c r="C72" s="1226">
        <f>C56+1</f>
        <v>18</v>
      </c>
      <c r="D72" s="1247" t="s">
        <v>1817</v>
      </c>
    </row>
    <row r="73" spans="1:4" ht="3" customHeight="1" x14ac:dyDescent="0.2">
      <c r="A73" s="1222"/>
      <c r="B73" s="1229"/>
      <c r="C73" s="1226"/>
      <c r="D73" s="1247"/>
    </row>
    <row r="74" spans="1:4" x14ac:dyDescent="0.2">
      <c r="A74" s="1222"/>
      <c r="B74" s="1225"/>
      <c r="C74" s="1226">
        <f>C72+1</f>
        <v>19</v>
      </c>
      <c r="D74" s="1237" t="s">
        <v>1267</v>
      </c>
    </row>
    <row r="75" spans="1:4" ht="3" customHeight="1" x14ac:dyDescent="0.2">
      <c r="A75" s="1222"/>
      <c r="B75" s="1229"/>
      <c r="C75" s="1226"/>
      <c r="D75" s="1237"/>
    </row>
    <row r="76" spans="1:4" x14ac:dyDescent="0.2">
      <c r="A76" s="1222"/>
      <c r="B76" s="1225"/>
      <c r="C76" s="1226">
        <f>C74+1</f>
        <v>20</v>
      </c>
      <c r="D76" s="1248" t="s">
        <v>1818</v>
      </c>
    </row>
    <row r="77" spans="1:4" ht="3" customHeight="1" x14ac:dyDescent="0.2">
      <c r="A77" s="1222"/>
      <c r="B77" s="1229"/>
      <c r="C77" s="1226"/>
      <c r="D77" s="1248"/>
    </row>
    <row r="78" spans="1:4" x14ac:dyDescent="0.2">
      <c r="A78" s="1222"/>
      <c r="B78" s="1225"/>
      <c r="C78" s="1226">
        <f>C76+1</f>
        <v>21</v>
      </c>
      <c r="D78" s="1221" t="s">
        <v>1819</v>
      </c>
    </row>
    <row r="79" spans="1:4" ht="3" customHeight="1" x14ac:dyDescent="0.2">
      <c r="A79" s="1222"/>
      <c r="B79" s="1229"/>
      <c r="C79" s="1226"/>
      <c r="D79" s="1221"/>
    </row>
    <row r="80" spans="1:4" x14ac:dyDescent="0.2">
      <c r="A80" s="1222"/>
      <c r="B80" s="1225"/>
      <c r="C80" s="1226">
        <f>C78+1</f>
        <v>22</v>
      </c>
      <c r="D80" s="1249" t="s">
        <v>1820</v>
      </c>
    </row>
    <row r="81" spans="1:4" ht="3" customHeight="1" x14ac:dyDescent="0.2">
      <c r="A81" s="1222"/>
      <c r="B81" s="1229"/>
      <c r="C81" s="1226"/>
      <c r="D81" s="1249"/>
    </row>
    <row r="82" spans="1:4" x14ac:dyDescent="0.2">
      <c r="A82" s="1222"/>
      <c r="B82" s="1225"/>
      <c r="C82" s="1226">
        <f>C80+1</f>
        <v>23</v>
      </c>
      <c r="D82" s="1248" t="s">
        <v>1821</v>
      </c>
    </row>
    <row r="83" spans="1:4" ht="10.5" customHeight="1" x14ac:dyDescent="0.2">
      <c r="A83" s="1222"/>
      <c r="B83" s="1231"/>
      <c r="D83" s="1237" t="s">
        <v>1266</v>
      </c>
    </row>
    <row r="84" spans="1:4" ht="3" customHeight="1" x14ac:dyDescent="0.2">
      <c r="A84" s="1222"/>
      <c r="B84" s="1231"/>
      <c r="D84" s="1237"/>
    </row>
    <row r="85" spans="1:4" x14ac:dyDescent="0.2">
      <c r="A85" s="1222"/>
      <c r="B85" s="1225"/>
      <c r="C85" s="1226">
        <f>C82+1</f>
        <v>24</v>
      </c>
      <c r="D85" s="1237" t="s">
        <v>1265</v>
      </c>
    </row>
    <row r="86" spans="1:4" ht="3" customHeight="1" x14ac:dyDescent="0.2">
      <c r="A86" s="1222"/>
      <c r="B86" s="1229"/>
      <c r="C86" s="1226"/>
      <c r="D86" s="1237"/>
    </row>
    <row r="87" spans="1:4" x14ac:dyDescent="0.2">
      <c r="A87" s="1222"/>
      <c r="B87" s="1225"/>
      <c r="C87" s="1226">
        <f>C85+1</f>
        <v>25</v>
      </c>
      <c r="D87" s="1237" t="s">
        <v>1264</v>
      </c>
    </row>
    <row r="88" spans="1:4" ht="3" customHeight="1" x14ac:dyDescent="0.2">
      <c r="A88" s="1222"/>
      <c r="B88" s="1229"/>
      <c r="C88" s="1226"/>
      <c r="D88" s="1237"/>
    </row>
    <row r="89" spans="1:4" x14ac:dyDescent="0.2">
      <c r="A89" s="1222"/>
      <c r="B89" s="1225"/>
      <c r="C89" s="1226">
        <f>C87+1</f>
        <v>26</v>
      </c>
      <c r="D89" s="1237" t="s">
        <v>1263</v>
      </c>
    </row>
    <row r="90" spans="1:4" ht="3" customHeight="1" x14ac:dyDescent="0.2">
      <c r="A90" s="1222"/>
      <c r="B90" s="1229"/>
      <c r="C90" s="1226"/>
      <c r="D90" s="1237"/>
    </row>
    <row r="91" spans="1:4" x14ac:dyDescent="0.2">
      <c r="A91" s="1222"/>
      <c r="B91" s="1225"/>
      <c r="C91" s="1226">
        <f>C89+1</f>
        <v>27</v>
      </c>
      <c r="D91" s="1237" t="s">
        <v>1822</v>
      </c>
    </row>
    <row r="92" spans="1:4" x14ac:dyDescent="0.2">
      <c r="A92" s="1222"/>
      <c r="B92" s="1250"/>
      <c r="C92" s="1244"/>
      <c r="D92" s="1237" t="s">
        <v>1262</v>
      </c>
    </row>
    <row r="93" spans="1:4" ht="4.5" customHeight="1" x14ac:dyDescent="0.2">
      <c r="A93" s="1222"/>
      <c r="D93" s="1221"/>
    </row>
    <row r="94" spans="1:4" x14ac:dyDescent="0.2">
      <c r="A94" s="1222"/>
      <c r="B94" s="1223" t="s">
        <v>1659</v>
      </c>
      <c r="C94" s="1224"/>
      <c r="D94" s="1221"/>
    </row>
    <row r="95" spans="1:4" ht="4.5" customHeight="1" x14ac:dyDescent="0.2">
      <c r="A95" s="1222"/>
      <c r="B95" s="1223"/>
      <c r="C95" s="1224"/>
      <c r="D95" s="1221"/>
    </row>
    <row r="96" spans="1:4" x14ac:dyDescent="0.2">
      <c r="A96" s="1222"/>
      <c r="B96" s="1225"/>
      <c r="C96" s="1226">
        <f>C91+1</f>
        <v>28</v>
      </c>
      <c r="D96" s="1237" t="s">
        <v>1823</v>
      </c>
    </row>
    <row r="97" spans="1:4" ht="3" customHeight="1" x14ac:dyDescent="0.2">
      <c r="A97" s="1222"/>
      <c r="B97" s="1229"/>
      <c r="C97" s="1226"/>
      <c r="D97" s="1237"/>
    </row>
    <row r="98" spans="1:4" x14ac:dyDescent="0.2">
      <c r="A98" s="1222"/>
      <c r="B98" s="1225"/>
      <c r="C98" s="1226">
        <f>C96+1</f>
        <v>29</v>
      </c>
      <c r="D98" s="1251" t="s">
        <v>1824</v>
      </c>
    </row>
    <row r="99" spans="1:4" ht="3" customHeight="1" x14ac:dyDescent="0.2">
      <c r="A99" s="1222"/>
      <c r="B99" s="1229"/>
      <c r="C99" s="1226"/>
      <c r="D99" s="1251"/>
    </row>
    <row r="100" spans="1:4" x14ac:dyDescent="0.2">
      <c r="A100" s="1222"/>
      <c r="B100" s="1225"/>
      <c r="C100" s="1226">
        <f>C98+1</f>
        <v>30</v>
      </c>
      <c r="D100" s="1237" t="s">
        <v>1825</v>
      </c>
    </row>
    <row r="101" spans="1:4" ht="3" customHeight="1" x14ac:dyDescent="0.2">
      <c r="A101" s="1222"/>
      <c r="B101" s="1229"/>
      <c r="C101" s="1226"/>
      <c r="D101" s="1252"/>
    </row>
    <row r="102" spans="1:4" x14ac:dyDescent="0.2">
      <c r="A102" s="1222"/>
      <c r="B102" s="1225"/>
      <c r="C102" s="1226">
        <f>C100+1</f>
        <v>31</v>
      </c>
      <c r="D102" s="1237" t="s">
        <v>1660</v>
      </c>
    </row>
    <row r="103" spans="1:4" ht="4.5" customHeight="1" x14ac:dyDescent="0.2">
      <c r="A103" s="1222"/>
      <c r="B103" s="312"/>
      <c r="C103" s="1226"/>
      <c r="D103" s="1237"/>
    </row>
    <row r="104" spans="1:4" ht="14.1" customHeight="1" x14ac:dyDescent="0.2">
      <c r="A104" s="1222"/>
      <c r="B104" s="1253" t="s">
        <v>1261</v>
      </c>
    </row>
    <row r="105" spans="1:4" ht="4.5" customHeight="1" x14ac:dyDescent="0.2">
      <c r="A105" s="1222"/>
      <c r="B105" s="1253"/>
    </row>
    <row r="106" spans="1:4" x14ac:dyDescent="0.2">
      <c r="A106" s="1222"/>
      <c r="B106" s="1225"/>
      <c r="C106" s="1226">
        <f>C102+1</f>
        <v>32</v>
      </c>
      <c r="D106" s="1221" t="s">
        <v>1661</v>
      </c>
    </row>
    <row r="107" spans="1:4" ht="3" customHeight="1" x14ac:dyDescent="0.2">
      <c r="A107" s="1222"/>
      <c r="B107" s="1229"/>
      <c r="C107" s="1226"/>
      <c r="D107" s="1221"/>
    </row>
    <row r="108" spans="1:4" x14ac:dyDescent="0.2">
      <c r="A108" s="1222"/>
      <c r="B108" s="1225"/>
      <c r="C108" s="1226">
        <v>33</v>
      </c>
      <c r="D108" s="1221" t="s">
        <v>1826</v>
      </c>
    </row>
    <row r="109" spans="1:4" ht="3" customHeight="1" x14ac:dyDescent="0.2">
      <c r="A109" s="1222"/>
      <c r="B109" s="1229"/>
      <c r="C109" s="1226"/>
      <c r="D109" s="1221"/>
    </row>
    <row r="110" spans="1:4" x14ac:dyDescent="0.2">
      <c r="A110" s="1222"/>
      <c r="B110" s="1225"/>
      <c r="C110" s="1226">
        <f>C108+1</f>
        <v>34</v>
      </c>
      <c r="D110" s="1221" t="s">
        <v>1260</v>
      </c>
    </row>
    <row r="111" spans="1:4" ht="3" customHeight="1" x14ac:dyDescent="0.2">
      <c r="A111" s="1222"/>
      <c r="B111" s="1229"/>
      <c r="C111" s="1226"/>
      <c r="D111" s="1221"/>
    </row>
    <row r="112" spans="1:4" x14ac:dyDescent="0.2">
      <c r="A112" s="1222"/>
      <c r="B112" s="1225"/>
      <c r="C112" s="1226">
        <f>C110+1</f>
        <v>35</v>
      </c>
      <c r="D112" s="1221" t="s">
        <v>1259</v>
      </c>
    </row>
    <row r="113" spans="1:4" ht="11.25" customHeight="1" x14ac:dyDescent="0.2">
      <c r="A113" s="1222"/>
      <c r="B113" s="1254"/>
      <c r="C113" s="1226"/>
      <c r="D113" s="1255" t="s">
        <v>1258</v>
      </c>
    </row>
    <row r="114" spans="1:4" ht="3" customHeight="1" x14ac:dyDescent="0.2">
      <c r="A114" s="1222"/>
      <c r="B114" s="1256"/>
      <c r="C114" s="1226"/>
      <c r="D114" s="1255"/>
    </row>
    <row r="115" spans="1:4" x14ac:dyDescent="0.2">
      <c r="A115" s="1222"/>
      <c r="B115" s="1225"/>
      <c r="C115" s="1226">
        <f>C112+1</f>
        <v>36</v>
      </c>
      <c r="D115" s="1237" t="s">
        <v>1257</v>
      </c>
    </row>
    <row r="116" spans="1:4" ht="3" customHeight="1" x14ac:dyDescent="0.2">
      <c r="A116" s="1222"/>
      <c r="B116" s="1229"/>
      <c r="C116" s="1226"/>
      <c r="D116" s="1237"/>
    </row>
    <row r="117" spans="1:4" x14ac:dyDescent="0.2">
      <c r="A117" s="1222"/>
      <c r="B117" s="1225"/>
      <c r="C117" s="1226">
        <f>C115+1</f>
        <v>37</v>
      </c>
      <c r="D117" s="1237" t="s">
        <v>1827</v>
      </c>
    </row>
    <row r="118" spans="1:4" ht="3" customHeight="1" x14ac:dyDescent="0.2">
      <c r="A118" s="1222"/>
      <c r="B118" s="1229"/>
      <c r="C118" s="1226"/>
      <c r="D118" s="1237"/>
    </row>
    <row r="119" spans="1:4" x14ac:dyDescent="0.2">
      <c r="A119" s="1222"/>
      <c r="B119" s="1225"/>
      <c r="C119" s="1226">
        <f>C117+1</f>
        <v>38</v>
      </c>
      <c r="D119" s="1237" t="s">
        <v>1828</v>
      </c>
    </row>
    <row r="120" spans="1:4" ht="10.5" customHeight="1" x14ac:dyDescent="0.2">
      <c r="A120" s="1222"/>
      <c r="B120" s="1250"/>
      <c r="C120" s="1226"/>
      <c r="D120" s="1237" t="s">
        <v>1256</v>
      </c>
    </row>
    <row r="121" spans="1:4" ht="10.5" customHeight="1" x14ac:dyDescent="0.2">
      <c r="A121" s="1222"/>
      <c r="B121" s="1250"/>
      <c r="C121" s="1226"/>
      <c r="D121" s="1237" t="s">
        <v>1255</v>
      </c>
    </row>
    <row r="122" spans="1:4" ht="3" customHeight="1" x14ac:dyDescent="0.2">
      <c r="A122" s="1222"/>
      <c r="B122" s="1250"/>
      <c r="C122" s="1226"/>
      <c r="D122" s="1237"/>
    </row>
    <row r="123" spans="1:4" x14ac:dyDescent="0.2">
      <c r="A123" s="1222"/>
      <c r="B123" s="1225"/>
      <c r="C123" s="1226">
        <f>C119+1</f>
        <v>39</v>
      </c>
      <c r="D123" s="1247" t="s">
        <v>1945</v>
      </c>
    </row>
    <row r="124" spans="1:4" x14ac:dyDescent="0.2">
      <c r="A124" s="1222"/>
      <c r="B124" s="312"/>
      <c r="C124" s="1226"/>
      <c r="D124" s="1237" t="s">
        <v>1254</v>
      </c>
    </row>
    <row r="125" spans="1:4" ht="4.5" customHeight="1" x14ac:dyDescent="0.2">
      <c r="A125" s="1222"/>
      <c r="D125" s="1221"/>
    </row>
    <row r="126" spans="1:4" x14ac:dyDescent="0.2">
      <c r="A126" s="1222"/>
      <c r="B126" s="1257"/>
      <c r="C126" s="1226"/>
      <c r="D126" s="1237"/>
    </row>
    <row r="127" spans="1:4" x14ac:dyDescent="0.2">
      <c r="A127" s="1222"/>
      <c r="D127" s="1237"/>
    </row>
  </sheetData>
  <sheetProtection sheet="1" objects="1" scenarios="1"/>
  <mergeCells count="3">
    <mergeCell ref="A1:D1"/>
    <mergeCell ref="A2:D2"/>
    <mergeCell ref="A3:D3"/>
  </mergeCells>
  <hyperlinks>
    <hyperlink ref="D29" r:id="rId1"/>
    <hyperlink ref="D60" r:id="rId2" display="        Verify Non-Cash Commodities amount on ISBE web site: https://www.isbe.net/Pages/School-Nutrition-Programs-Food-Distribution.aspx"/>
    <hyperlink ref="D64" r:id="rId3"/>
    <hyperlink ref="D68" r:id="rId4"/>
  </hyperlinks>
  <pageMargins left="0.25" right="0" top="0.75" bottom="0.75" header="0.3" footer="0.3"/>
  <pageSetup scale="99" firstPageNumber="36"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zoomScale="110" zoomScaleNormal="110" zoomScaleSheetLayoutView="100" workbookViewId="0">
      <selection activeCell="D11" sqref="D11"/>
    </sheetView>
  </sheetViews>
  <sheetFormatPr defaultColWidth="15.7109375" defaultRowHeight="12.75" x14ac:dyDescent="0.2"/>
  <cols>
    <col min="1" max="1" width="31.85546875" style="317" customWidth="1"/>
    <col min="2" max="2" width="29.5703125" style="1258" customWidth="1"/>
    <col min="3" max="3" width="1.28515625" style="1258" customWidth="1"/>
    <col min="4" max="4" width="24.42578125" style="1259" customWidth="1"/>
    <col min="5" max="5" width="5" style="317" customWidth="1"/>
    <col min="6" max="16384" width="15.7109375" style="317"/>
  </cols>
  <sheetData>
    <row r="1" spans="1:5" x14ac:dyDescent="0.2">
      <c r="A1" s="2448" t="str">
        <f>'Single Audit Cover'!A7</f>
        <v>RANTOUL CITY SCHOOLS</v>
      </c>
      <c r="B1" s="2448"/>
      <c r="C1" s="2448"/>
      <c r="D1" s="2448"/>
      <c r="E1" s="2448"/>
    </row>
    <row r="2" spans="1:5" x14ac:dyDescent="0.2">
      <c r="A2" s="2449" t="str">
        <f>'Single Audit Cover'!E7</f>
        <v>09-010-1370-02</v>
      </c>
      <c r="B2" s="2449"/>
      <c r="C2" s="2449"/>
      <c r="D2" s="2449"/>
      <c r="E2" s="2449"/>
    </row>
    <row r="3" spans="1:5" ht="4.5" customHeight="1" x14ac:dyDescent="0.2"/>
    <row r="4" spans="1:5" x14ac:dyDescent="0.2">
      <c r="A4" s="2448" t="s">
        <v>1307</v>
      </c>
      <c r="B4" s="2448"/>
      <c r="C4" s="2448"/>
      <c r="D4" s="2448"/>
      <c r="E4" s="2448"/>
    </row>
    <row r="5" spans="1:5" x14ac:dyDescent="0.2">
      <c r="A5" s="2451" t="str">
        <f>'Single Audit Cover'!A4</f>
        <v>Year Ending June 30, 2018</v>
      </c>
      <c r="B5" s="2451"/>
      <c r="C5" s="2451"/>
      <c r="D5" s="2451"/>
      <c r="E5" s="2451"/>
    </row>
    <row r="6" spans="1:5" x14ac:dyDescent="0.2">
      <c r="A6" s="2448" t="s">
        <v>1306</v>
      </c>
      <c r="B6" s="2448"/>
      <c r="C6" s="2448"/>
      <c r="D6" s="2448"/>
      <c r="E6" s="2448"/>
    </row>
    <row r="8" spans="1:5" x14ac:dyDescent="0.2">
      <c r="A8" s="1260" t="s">
        <v>1305</v>
      </c>
    </row>
    <row r="10" spans="1:5" x14ac:dyDescent="0.2">
      <c r="A10" s="1261" t="s">
        <v>1304</v>
      </c>
      <c r="B10" s="1262" t="s">
        <v>1303</v>
      </c>
      <c r="C10" s="1262"/>
      <c r="D10" s="1263">
        <f>SUM('Acct Summary 7-8'!C7:K7)</f>
        <v>3759365</v>
      </c>
    </row>
    <row r="11" spans="1:5" ht="18" customHeight="1" x14ac:dyDescent="0.2">
      <c r="A11" s="1261" t="s">
        <v>1302</v>
      </c>
      <c r="B11" s="1262"/>
      <c r="C11" s="1262"/>
    </row>
    <row r="12" spans="1:5" x14ac:dyDescent="0.2">
      <c r="A12" s="1261" t="s">
        <v>1301</v>
      </c>
      <c r="B12" s="1262" t="s">
        <v>1300</v>
      </c>
      <c r="C12" s="1262"/>
      <c r="D12" s="1264">
        <f>SUM('Revenues 9-14'!C112:D112,'Revenues 9-14'!F112:G112)</f>
        <v>0</v>
      </c>
    </row>
    <row r="13" spans="1:5" x14ac:dyDescent="0.2">
      <c r="A13" s="1261" t="s">
        <v>1299</v>
      </c>
      <c r="B13" s="1262"/>
      <c r="C13" s="1262"/>
    </row>
    <row r="14" spans="1:5" x14ac:dyDescent="0.2">
      <c r="A14" s="1261" t="s">
        <v>1830</v>
      </c>
      <c r="B14" s="1262"/>
      <c r="C14" s="1262"/>
      <c r="D14" s="1264">
        <f>'ICR Computation 30'!E11</f>
        <v>86532</v>
      </c>
    </row>
    <row r="15" spans="1:5" x14ac:dyDescent="0.2">
      <c r="A15" s="1261"/>
      <c r="B15" s="1262"/>
      <c r="C15" s="1262"/>
    </row>
    <row r="16" spans="1:5" x14ac:dyDescent="0.2">
      <c r="A16" s="1261" t="s">
        <v>1953</v>
      </c>
      <c r="B16" s="1262"/>
      <c r="C16" s="1262"/>
    </row>
    <row r="17" spans="1:4" x14ac:dyDescent="0.2">
      <c r="A17" s="1261" t="s">
        <v>1601</v>
      </c>
      <c r="B17" s="1262" t="s">
        <v>1298</v>
      </c>
      <c r="C17" s="1262"/>
      <c r="D17" s="1264">
        <f>-SUM('Revenues 9-14'!C271:D271,'Revenues 9-14'!F271:G271)</f>
        <v>-126214</v>
      </c>
    </row>
    <row r="19" spans="1:4" ht="13.5" thickBot="1" x14ac:dyDescent="0.25">
      <c r="A19" s="1265" t="s">
        <v>1297</v>
      </c>
      <c r="D19" s="1266">
        <f>SUM(D10:D17)</f>
        <v>3719683</v>
      </c>
    </row>
    <row r="20" spans="1:4" ht="21.75" customHeight="1" thickTop="1" x14ac:dyDescent="0.2"/>
    <row r="21" spans="1:4" x14ac:dyDescent="0.2">
      <c r="A21" s="1260" t="s">
        <v>1296</v>
      </c>
    </row>
    <row r="22" spans="1:4" ht="8.25" customHeight="1" x14ac:dyDescent="0.2"/>
    <row r="23" spans="1:4" x14ac:dyDescent="0.2">
      <c r="A23" s="1267" t="s">
        <v>1290</v>
      </c>
    </row>
    <row r="24" spans="1:4" x14ac:dyDescent="0.2">
      <c r="A24" s="2450"/>
      <c r="B24" s="2450"/>
      <c r="D24" s="1268"/>
    </row>
    <row r="25" spans="1:4" x14ac:dyDescent="0.2">
      <c r="A25" s="2447"/>
      <c r="B25" s="2447"/>
      <c r="D25" s="1268"/>
    </row>
    <row r="26" spans="1:4" x14ac:dyDescent="0.2">
      <c r="A26" s="2447"/>
      <c r="B26" s="2447"/>
      <c r="D26" s="1268"/>
    </row>
    <row r="27" spans="1:4" x14ac:dyDescent="0.2">
      <c r="A27" s="2447"/>
      <c r="B27" s="2447"/>
      <c r="D27" s="1268"/>
    </row>
    <row r="28" spans="1:4" x14ac:dyDescent="0.2">
      <c r="A28" s="2447"/>
      <c r="B28" s="2447"/>
      <c r="D28" s="1268"/>
    </row>
    <row r="29" spans="1:4" x14ac:dyDescent="0.2">
      <c r="A29" s="2447"/>
      <c r="B29" s="2447"/>
      <c r="D29" s="1268"/>
    </row>
    <row r="30" spans="1:4" x14ac:dyDescent="0.2">
      <c r="A30" s="2447"/>
      <c r="B30" s="2447"/>
      <c r="D30" s="1268"/>
    </row>
    <row r="32" spans="1:4" x14ac:dyDescent="0.2">
      <c r="A32" s="1260" t="s">
        <v>1295</v>
      </c>
      <c r="D32" s="1263">
        <f>SUM(D19:D30)</f>
        <v>3719683</v>
      </c>
    </row>
    <row r="33" spans="1:4" x14ac:dyDescent="0.2">
      <c r="D33" s="1269"/>
    </row>
    <row r="34" spans="1:4" x14ac:dyDescent="0.2">
      <c r="A34" s="317" t="s">
        <v>1294</v>
      </c>
    </row>
    <row r="35" spans="1:4" x14ac:dyDescent="0.2">
      <c r="A35" s="317" t="s">
        <v>1293</v>
      </c>
      <c r="B35" s="1258" t="s">
        <v>1292</v>
      </c>
      <c r="D35" s="1270"/>
    </row>
    <row r="37" spans="1:4" x14ac:dyDescent="0.2">
      <c r="A37" s="1260" t="s">
        <v>1291</v>
      </c>
    </row>
    <row r="39" spans="1:4" ht="13.35" customHeight="1" x14ac:dyDescent="0.2">
      <c r="A39" s="1267" t="s">
        <v>1290</v>
      </c>
    </row>
    <row r="40" spans="1:4" x14ac:dyDescent="0.2">
      <c r="A40" s="2447"/>
      <c r="B40" s="2447"/>
      <c r="D40" s="1268"/>
    </row>
    <row r="41" spans="1:4" x14ac:dyDescent="0.2">
      <c r="A41" s="2447"/>
      <c r="B41" s="2447"/>
      <c r="D41" s="1271"/>
    </row>
    <row r="42" spans="1:4" x14ac:dyDescent="0.2">
      <c r="A42" s="2447"/>
      <c r="B42" s="2447"/>
      <c r="D42" s="1271"/>
    </row>
    <row r="43" spans="1:4" x14ac:dyDescent="0.2">
      <c r="A43" s="2447"/>
      <c r="B43" s="2447"/>
      <c r="D43" s="1271"/>
    </row>
    <row r="44" spans="1:4" x14ac:dyDescent="0.2">
      <c r="A44" s="2447"/>
      <c r="B44" s="2447"/>
      <c r="D44" s="1271"/>
    </row>
    <row r="45" spans="1:4" x14ac:dyDescent="0.2">
      <c r="A45" s="2447"/>
      <c r="B45" s="2447"/>
      <c r="D45" s="1271"/>
    </row>
    <row r="47" spans="1:4" x14ac:dyDescent="0.2">
      <c r="B47" s="1272" t="s">
        <v>1289</v>
      </c>
      <c r="C47" s="1272"/>
      <c r="D47" s="1273">
        <f>SUM(D35:D45)</f>
        <v>0</v>
      </c>
    </row>
    <row r="49" spans="2:4" x14ac:dyDescent="0.2">
      <c r="B49" s="1272" t="s">
        <v>1288</v>
      </c>
      <c r="C49" s="1272"/>
      <c r="D49" s="1273">
        <f>D32-D47</f>
        <v>3719683</v>
      </c>
    </row>
  </sheetData>
  <sheetProtection sheet="1" objects="1" scenarios="1"/>
  <mergeCells count="18">
    <mergeCell ref="A27:B27"/>
    <mergeCell ref="A1:E1"/>
    <mergeCell ref="A2:E2"/>
    <mergeCell ref="A24:B24"/>
    <mergeCell ref="A25:B25"/>
    <mergeCell ref="A26:B26"/>
    <mergeCell ref="A4:E4"/>
    <mergeCell ref="A5:E5"/>
    <mergeCell ref="A6:E6"/>
    <mergeCell ref="A43:B43"/>
    <mergeCell ref="A44:B44"/>
    <mergeCell ref="A45:B45"/>
    <mergeCell ref="A28:B28"/>
    <mergeCell ref="A29:B29"/>
    <mergeCell ref="A30:B30"/>
    <mergeCell ref="A40:B40"/>
    <mergeCell ref="A41:B41"/>
    <mergeCell ref="A42:B42"/>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
  <sheetViews>
    <sheetView showGridLines="0" zoomScale="120" zoomScaleNormal="120" workbookViewId="0">
      <selection activeCell="C43" sqref="C43"/>
    </sheetView>
  </sheetViews>
  <sheetFormatPr defaultColWidth="8" defaultRowHeight="12.75" x14ac:dyDescent="0.2"/>
  <cols>
    <col min="1" max="1" width="1.42578125" style="317" customWidth="1"/>
    <col min="2" max="2" width="53.28515625" style="317" customWidth="1"/>
    <col min="3" max="3" width="14" style="1258" customWidth="1"/>
    <col min="4" max="4" width="16.7109375" style="1258" customWidth="1"/>
    <col min="5" max="5" width="7.5703125" style="317" customWidth="1"/>
    <col min="6" max="6" width="2.7109375" style="317" customWidth="1"/>
    <col min="7" max="7" width="3.28515625" style="317" customWidth="1"/>
    <col min="8" max="16384" width="8" style="317"/>
  </cols>
  <sheetData>
    <row r="1" spans="1:7" ht="13.5" customHeight="1" x14ac:dyDescent="0.2">
      <c r="A1" s="2461" t="str">
        <f>'Single Audit Cover'!A7</f>
        <v>RANTOUL CITY SCHOOLS</v>
      </c>
      <c r="B1" s="2461"/>
      <c r="C1" s="2461"/>
      <c r="D1" s="2461"/>
      <c r="E1" s="2461"/>
      <c r="F1" s="2461"/>
    </row>
    <row r="2" spans="1:7" ht="13.5" customHeight="1" x14ac:dyDescent="0.2">
      <c r="A2" s="2462" t="str">
        <f>'Single Audit Cover'!E7</f>
        <v>09-010-1370-02</v>
      </c>
      <c r="B2" s="2462"/>
      <c r="C2" s="2462"/>
      <c r="D2" s="2462"/>
      <c r="E2" s="2462"/>
      <c r="F2" s="2462"/>
      <c r="G2" s="1275"/>
    </row>
    <row r="3" spans="1:7" ht="15.75" customHeight="1" x14ac:dyDescent="0.2">
      <c r="A3" s="2463" t="s">
        <v>1333</v>
      </c>
      <c r="B3" s="2463"/>
      <c r="C3" s="2463"/>
      <c r="D3" s="2463"/>
      <c r="E3" s="2463"/>
      <c r="F3" s="2463"/>
    </row>
    <row r="4" spans="1:7" ht="13.5" customHeight="1" x14ac:dyDescent="0.2">
      <c r="A4" s="2464" t="str">
        <f>'Single Audit Cover'!A4</f>
        <v>Year Ending June 30, 2018</v>
      </c>
      <c r="B4" s="2464"/>
      <c r="C4" s="2464"/>
      <c r="D4" s="2464"/>
      <c r="E4" s="2464"/>
      <c r="F4" s="2464"/>
    </row>
    <row r="5" spans="1:7" ht="8.25" customHeight="1" x14ac:dyDescent="0.2">
      <c r="C5" s="317"/>
      <c r="D5" s="317"/>
    </row>
    <row r="6" spans="1:7" ht="13.5" customHeight="1" x14ac:dyDescent="0.2">
      <c r="A6" s="1276" t="s">
        <v>1831</v>
      </c>
      <c r="C6" s="317"/>
      <c r="D6" s="317"/>
    </row>
    <row r="7" spans="1:7" ht="60.95" customHeight="1" x14ac:dyDescent="0.2">
      <c r="A7" s="2460" t="s">
        <v>2129</v>
      </c>
      <c r="B7" s="2460"/>
      <c r="C7" s="2460"/>
      <c r="D7" s="2460"/>
      <c r="E7" s="2460"/>
      <c r="F7" s="2460"/>
    </row>
    <row r="8" spans="1:7" ht="12" customHeight="1" x14ac:dyDescent="0.2">
      <c r="A8" s="1276"/>
      <c r="B8" s="1282"/>
      <c r="C8" s="1282"/>
      <c r="D8" s="1282"/>
    </row>
    <row r="9" spans="1:7" ht="15" customHeight="1" x14ac:dyDescent="0.2">
      <c r="A9" s="1277" t="s">
        <v>1832</v>
      </c>
      <c r="B9" s="1280"/>
      <c r="C9" s="1280"/>
      <c r="D9" s="1280"/>
      <c r="E9" s="1278"/>
      <c r="F9" s="1278"/>
      <c r="G9" s="1278"/>
    </row>
    <row r="10" spans="1:7" ht="15" customHeight="1" x14ac:dyDescent="0.2">
      <c r="A10" s="1279" t="s">
        <v>1628</v>
      </c>
      <c r="B10" s="1280"/>
      <c r="C10" s="1281" t="s">
        <v>2130</v>
      </c>
      <c r="D10" s="1280" t="s">
        <v>1629</v>
      </c>
      <c r="E10" s="1281"/>
      <c r="F10" s="1280" t="s">
        <v>101</v>
      </c>
      <c r="G10" s="1278"/>
    </row>
    <row r="11" spans="1:7" ht="12" customHeight="1" x14ac:dyDescent="0.2">
      <c r="A11" s="1279"/>
      <c r="B11" s="1280"/>
      <c r="C11" s="1927"/>
      <c r="D11" s="1280"/>
      <c r="E11" s="1927"/>
      <c r="F11" s="1280"/>
      <c r="G11" s="1278"/>
    </row>
    <row r="12" spans="1:7" x14ac:dyDescent="0.2">
      <c r="A12" s="1276" t="s">
        <v>1669</v>
      </c>
      <c r="C12" s="1260"/>
      <c r="D12" s="1260"/>
    </row>
    <row r="13" spans="1:7" ht="15" customHeight="1" x14ac:dyDescent="0.2">
      <c r="A13" s="2460" t="s">
        <v>2131</v>
      </c>
      <c r="B13" s="2460"/>
      <c r="C13" s="2460"/>
      <c r="D13" s="2460"/>
      <c r="E13" s="2460"/>
      <c r="F13" s="2460"/>
    </row>
    <row r="14" spans="1:7" ht="9.75" customHeight="1" x14ac:dyDescent="0.2">
      <c r="C14" s="1260"/>
      <c r="D14" s="1260"/>
    </row>
    <row r="15" spans="1:7" ht="13.5" customHeight="1" x14ac:dyDescent="0.2">
      <c r="C15" s="1871" t="s">
        <v>1332</v>
      </c>
      <c r="D15" s="2458" t="s">
        <v>1331</v>
      </c>
      <c r="E15" s="2458"/>
      <c r="F15" s="2458"/>
    </row>
    <row r="16" spans="1:7" ht="13.5" customHeight="1" x14ac:dyDescent="0.2">
      <c r="A16" s="1282"/>
      <c r="B16" s="1276" t="s">
        <v>1330</v>
      </c>
      <c r="C16" s="1871" t="s">
        <v>1329</v>
      </c>
      <c r="D16" s="2459" t="s">
        <v>1670</v>
      </c>
      <c r="E16" s="2459"/>
      <c r="F16" s="2459"/>
    </row>
    <row r="17" spans="1:6" ht="20.45" customHeight="1" x14ac:dyDescent="0.2">
      <c r="A17" s="1283"/>
      <c r="B17" s="1284" t="s">
        <v>2132</v>
      </c>
      <c r="C17" s="1285"/>
      <c r="D17" s="2453"/>
      <c r="E17" s="2453"/>
      <c r="F17" s="2453"/>
    </row>
    <row r="18" spans="1:6" ht="20.65" customHeight="1" x14ac:dyDescent="0.2">
      <c r="A18" s="1283"/>
      <c r="B18" s="1284"/>
      <c r="C18" s="1285"/>
      <c r="D18" s="2453"/>
      <c r="E18" s="2453"/>
      <c r="F18" s="2453"/>
    </row>
    <row r="19" spans="1:6" ht="20.65" customHeight="1" x14ac:dyDescent="0.2">
      <c r="A19" s="1283"/>
      <c r="B19" s="1284"/>
      <c r="C19" s="1285"/>
      <c r="D19" s="2453"/>
      <c r="E19" s="2453"/>
      <c r="F19" s="2453"/>
    </row>
    <row r="20" spans="1:6" ht="20.65" customHeight="1" x14ac:dyDescent="0.2">
      <c r="A20" s="1283"/>
      <c r="B20" s="1284"/>
      <c r="C20" s="1285"/>
      <c r="D20" s="2453"/>
      <c r="E20" s="2453"/>
      <c r="F20" s="2453"/>
    </row>
    <row r="21" spans="1:6" ht="20.65" customHeight="1" x14ac:dyDescent="0.2">
      <c r="A21" s="1283"/>
      <c r="B21" s="1284"/>
      <c r="C21" s="1285"/>
      <c r="D21" s="2453"/>
      <c r="E21" s="2453"/>
      <c r="F21" s="2453"/>
    </row>
    <row r="22" spans="1:6" ht="20.65" customHeight="1" x14ac:dyDescent="0.2">
      <c r="A22" s="1283"/>
      <c r="B22" s="1284"/>
      <c r="C22" s="1285"/>
      <c r="D22" s="2453"/>
      <c r="E22" s="2453"/>
      <c r="F22" s="2453"/>
    </row>
    <row r="23" spans="1:6" ht="20.65" customHeight="1" x14ac:dyDescent="0.2">
      <c r="A23" s="1283"/>
      <c r="B23" s="1284"/>
      <c r="C23" s="1285"/>
      <c r="D23" s="2453"/>
      <c r="E23" s="2453"/>
      <c r="F23" s="2453"/>
    </row>
    <row r="24" spans="1:6" ht="20.65" customHeight="1" x14ac:dyDescent="0.2">
      <c r="A24" s="1283"/>
      <c r="B24" s="1284"/>
      <c r="C24" s="1285"/>
      <c r="D24" s="2453"/>
      <c r="E24" s="2453"/>
      <c r="F24" s="2453"/>
    </row>
    <row r="25" spans="1:6" ht="20.65" customHeight="1" x14ac:dyDescent="0.2">
      <c r="A25" s="1283"/>
      <c r="B25" s="1284"/>
      <c r="C25" s="1285"/>
      <c r="D25" s="2453"/>
      <c r="E25" s="2453"/>
      <c r="F25" s="2453"/>
    </row>
    <row r="26" spans="1:6" ht="20.65" customHeight="1" x14ac:dyDescent="0.2">
      <c r="A26" s="1283"/>
      <c r="B26" s="1284"/>
      <c r="C26" s="1285"/>
      <c r="D26" s="2453"/>
      <c r="E26" s="2453"/>
      <c r="F26" s="2453"/>
    </row>
    <row r="27" spans="1:6" ht="20.65" customHeight="1" x14ac:dyDescent="0.2">
      <c r="A27" s="1283"/>
      <c r="B27" s="1284"/>
      <c r="C27" s="1285"/>
      <c r="D27" s="2453"/>
      <c r="E27" s="2453"/>
      <c r="F27" s="2453"/>
    </row>
    <row r="28" spans="1:6" ht="20.65" customHeight="1" x14ac:dyDescent="0.2">
      <c r="A28" s="1283"/>
      <c r="B28" s="1284"/>
      <c r="C28" s="1285"/>
      <c r="D28" s="2453"/>
      <c r="E28" s="2453"/>
      <c r="F28" s="2453"/>
    </row>
    <row r="29" spans="1:6" ht="20.65" customHeight="1" x14ac:dyDescent="0.2">
      <c r="A29" s="1283"/>
      <c r="B29" s="1284"/>
      <c r="C29" s="1285"/>
      <c r="D29" s="2453"/>
      <c r="E29" s="2453"/>
      <c r="F29" s="2453"/>
    </row>
    <row r="30" spans="1:6" ht="12" customHeight="1" x14ac:dyDescent="0.2">
      <c r="A30" s="328"/>
      <c r="B30" s="328"/>
      <c r="C30" s="1478"/>
      <c r="D30" s="1928"/>
      <c r="E30" s="1286"/>
    </row>
    <row r="31" spans="1:6" ht="12" customHeight="1" x14ac:dyDescent="0.2">
      <c r="A31" s="1287" t="s">
        <v>1630</v>
      </c>
      <c r="B31" s="328"/>
      <c r="C31" s="1478"/>
      <c r="D31" s="1928"/>
      <c r="E31" s="1286"/>
    </row>
    <row r="32" spans="1:6" ht="30" customHeight="1" x14ac:dyDescent="0.2">
      <c r="A32" s="2454" t="s">
        <v>1833</v>
      </c>
      <c r="B32" s="2454"/>
      <c r="C32" s="2454"/>
      <c r="D32" s="2454"/>
      <c r="E32" s="2454"/>
      <c r="F32" s="2454"/>
    </row>
    <row r="33" spans="1:6" ht="13.5" customHeight="1" x14ac:dyDescent="0.2">
      <c r="A33" s="328" t="s">
        <v>1509</v>
      </c>
      <c r="B33" s="328"/>
      <c r="C33" s="1288">
        <v>86532</v>
      </c>
      <c r="D33" s="1928"/>
      <c r="E33" s="1286"/>
    </row>
    <row r="34" spans="1:6" ht="13.5" customHeight="1" x14ac:dyDescent="0.2">
      <c r="A34" s="328" t="s">
        <v>1946</v>
      </c>
      <c r="B34" s="328"/>
      <c r="C34" s="1289">
        <v>0</v>
      </c>
      <c r="D34" s="1928" t="s">
        <v>1671</v>
      </c>
      <c r="E34" s="2455">
        <f>+C33+C34</f>
        <v>86532</v>
      </c>
      <c r="F34" s="2456"/>
    </row>
    <row r="35" spans="1:6" ht="12" customHeight="1" x14ac:dyDescent="0.2">
      <c r="A35" s="328"/>
      <c r="B35" s="328"/>
      <c r="C35" s="1929"/>
      <c r="D35" s="1928"/>
      <c r="E35" s="1290"/>
      <c r="F35" s="1291"/>
    </row>
    <row r="36" spans="1:6" ht="13.5" customHeight="1" x14ac:dyDescent="0.2">
      <c r="A36" s="1287" t="s">
        <v>1631</v>
      </c>
      <c r="B36" s="328"/>
      <c r="C36" s="1478"/>
      <c r="D36" s="1928"/>
      <c r="E36" s="1286"/>
    </row>
    <row r="37" spans="1:6" ht="14.25" customHeight="1" x14ac:dyDescent="0.2">
      <c r="A37" s="328" t="s">
        <v>1563</v>
      </c>
      <c r="B37" s="328"/>
      <c r="C37" s="1930"/>
      <c r="D37" s="1928"/>
      <c r="E37" s="1286"/>
    </row>
    <row r="38" spans="1:6" ht="14.25" customHeight="1" x14ac:dyDescent="0.2">
      <c r="A38" s="328"/>
      <c r="B38" s="328" t="s">
        <v>1510</v>
      </c>
      <c r="C38" s="1292" t="s">
        <v>2133</v>
      </c>
      <c r="D38" s="1928"/>
      <c r="E38" s="1286"/>
    </row>
    <row r="39" spans="1:6" ht="14.25" customHeight="1" x14ac:dyDescent="0.2">
      <c r="A39" s="328"/>
      <c r="B39" s="328" t="s">
        <v>1511</v>
      </c>
      <c r="C39" s="1292" t="s">
        <v>2133</v>
      </c>
      <c r="D39" s="1928"/>
      <c r="E39" s="1286"/>
    </row>
    <row r="40" spans="1:6" ht="14.25" customHeight="1" x14ac:dyDescent="0.2">
      <c r="A40" s="328"/>
      <c r="B40" s="328" t="s">
        <v>1512</v>
      </c>
      <c r="C40" s="1292" t="s">
        <v>2133</v>
      </c>
      <c r="D40" s="1928"/>
      <c r="E40" s="1286"/>
    </row>
    <row r="41" spans="1:6" ht="14.25" customHeight="1" x14ac:dyDescent="0.2">
      <c r="A41" s="328"/>
      <c r="B41" s="328" t="s">
        <v>1513</v>
      </c>
      <c r="C41" s="1292" t="s">
        <v>2133</v>
      </c>
      <c r="D41" s="1928"/>
      <c r="E41" s="1286"/>
    </row>
    <row r="42" spans="1:6" ht="14.25" customHeight="1" x14ac:dyDescent="0.2">
      <c r="A42" s="328" t="s">
        <v>1514</v>
      </c>
      <c r="B42" s="328"/>
      <c r="C42" s="1926" t="s">
        <v>2133</v>
      </c>
      <c r="D42" s="1928"/>
      <c r="E42" s="1286"/>
    </row>
    <row r="43" spans="1:6" ht="14.25" customHeight="1" x14ac:dyDescent="0.2">
      <c r="A43" s="328" t="s">
        <v>1515</v>
      </c>
      <c r="B43" s="328"/>
      <c r="C43" s="1293" t="s">
        <v>2133</v>
      </c>
      <c r="D43" s="1928"/>
      <c r="E43" s="1286"/>
    </row>
    <row r="44" spans="1:6" ht="14.25" customHeight="1" x14ac:dyDescent="0.2">
      <c r="A44" s="328"/>
      <c r="B44" s="328"/>
      <c r="C44" s="1930" t="s">
        <v>1516</v>
      </c>
      <c r="D44" s="1928"/>
      <c r="E44" s="1286"/>
    </row>
    <row r="45" spans="1:6" ht="13.5" customHeight="1" x14ac:dyDescent="0.2">
      <c r="B45" s="322"/>
      <c r="C45" s="1294"/>
      <c r="D45" s="1294"/>
    </row>
    <row r="46" spans="1:6" x14ac:dyDescent="0.2">
      <c r="A46" s="1295" t="s">
        <v>1834</v>
      </c>
      <c r="C46" s="317"/>
      <c r="D46" s="317"/>
    </row>
    <row r="47" spans="1:6" s="322" customFormat="1" ht="11.25" customHeight="1" x14ac:dyDescent="0.2">
      <c r="A47" s="1296"/>
      <c r="B47" s="1297"/>
      <c r="C47" s="1297"/>
      <c r="D47" s="1297"/>
      <c r="E47" s="1297"/>
      <c r="F47" s="1297"/>
    </row>
    <row r="48" spans="1:6" s="322" customFormat="1" ht="6" customHeight="1" x14ac:dyDescent="0.2">
      <c r="A48" s="1298"/>
    </row>
    <row r="49" spans="1:5" s="1300" customFormat="1" ht="23.25" customHeight="1" x14ac:dyDescent="0.2">
      <c r="A49" s="1299">
        <v>5</v>
      </c>
      <c r="B49" s="2457" t="s">
        <v>1672</v>
      </c>
      <c r="C49" s="2457"/>
      <c r="D49" s="2457"/>
      <c r="E49" s="1399"/>
    </row>
    <row r="50" spans="1:5" s="1300" customFormat="1" ht="3.75" customHeight="1" x14ac:dyDescent="0.2">
      <c r="A50" s="1299"/>
      <c r="B50" s="1870"/>
      <c r="C50" s="1870"/>
      <c r="D50" s="1870"/>
      <c r="E50" s="1399"/>
    </row>
    <row r="51" spans="1:5" s="1300" customFormat="1" ht="20.25" customHeight="1" x14ac:dyDescent="0.2">
      <c r="A51" s="1301">
        <v>6</v>
      </c>
      <c r="B51" s="2452" t="s">
        <v>1632</v>
      </c>
      <c r="C51" s="2452"/>
      <c r="D51" s="2452"/>
    </row>
    <row r="52" spans="1:5" ht="14.25" customHeight="1" x14ac:dyDescent="0.2">
      <c r="A52" s="1301"/>
      <c r="B52" s="2452"/>
      <c r="C52" s="2452"/>
      <c r="D52" s="2452"/>
    </row>
  </sheetData>
  <sheetProtection sheet="1" objects="1" scenarios="1"/>
  <mergeCells count="26">
    <mergeCell ref="A13:F13"/>
    <mergeCell ref="A7:F7"/>
    <mergeCell ref="A1:F1"/>
    <mergeCell ref="A2:F2"/>
    <mergeCell ref="A3:F3"/>
    <mergeCell ref="A4:F4"/>
    <mergeCell ref="D26:F26"/>
    <mergeCell ref="D15:F15"/>
    <mergeCell ref="D16:F16"/>
    <mergeCell ref="D17:F17"/>
    <mergeCell ref="D18:F18"/>
    <mergeCell ref="D19:F19"/>
    <mergeCell ref="D20:F20"/>
    <mergeCell ref="D21:F21"/>
    <mergeCell ref="D22:F22"/>
    <mergeCell ref="D23:F23"/>
    <mergeCell ref="D24:F24"/>
    <mergeCell ref="D25:F25"/>
    <mergeCell ref="B51:D51"/>
    <mergeCell ref="B52:D52"/>
    <mergeCell ref="D27:F27"/>
    <mergeCell ref="D28:F28"/>
    <mergeCell ref="D29:F29"/>
    <mergeCell ref="A32:F32"/>
    <mergeCell ref="E34:F34"/>
    <mergeCell ref="B49:D49"/>
  </mergeCells>
  <pageMargins left="0.9" right="0.27" top="0.43" bottom="0" header="0.26" footer="0.5"/>
  <pageSetup scale="90" firstPageNumber="39" orientation="portrait" useFirstPageNumber="1" r:id="rId1"/>
  <headerFooter alignWithMargins="0">
    <oddHeader>&amp;L&amp;8Page 41&amp;R&amp;8Page 41</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2"/>
  <sheetViews>
    <sheetView showGridLines="0" zoomScaleNormal="100" workbookViewId="0">
      <selection activeCell="I21" sqref="I21"/>
    </sheetView>
  </sheetViews>
  <sheetFormatPr defaultColWidth="33.5703125" defaultRowHeight="12.75" x14ac:dyDescent="0.2"/>
  <cols>
    <col min="1" max="1" width="0.140625" style="317" customWidth="1"/>
    <col min="2" max="2" width="32.85546875" style="317" customWidth="1"/>
    <col min="3" max="3" width="8.7109375" style="1357" customWidth="1"/>
    <col min="4" max="4" width="12.7109375" style="1358" customWidth="1"/>
    <col min="5" max="6" width="11.7109375" style="317" customWidth="1"/>
    <col min="7" max="7" width="11.7109375" style="1258" customWidth="1"/>
    <col min="8" max="8" width="13.7109375" style="1258" bestFit="1" customWidth="1"/>
    <col min="9" max="9" width="11.7109375" style="1258" customWidth="1"/>
    <col min="10" max="10" width="13.7109375" style="1258" customWidth="1"/>
    <col min="11" max="12" width="11.7109375" style="1258" customWidth="1"/>
    <col min="13" max="13" width="11.7109375" style="317" customWidth="1"/>
    <col min="14" max="14" width="2.7109375" style="317" customWidth="1"/>
    <col min="15" max="16384" width="33.5703125" style="317"/>
  </cols>
  <sheetData>
    <row r="1" spans="2:14" ht="11.85" customHeight="1" x14ac:dyDescent="0.2">
      <c r="B1" s="2431" t="str">
        <f>'Single Audit Cover'!A7</f>
        <v>RANTOUL CITY SCHOOLS</v>
      </c>
      <c r="C1" s="2465"/>
      <c r="D1" s="2465"/>
      <c r="E1" s="2465"/>
      <c r="F1" s="2465"/>
      <c r="G1" s="2465"/>
      <c r="H1" s="2465"/>
      <c r="I1" s="2465"/>
      <c r="J1" s="2465"/>
      <c r="K1" s="2465"/>
      <c r="L1" s="2465"/>
      <c r="M1" s="2465"/>
    </row>
    <row r="2" spans="2:14" ht="15" x14ac:dyDescent="0.2">
      <c r="B2" s="2462" t="str">
        <f>'Single Audit Cover'!E7</f>
        <v>09-010-1370-02</v>
      </c>
      <c r="C2" s="2462"/>
      <c r="D2" s="2462"/>
      <c r="E2" s="2462"/>
      <c r="F2" s="2462"/>
      <c r="G2" s="2462"/>
      <c r="H2" s="2462"/>
      <c r="I2" s="2462"/>
      <c r="J2" s="2462"/>
      <c r="K2" s="2462"/>
      <c r="L2" s="2462"/>
      <c r="M2" s="2462"/>
      <c r="N2" s="1302"/>
    </row>
    <row r="3" spans="2:14" ht="15" x14ac:dyDescent="0.2">
      <c r="B3" s="2466" t="s">
        <v>1281</v>
      </c>
      <c r="C3" s="2466"/>
      <c r="D3" s="2466"/>
      <c r="E3" s="2466"/>
      <c r="F3" s="2466"/>
      <c r="G3" s="2466"/>
      <c r="H3" s="2466"/>
      <c r="I3" s="2466"/>
      <c r="J3" s="2466"/>
      <c r="K3" s="2466"/>
      <c r="L3" s="2466"/>
      <c r="M3" s="2466"/>
      <c r="N3" s="1302"/>
    </row>
    <row r="4" spans="2:14" ht="15" x14ac:dyDescent="0.2">
      <c r="B4" s="2467" t="str">
        <f>'Single Audit Cover'!A4</f>
        <v>Year Ending June 30, 2018</v>
      </c>
      <c r="C4" s="2467"/>
      <c r="D4" s="2467"/>
      <c r="E4" s="2467"/>
      <c r="F4" s="2467"/>
      <c r="G4" s="2467"/>
      <c r="H4" s="2467"/>
      <c r="I4" s="2467"/>
      <c r="J4" s="2467"/>
      <c r="K4" s="2467"/>
      <c r="L4" s="2467"/>
      <c r="M4" s="2467"/>
      <c r="N4" s="1302"/>
    </row>
    <row r="6" spans="2:14" x14ac:dyDescent="0.2">
      <c r="B6" s="1303"/>
      <c r="C6" s="1304"/>
      <c r="D6" s="1305" t="s">
        <v>1327</v>
      </c>
      <c r="E6" s="1306" t="s">
        <v>548</v>
      </c>
      <c r="F6" s="1307"/>
      <c r="G6" s="1308" t="s">
        <v>1835</v>
      </c>
      <c r="H6" s="1306"/>
      <c r="I6" s="1306"/>
      <c r="J6" s="1306"/>
      <c r="K6" s="1309"/>
      <c r="L6" s="1310"/>
      <c r="M6" s="1311"/>
    </row>
    <row r="7" spans="2:14" x14ac:dyDescent="0.2">
      <c r="B7" s="1312" t="s">
        <v>1662</v>
      </c>
      <c r="C7" s="1313"/>
      <c r="D7" s="1314"/>
      <c r="E7" s="1315"/>
      <c r="F7" s="1316"/>
      <c r="G7" s="1315"/>
      <c r="H7" s="1317" t="s">
        <v>1324</v>
      </c>
      <c r="I7" s="1315"/>
      <c r="J7" s="1318" t="s">
        <v>1324</v>
      </c>
      <c r="K7" s="1319"/>
      <c r="L7" s="1320" t="s">
        <v>1322</v>
      </c>
      <c r="M7" s="1321"/>
    </row>
    <row r="8" spans="2:14" x14ac:dyDescent="0.2">
      <c r="B8" s="1687"/>
      <c r="C8" s="1313" t="s">
        <v>1326</v>
      </c>
      <c r="D8" s="1314" t="s">
        <v>1325</v>
      </c>
      <c r="E8" s="1322" t="s">
        <v>1324</v>
      </c>
      <c r="F8" s="1323" t="s">
        <v>1324</v>
      </c>
      <c r="G8" s="1324" t="s">
        <v>1324</v>
      </c>
      <c r="H8" s="1317" t="s">
        <v>1663</v>
      </c>
      <c r="I8" s="1319" t="s">
        <v>1324</v>
      </c>
      <c r="J8" s="1318" t="s">
        <v>1947</v>
      </c>
      <c r="K8" s="1319" t="s">
        <v>1323</v>
      </c>
      <c r="L8" s="1320" t="s">
        <v>1319</v>
      </c>
      <c r="M8" s="1321" t="s">
        <v>30</v>
      </c>
    </row>
    <row r="9" spans="2:14" ht="14.25" x14ac:dyDescent="0.2">
      <c r="B9" s="1325" t="s">
        <v>1321</v>
      </c>
      <c r="C9" s="1313" t="s">
        <v>1836</v>
      </c>
      <c r="D9" s="1314" t="s">
        <v>1837</v>
      </c>
      <c r="E9" s="1322" t="s">
        <v>1663</v>
      </c>
      <c r="F9" s="1323" t="s">
        <v>1947</v>
      </c>
      <c r="G9" s="1324" t="s">
        <v>1663</v>
      </c>
      <c r="H9" s="1317" t="s">
        <v>1664</v>
      </c>
      <c r="I9" s="1319" t="s">
        <v>1947</v>
      </c>
      <c r="J9" s="1318" t="s">
        <v>1664</v>
      </c>
      <c r="K9" s="1319" t="s">
        <v>1320</v>
      </c>
      <c r="L9" s="1326" t="s">
        <v>1665</v>
      </c>
      <c r="M9" s="1321"/>
    </row>
    <row r="10" spans="2:14" ht="11.85" customHeight="1" x14ac:dyDescent="0.2">
      <c r="B10" s="1325" t="s">
        <v>1318</v>
      </c>
      <c r="C10" s="1327" t="s">
        <v>1317</v>
      </c>
      <c r="D10" s="1328" t="s">
        <v>1316</v>
      </c>
      <c r="E10" s="1329" t="s">
        <v>1315</v>
      </c>
      <c r="F10" s="1330" t="s">
        <v>1314</v>
      </c>
      <c r="G10" s="1331" t="s">
        <v>1313</v>
      </c>
      <c r="H10" s="1332" t="s">
        <v>1328</v>
      </c>
      <c r="I10" s="1333" t="s">
        <v>1312</v>
      </c>
      <c r="J10" s="1334" t="s">
        <v>1328</v>
      </c>
      <c r="K10" s="1335" t="s">
        <v>1311</v>
      </c>
      <c r="L10" s="1335" t="s">
        <v>1310</v>
      </c>
      <c r="M10" s="1336" t="s">
        <v>1309</v>
      </c>
    </row>
    <row r="11" spans="2:14" ht="20.100000000000001" customHeight="1" x14ac:dyDescent="0.2">
      <c r="B11" s="1337" t="s">
        <v>2161</v>
      </c>
      <c r="C11" s="1338" t="s">
        <v>2156</v>
      </c>
      <c r="D11" s="1339" t="s">
        <v>2158</v>
      </c>
      <c r="E11" s="1340"/>
      <c r="F11" s="1340">
        <v>525584</v>
      </c>
      <c r="G11" s="1340"/>
      <c r="H11" s="1340"/>
      <c r="I11" s="1340">
        <v>610825</v>
      </c>
      <c r="J11" s="1340"/>
      <c r="K11" s="1340"/>
      <c r="L11" s="1340">
        <f>+G11+I11+K11</f>
        <v>610825</v>
      </c>
      <c r="M11" s="1340">
        <v>842000</v>
      </c>
    </row>
    <row r="12" spans="2:14" ht="20.100000000000001" customHeight="1" x14ac:dyDescent="0.2">
      <c r="B12" s="1337" t="s">
        <v>2159</v>
      </c>
      <c r="C12" s="1341" t="s">
        <v>2156</v>
      </c>
      <c r="D12" s="1342" t="s">
        <v>2160</v>
      </c>
      <c r="E12" s="1343"/>
      <c r="F12" s="1343">
        <v>3377</v>
      </c>
      <c r="G12" s="1343"/>
      <c r="H12" s="1343"/>
      <c r="I12" s="1343">
        <v>3377</v>
      </c>
      <c r="J12" s="1343"/>
      <c r="K12" s="1343"/>
      <c r="L12" s="1340">
        <f t="shared" ref="L12:L27" si="0">+G12+I12+K12</f>
        <v>3377</v>
      </c>
      <c r="M12" s="1343"/>
    </row>
    <row r="13" spans="2:14" ht="20.100000000000001" customHeight="1" x14ac:dyDescent="0.2">
      <c r="B13" s="1337" t="s">
        <v>2162</v>
      </c>
      <c r="C13" s="1341" t="s">
        <v>2163</v>
      </c>
      <c r="D13" s="1342" t="s">
        <v>2164</v>
      </c>
      <c r="E13" s="1343"/>
      <c r="F13" s="1343">
        <v>16066</v>
      </c>
      <c r="G13" s="1343"/>
      <c r="H13" s="1343"/>
      <c r="I13" s="1343">
        <v>17794</v>
      </c>
      <c r="J13" s="1343"/>
      <c r="K13" s="1343"/>
      <c r="L13" s="1340">
        <f t="shared" si="0"/>
        <v>17794</v>
      </c>
      <c r="M13" s="1343">
        <v>18125</v>
      </c>
    </row>
    <row r="14" spans="2:14" ht="20.100000000000001" customHeight="1" x14ac:dyDescent="0.2">
      <c r="B14" s="1337" t="s">
        <v>2165</v>
      </c>
      <c r="C14" s="1341" t="s">
        <v>2166</v>
      </c>
      <c r="D14" s="1342" t="s">
        <v>2167</v>
      </c>
      <c r="E14" s="1343">
        <v>59148</v>
      </c>
      <c r="F14" s="1343">
        <v>11427</v>
      </c>
      <c r="G14" s="1343">
        <v>70575</v>
      </c>
      <c r="H14" s="1343"/>
      <c r="I14" s="1343"/>
      <c r="J14" s="1343"/>
      <c r="K14" s="1343"/>
      <c r="L14" s="1340">
        <f t="shared" si="0"/>
        <v>70575</v>
      </c>
      <c r="M14" s="1343">
        <v>78500</v>
      </c>
    </row>
    <row r="15" spans="2:14" ht="20.100000000000001" customHeight="1" x14ac:dyDescent="0.2">
      <c r="B15" s="1337" t="s">
        <v>2165</v>
      </c>
      <c r="C15" s="1341" t="s">
        <v>2166</v>
      </c>
      <c r="D15" s="1342" t="s">
        <v>2168</v>
      </c>
      <c r="E15" s="1343"/>
      <c r="F15" s="1343">
        <v>68660</v>
      </c>
      <c r="G15" s="1343"/>
      <c r="H15" s="1343"/>
      <c r="I15" s="1343">
        <v>68660</v>
      </c>
      <c r="J15" s="1343"/>
      <c r="K15" s="1343"/>
      <c r="L15" s="1340">
        <f t="shared" si="0"/>
        <v>68660</v>
      </c>
      <c r="M15" s="1343">
        <v>68660</v>
      </c>
    </row>
    <row r="16" spans="2:14" ht="20.100000000000001" customHeight="1" x14ac:dyDescent="0.2">
      <c r="B16" s="1337"/>
      <c r="C16" s="1341"/>
      <c r="D16" s="1342"/>
      <c r="E16" s="1343"/>
      <c r="F16" s="1343"/>
      <c r="G16" s="1343"/>
      <c r="H16" s="1343"/>
      <c r="I16" s="1343"/>
      <c r="J16" s="1343"/>
      <c r="K16" s="1343"/>
      <c r="L16" s="1340">
        <f t="shared" si="0"/>
        <v>0</v>
      </c>
      <c r="M16" s="1343"/>
    </row>
    <row r="17" spans="2:14" ht="20.100000000000001" customHeight="1" x14ac:dyDescent="0.2">
      <c r="B17" s="1337" t="s">
        <v>2169</v>
      </c>
      <c r="C17" s="1341"/>
      <c r="D17" s="1342"/>
      <c r="E17" s="1343"/>
      <c r="F17" s="1343"/>
      <c r="G17" s="1343"/>
      <c r="H17" s="1343"/>
      <c r="I17" s="1343"/>
      <c r="J17" s="1343"/>
      <c r="K17" s="1343"/>
      <c r="L17" s="1340">
        <f t="shared" si="0"/>
        <v>0</v>
      </c>
      <c r="M17" s="1343"/>
    </row>
    <row r="18" spans="2:14" ht="20.100000000000001" customHeight="1" x14ac:dyDescent="0.2">
      <c r="B18" s="1337" t="s">
        <v>2170</v>
      </c>
      <c r="C18" s="1341" t="s">
        <v>2171</v>
      </c>
      <c r="D18" s="1342" t="s">
        <v>2172</v>
      </c>
      <c r="E18" s="1343"/>
      <c r="F18" s="1343">
        <v>46084</v>
      </c>
      <c r="G18" s="1343"/>
      <c r="H18" s="1343"/>
      <c r="I18" s="1343">
        <v>46084</v>
      </c>
      <c r="J18" s="1343"/>
      <c r="K18" s="1343"/>
      <c r="L18" s="1340">
        <f t="shared" si="0"/>
        <v>46084</v>
      </c>
      <c r="M18" s="1343"/>
    </row>
    <row r="19" spans="2:14" ht="20.100000000000001" customHeight="1" x14ac:dyDescent="0.2">
      <c r="B19" s="1337"/>
      <c r="C19" s="1341"/>
      <c r="D19" s="1342"/>
      <c r="E19" s="1343"/>
      <c r="F19" s="1343"/>
      <c r="G19" s="1343"/>
      <c r="H19" s="1343"/>
      <c r="I19" s="1343"/>
      <c r="J19" s="1343"/>
      <c r="K19" s="1343"/>
      <c r="L19" s="1340">
        <f t="shared" si="0"/>
        <v>0</v>
      </c>
      <c r="M19" s="1343"/>
    </row>
    <row r="20" spans="2:14" ht="20.100000000000001" customHeight="1" x14ac:dyDescent="0.2">
      <c r="B20" s="1337" t="s">
        <v>2173</v>
      </c>
      <c r="C20" s="1341"/>
      <c r="D20" s="1342"/>
      <c r="E20" s="1343">
        <v>1081580</v>
      </c>
      <c r="F20" s="1343">
        <v>1809375</v>
      </c>
      <c r="G20" s="1343">
        <v>1194435</v>
      </c>
      <c r="H20" s="1343"/>
      <c r="I20" s="1343">
        <v>1832947</v>
      </c>
      <c r="J20" s="1343"/>
      <c r="K20" s="1343"/>
      <c r="L20" s="1340">
        <f t="shared" si="0"/>
        <v>3027382</v>
      </c>
      <c r="M20" s="1343"/>
    </row>
    <row r="21" spans="2:14" ht="20.100000000000001" customHeight="1" x14ac:dyDescent="0.2">
      <c r="B21" s="1337"/>
      <c r="C21" s="1341"/>
      <c r="D21" s="1342"/>
      <c r="E21" s="1343"/>
      <c r="F21" s="1343"/>
      <c r="G21" s="1343"/>
      <c r="H21" s="1343"/>
      <c r="I21" s="1343"/>
      <c r="J21" s="1343"/>
      <c r="K21" s="1343"/>
      <c r="L21" s="1340">
        <f t="shared" si="0"/>
        <v>0</v>
      </c>
      <c r="M21" s="1343"/>
    </row>
    <row r="22" spans="2:14" ht="20.100000000000001" customHeight="1" x14ac:dyDescent="0.2">
      <c r="B22" s="1337"/>
      <c r="C22" s="1341"/>
      <c r="D22" s="1342"/>
      <c r="E22" s="1343"/>
      <c r="F22" s="1343"/>
      <c r="G22" s="1343"/>
      <c r="H22" s="1343"/>
      <c r="I22" s="1343"/>
      <c r="J22" s="1343"/>
      <c r="K22" s="1343"/>
      <c r="L22" s="1340">
        <f t="shared" si="0"/>
        <v>0</v>
      </c>
      <c r="M22" s="1343"/>
    </row>
    <row r="23" spans="2:14" ht="20.100000000000001" customHeight="1" x14ac:dyDescent="0.2">
      <c r="B23" s="1337"/>
      <c r="C23" s="1341"/>
      <c r="D23" s="1342"/>
      <c r="E23" s="1343"/>
      <c r="F23" s="1343"/>
      <c r="G23" s="1343"/>
      <c r="H23" s="1343"/>
      <c r="I23" s="1343"/>
      <c r="J23" s="1343"/>
      <c r="K23" s="1343"/>
      <c r="L23" s="1340">
        <f t="shared" si="0"/>
        <v>0</v>
      </c>
      <c r="M23" s="1343"/>
    </row>
    <row r="24" spans="2:14" ht="20.100000000000001" customHeight="1" x14ac:dyDescent="0.2">
      <c r="B24" s="1337"/>
      <c r="C24" s="1341"/>
      <c r="D24" s="1342"/>
      <c r="E24" s="1343"/>
      <c r="F24" s="1343"/>
      <c r="G24" s="1343"/>
      <c r="H24" s="1343"/>
      <c r="I24" s="1343"/>
      <c r="J24" s="1343"/>
      <c r="K24" s="1343"/>
      <c r="L24" s="1340">
        <f t="shared" si="0"/>
        <v>0</v>
      </c>
      <c r="M24" s="1343"/>
    </row>
    <row r="25" spans="2:14" ht="20.100000000000001" customHeight="1" x14ac:dyDescent="0.2">
      <c r="B25" s="1337"/>
      <c r="C25" s="1341"/>
      <c r="D25" s="1342"/>
      <c r="E25" s="1343"/>
      <c r="F25" s="1343"/>
      <c r="G25" s="1343"/>
      <c r="H25" s="1343"/>
      <c r="I25" s="1343"/>
      <c r="J25" s="1343"/>
      <c r="K25" s="1343"/>
      <c r="L25" s="1340">
        <f t="shared" si="0"/>
        <v>0</v>
      </c>
      <c r="M25" s="1343"/>
    </row>
    <row r="26" spans="2:14" ht="20.100000000000001" customHeight="1" x14ac:dyDescent="0.2">
      <c r="B26" s="1337"/>
      <c r="C26" s="1341"/>
      <c r="D26" s="1342"/>
      <c r="E26" s="1343"/>
      <c r="F26" s="1343"/>
      <c r="G26" s="1343"/>
      <c r="H26" s="1343"/>
      <c r="I26" s="1343"/>
      <c r="J26" s="1343"/>
      <c r="K26" s="1343"/>
      <c r="L26" s="1340">
        <f t="shared" si="0"/>
        <v>0</v>
      </c>
      <c r="M26" s="1343"/>
    </row>
    <row r="27" spans="2:14" ht="20.100000000000001" customHeight="1" x14ac:dyDescent="0.2">
      <c r="B27" s="1337"/>
      <c r="C27" s="1341"/>
      <c r="D27" s="1342"/>
      <c r="E27" s="1343"/>
      <c r="F27" s="1343"/>
      <c r="G27" s="1343"/>
      <c r="H27" s="1343"/>
      <c r="I27" s="1343"/>
      <c r="J27" s="1343"/>
      <c r="K27" s="1343"/>
      <c r="L27" s="1340">
        <f t="shared" si="0"/>
        <v>0</v>
      </c>
      <c r="M27" s="1343"/>
      <c r="N27" s="1344"/>
    </row>
    <row r="28" spans="2:14" ht="12.75" customHeight="1" x14ac:dyDescent="0.2">
      <c r="B28" s="1345"/>
      <c r="C28" s="1346"/>
      <c r="D28" s="1347"/>
      <c r="E28" s="1348"/>
      <c r="F28" s="1348"/>
      <c r="G28" s="1348"/>
      <c r="H28" s="1348"/>
      <c r="I28" s="1348"/>
      <c r="J28" s="1348"/>
      <c r="K28" s="1348"/>
      <c r="L28" s="1348"/>
      <c r="M28" s="1348"/>
      <c r="N28" s="1344"/>
    </row>
    <row r="29" spans="2:14" x14ac:dyDescent="0.2">
      <c r="B29" s="1257"/>
      <c r="C29" s="1349"/>
      <c r="D29" s="1350"/>
      <c r="E29" s="1257"/>
      <c r="F29" s="1257"/>
      <c r="G29" s="1250"/>
      <c r="H29" s="1250"/>
      <c r="I29" s="1250"/>
      <c r="J29" s="1250"/>
      <c r="K29" s="1250"/>
      <c r="L29" s="1250"/>
      <c r="M29" s="1257"/>
      <c r="N29" s="1344"/>
    </row>
    <row r="30" spans="2:14" ht="13.5" customHeight="1" x14ac:dyDescent="0.2">
      <c r="B30" s="1282" t="s">
        <v>1838</v>
      </c>
      <c r="C30" s="1349"/>
      <c r="D30" s="1350"/>
      <c r="E30" s="1257"/>
      <c r="F30" s="1257"/>
      <c r="G30" s="1250"/>
      <c r="H30" s="1250"/>
      <c r="I30" s="1250"/>
      <c r="J30" s="1250"/>
      <c r="K30" s="1250"/>
      <c r="L30" s="1250"/>
      <c r="M30" s="1257"/>
      <c r="N30" s="1344"/>
    </row>
    <row r="31" spans="2:14" ht="8.25" customHeight="1" x14ac:dyDescent="0.2">
      <c r="B31" s="1282"/>
      <c r="C31" s="1349"/>
      <c r="D31" s="1350"/>
      <c r="E31" s="1257"/>
      <c r="F31" s="1257"/>
      <c r="G31" s="1250"/>
      <c r="H31" s="1250"/>
      <c r="I31" s="1250"/>
      <c r="J31" s="1250"/>
      <c r="K31" s="1250"/>
      <c r="L31" s="1250"/>
      <c r="M31" s="1257"/>
      <c r="N31" s="1344"/>
    </row>
    <row r="32" spans="2:14" x14ac:dyDescent="0.2">
      <c r="B32" s="1351" t="s">
        <v>1948</v>
      </c>
      <c r="C32" s="1352"/>
      <c r="D32" s="1353"/>
      <c r="E32" s="1354"/>
      <c r="F32" s="1354"/>
      <c r="G32" s="1354"/>
      <c r="H32" s="1354"/>
      <c r="I32" s="317"/>
      <c r="J32" s="317"/>
    </row>
    <row r="33" spans="2:13" x14ac:dyDescent="0.2">
      <c r="B33" s="1277"/>
      <c r="C33" s="1355"/>
      <c r="D33" s="1356"/>
      <c r="E33" s="1278"/>
      <c r="F33" s="1278"/>
      <c r="G33" s="317"/>
      <c r="H33" s="317"/>
      <c r="I33" s="317"/>
      <c r="J33" s="317"/>
    </row>
    <row r="34" spans="2:13" ht="13.5" customHeight="1" x14ac:dyDescent="0.2">
      <c r="B34" s="1276" t="s">
        <v>1308</v>
      </c>
      <c r="G34" s="317"/>
      <c r="H34" s="317"/>
      <c r="I34" s="317"/>
      <c r="J34" s="317"/>
    </row>
    <row r="35" spans="2:13" ht="13.5" customHeight="1" x14ac:dyDescent="0.2">
      <c r="B35" s="1359"/>
      <c r="C35" s="1360"/>
      <c r="D35" s="1361"/>
      <c r="E35" s="1297"/>
      <c r="F35" s="1297"/>
      <c r="G35" s="1297"/>
      <c r="H35" s="1297"/>
      <c r="I35" s="1297"/>
      <c r="J35" s="1297"/>
      <c r="K35" s="1362"/>
      <c r="L35" s="1362"/>
      <c r="M35" s="1297"/>
    </row>
    <row r="36" spans="2:13" ht="9.6" customHeight="1" x14ac:dyDescent="0.2">
      <c r="B36" s="1363"/>
      <c r="G36" s="317"/>
      <c r="H36" s="317"/>
      <c r="I36" s="317"/>
      <c r="J36" s="317"/>
    </row>
    <row r="37" spans="2:13" ht="11.25" customHeight="1" x14ac:dyDescent="0.2">
      <c r="B37" s="1364" t="s">
        <v>1839</v>
      </c>
      <c r="C37" s="1365"/>
      <c r="D37" s="1365"/>
      <c r="E37" s="1365"/>
      <c r="F37" s="1365"/>
      <c r="G37" s="1365"/>
      <c r="H37" s="1365"/>
      <c r="I37" s="1366"/>
      <c r="J37" s="1366"/>
      <c r="K37" s="1366"/>
      <c r="L37" s="1366"/>
      <c r="M37" s="1366"/>
    </row>
    <row r="38" spans="2:13" ht="11.25" customHeight="1" x14ac:dyDescent="0.2">
      <c r="B38" s="1367" t="s">
        <v>1666</v>
      </c>
      <c r="C38" s="1366"/>
      <c r="D38" s="1366"/>
      <c r="E38" s="1366"/>
      <c r="F38" s="1366"/>
      <c r="G38" s="1366"/>
      <c r="H38" s="1366"/>
      <c r="I38" s="1366"/>
      <c r="J38" s="1366"/>
      <c r="K38" s="1366"/>
      <c r="L38" s="1366"/>
      <c r="M38" s="1366"/>
    </row>
    <row r="39" spans="2:13" ht="3.95" customHeight="1" x14ac:dyDescent="0.2">
      <c r="B39" s="1367"/>
      <c r="C39" s="1366"/>
      <c r="D39" s="1366"/>
      <c r="E39" s="1366"/>
      <c r="F39" s="1366"/>
      <c r="G39" s="1366"/>
      <c r="H39" s="1366"/>
      <c r="I39" s="1366"/>
      <c r="J39" s="1366"/>
      <c r="K39" s="1366"/>
      <c r="L39" s="1366"/>
      <c r="M39" s="1366"/>
    </row>
    <row r="40" spans="2:13" ht="11.25" customHeight="1" x14ac:dyDescent="0.2">
      <c r="B40" s="1364" t="s">
        <v>1840</v>
      </c>
      <c r="C40" s="1366"/>
      <c r="D40" s="1366"/>
      <c r="E40" s="1366"/>
      <c r="F40" s="1366"/>
      <c r="G40" s="1366"/>
      <c r="H40" s="1366"/>
      <c r="I40" s="1366"/>
      <c r="J40" s="1366"/>
      <c r="K40" s="1366"/>
      <c r="L40" s="1366"/>
      <c r="M40" s="1366"/>
    </row>
    <row r="41" spans="2:13" ht="11.25" customHeight="1" x14ac:dyDescent="0.2">
      <c r="B41" s="1300" t="s">
        <v>1667</v>
      </c>
      <c r="C41" s="1368"/>
      <c r="D41" s="1369"/>
      <c r="E41" s="1300"/>
      <c r="F41" s="1300"/>
      <c r="G41" s="1300"/>
      <c r="H41" s="1300"/>
      <c r="I41" s="1300"/>
      <c r="J41" s="1300"/>
      <c r="K41" s="1370"/>
      <c r="L41" s="1370"/>
      <c r="M41" s="1300"/>
    </row>
    <row r="42" spans="2:13" ht="3.95" customHeight="1" x14ac:dyDescent="0.2">
      <c r="B42" s="1300"/>
      <c r="C42" s="1368"/>
      <c r="D42" s="1369"/>
      <c r="E42" s="1300"/>
      <c r="F42" s="1300"/>
      <c r="G42" s="1300"/>
      <c r="H42" s="1300"/>
      <c r="I42" s="1300"/>
      <c r="J42" s="1300"/>
      <c r="K42" s="1370"/>
      <c r="L42" s="1370"/>
      <c r="M42" s="1300"/>
    </row>
    <row r="43" spans="2:13" ht="11.25" customHeight="1" x14ac:dyDescent="0.2">
      <c r="B43" s="1371" t="s">
        <v>1841</v>
      </c>
      <c r="C43" s="1368"/>
      <c r="D43" s="1369"/>
      <c r="E43" s="1300"/>
      <c r="F43" s="1300"/>
      <c r="G43" s="1300"/>
      <c r="H43" s="1300"/>
      <c r="I43" s="1300"/>
      <c r="J43" s="1300"/>
      <c r="K43" s="1370"/>
      <c r="L43" s="1370"/>
      <c r="M43" s="1300"/>
    </row>
    <row r="44" spans="2:13" ht="3.95" customHeight="1" x14ac:dyDescent="0.2">
      <c r="B44" s="1371"/>
      <c r="C44" s="1368"/>
      <c r="D44" s="1369"/>
      <c r="E44" s="1300"/>
      <c r="F44" s="1300"/>
      <c r="G44" s="1300"/>
      <c r="H44" s="1300"/>
      <c r="I44" s="1300"/>
      <c r="J44" s="1300"/>
      <c r="K44" s="1370"/>
      <c r="L44" s="1370"/>
      <c r="M44" s="1300"/>
    </row>
    <row r="45" spans="2:13" ht="11.25" customHeight="1" x14ac:dyDescent="0.2">
      <c r="B45" s="1372" t="s">
        <v>1842</v>
      </c>
      <c r="C45" s="1368"/>
      <c r="D45" s="1369"/>
      <c r="E45" s="1300"/>
      <c r="F45" s="1300"/>
      <c r="G45" s="1300"/>
      <c r="H45" s="1300"/>
      <c r="I45" s="1300"/>
      <c r="J45" s="1300"/>
      <c r="K45" s="1370"/>
      <c r="L45" s="1370"/>
      <c r="M45" s="1300"/>
    </row>
    <row r="46" spans="2:13" ht="11.25" customHeight="1" x14ac:dyDescent="0.2">
      <c r="B46" s="1300" t="s">
        <v>1668</v>
      </c>
      <c r="G46" s="317"/>
      <c r="H46" s="317"/>
      <c r="I46" s="317"/>
      <c r="J46" s="317"/>
    </row>
    <row r="47" spans="2:13" ht="11.1" customHeight="1" x14ac:dyDescent="0.2">
      <c r="B47" s="1300"/>
      <c r="G47" s="317"/>
      <c r="H47" s="317"/>
      <c r="I47" s="317"/>
      <c r="J47" s="317"/>
    </row>
    <row r="48" spans="2:13" ht="11.1" customHeight="1" x14ac:dyDescent="0.2">
      <c r="B48" s="1300"/>
      <c r="G48" s="317"/>
      <c r="H48" s="317"/>
      <c r="I48" s="317"/>
      <c r="J48" s="317"/>
    </row>
    <row r="49" spans="7:13" ht="13.5" customHeight="1" x14ac:dyDescent="0.2">
      <c r="M49" s="1373"/>
    </row>
    <row r="50" spans="7:13" ht="13.5" customHeight="1" x14ac:dyDescent="0.2">
      <c r="M50" s="1373"/>
    </row>
    <row r="51" spans="7:13" ht="13.5" customHeight="1" x14ac:dyDescent="0.2">
      <c r="M51" s="1373"/>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72"/>
  <sheetViews>
    <sheetView showGridLines="0" tabSelected="1" defaultGridColor="0" topLeftCell="A22" colorId="8" zoomScale="110" zoomScaleNormal="110" workbookViewId="0">
      <selection sqref="A1:M1"/>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073" t="s">
        <v>404</v>
      </c>
      <c r="B1" s="2073"/>
      <c r="C1" s="2073"/>
      <c r="D1" s="2073"/>
      <c r="E1" s="2073"/>
      <c r="F1" s="2073"/>
      <c r="G1" s="2073"/>
      <c r="H1" s="2073"/>
      <c r="I1" s="2073"/>
      <c r="J1" s="2073"/>
      <c r="K1" s="2073"/>
      <c r="L1" s="2073"/>
      <c r="M1" s="2073"/>
      <c r="N1" s="346"/>
    </row>
    <row r="2" spans="1:14" ht="10.9" customHeight="1" x14ac:dyDescent="0.2">
      <c r="A2" s="346"/>
      <c r="B2" s="346"/>
      <c r="C2" s="346"/>
      <c r="D2" s="346"/>
      <c r="E2" s="346"/>
      <c r="F2" s="346"/>
      <c r="G2" s="346"/>
      <c r="H2" s="346"/>
      <c r="I2" s="346"/>
      <c r="J2" s="346"/>
      <c r="K2" s="346"/>
      <c r="L2" s="346"/>
      <c r="M2" s="346"/>
      <c r="N2" s="346"/>
    </row>
    <row r="3" spans="1:14" x14ac:dyDescent="0.2">
      <c r="A3" s="348" t="s">
        <v>901</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478</v>
      </c>
      <c r="B5" s="349" t="s">
        <v>1746</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1747</v>
      </c>
      <c r="E7" s="222"/>
      <c r="F7" s="351" t="s">
        <v>290</v>
      </c>
      <c r="G7" s="222"/>
      <c r="H7" s="222"/>
      <c r="I7" s="222"/>
      <c r="J7" s="352">
        <v>97569744</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1217</v>
      </c>
      <c r="E9" s="349"/>
      <c r="F9" s="354" t="s">
        <v>925</v>
      </c>
      <c r="G9" s="349"/>
      <c r="H9" s="353" t="s">
        <v>157</v>
      </c>
      <c r="I9" s="349"/>
      <c r="J9" s="354" t="s">
        <v>1059</v>
      </c>
      <c r="K9" s="349"/>
      <c r="L9" s="353" t="s">
        <v>427</v>
      </c>
      <c r="M9" s="222"/>
    </row>
    <row r="10" spans="1:14" ht="13.35" customHeight="1" x14ac:dyDescent="0.2">
      <c r="A10" s="344" t="s">
        <v>986</v>
      </c>
      <c r="C10" s="222"/>
      <c r="D10" s="355">
        <v>3.1219E-2</v>
      </c>
      <c r="E10" s="356" t="s">
        <v>1062</v>
      </c>
      <c r="F10" s="355">
        <v>2.9030000000000002E-3</v>
      </c>
      <c r="G10" s="356" t="s">
        <v>1062</v>
      </c>
      <c r="H10" s="355">
        <v>2.503E-3</v>
      </c>
      <c r="I10" s="356" t="s">
        <v>1063</v>
      </c>
      <c r="J10" s="1754">
        <f>ROUND(D10+F10+H10,5)</f>
        <v>3.6630000000000003E-2</v>
      </c>
      <c r="K10" s="222"/>
      <c r="L10" s="355">
        <v>1.06E-4</v>
      </c>
      <c r="M10" s="222"/>
    </row>
    <row r="11" spans="1:14" ht="7.5" customHeight="1" x14ac:dyDescent="0.2">
      <c r="B11" s="222"/>
      <c r="C11" s="222"/>
      <c r="D11" s="2083" t="str">
        <f>IF(SUM(J10)&lt;=0.0999999,"","Enter the Tax Rates by moving the decimal two places to the left.")</f>
        <v/>
      </c>
      <c r="E11" s="2084"/>
      <c r="F11" s="2084"/>
      <c r="G11" s="2084"/>
      <c r="H11" s="2084"/>
      <c r="I11" s="2084"/>
      <c r="J11" s="2084"/>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99</v>
      </c>
      <c r="B13" s="349" t="s">
        <v>1748</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548</v>
      </c>
      <c r="E15" s="222"/>
      <c r="F15" s="354" t="s">
        <v>1060</v>
      </c>
      <c r="G15" s="222"/>
      <c r="H15" s="354" t="s">
        <v>1061</v>
      </c>
      <c r="I15" s="222"/>
      <c r="J15" s="353" t="s">
        <v>410</v>
      </c>
      <c r="K15" s="222"/>
      <c r="L15" s="222"/>
      <c r="M15" s="222"/>
    </row>
    <row r="16" spans="1:14" ht="13.35" customHeight="1" x14ac:dyDescent="0.2">
      <c r="A16" s="349"/>
      <c r="B16" s="222"/>
      <c r="C16" s="222"/>
      <c r="D16" s="1755">
        <f>SUM('Acct Summary 7-8'!C8,'Acct Summary 7-8'!D8,'Acct Summary 7-8'!F8,'Acct Summary 7-8'!I8)</f>
        <v>20142926</v>
      </c>
      <c r="E16" s="356"/>
      <c r="F16" s="1755">
        <f>SUM('Acct Summary 7-8'!C17,'Acct Summary 7-8'!D17,'Acct Summary 7-8'!F17)</f>
        <v>18726108</v>
      </c>
      <c r="G16" s="356"/>
      <c r="H16" s="1755">
        <f>SUM(D16-F16)</f>
        <v>1416818</v>
      </c>
      <c r="I16" s="222"/>
      <c r="J16" s="1755">
        <f>SUM('Acct Summary 7-8'!C81,'Acct Summary 7-8'!D81,'Acct Summary 7-8'!F81,'Acct Summary 7-8'!I81)</f>
        <v>10748547</v>
      </c>
      <c r="K16" s="222"/>
      <c r="L16" s="222"/>
      <c r="M16" s="222"/>
    </row>
    <row r="17" spans="1:13" ht="12.2" customHeight="1" x14ac:dyDescent="0.2">
      <c r="A17" s="349"/>
      <c r="B17" s="260" t="s">
        <v>8</v>
      </c>
      <c r="C17" s="237" t="s">
        <v>1463</v>
      </c>
      <c r="D17" s="222"/>
      <c r="E17" s="222"/>
      <c r="F17" s="222"/>
      <c r="G17" s="222"/>
      <c r="H17" s="222"/>
      <c r="I17" s="222"/>
      <c r="J17" s="222"/>
      <c r="K17" s="222"/>
      <c r="L17" s="222"/>
      <c r="M17" s="222"/>
    </row>
    <row r="18" spans="1:13" ht="12.2" customHeight="1" x14ac:dyDescent="0.2">
      <c r="A18" s="349"/>
      <c r="B18" s="222"/>
      <c r="C18" s="237" t="s">
        <v>527</v>
      </c>
      <c r="D18" s="222"/>
      <c r="E18" s="222"/>
      <c r="F18" s="222"/>
      <c r="G18" s="222"/>
      <c r="H18" s="222"/>
      <c r="I18" s="222"/>
      <c r="J18" s="222"/>
      <c r="K18" s="222"/>
      <c r="L18" s="222"/>
      <c r="M18" s="222"/>
    </row>
    <row r="19" spans="1:13" s="329" customFormat="1" ht="10.5" customHeight="1" x14ac:dyDescent="0.2"/>
    <row r="20" spans="1:13" ht="12.75" customHeight="1" x14ac:dyDescent="0.2">
      <c r="A20" s="349" t="s">
        <v>866</v>
      </c>
      <c r="B20" s="349" t="s">
        <v>1749</v>
      </c>
      <c r="C20" s="222"/>
      <c r="D20" s="222"/>
      <c r="E20" s="222"/>
      <c r="F20" s="222"/>
      <c r="G20" s="222"/>
      <c r="H20" s="222"/>
      <c r="I20" s="222"/>
      <c r="J20" s="222"/>
      <c r="K20" s="222"/>
      <c r="L20" s="222"/>
      <c r="M20" s="222"/>
    </row>
    <row r="21" spans="1:13" x14ac:dyDescent="0.2">
      <c r="A21" s="349"/>
      <c r="B21" s="222"/>
      <c r="C21" s="222"/>
      <c r="D21" s="360" t="s">
        <v>412</v>
      </c>
      <c r="E21" s="361"/>
      <c r="F21" s="360" t="s">
        <v>411</v>
      </c>
      <c r="G21" s="361"/>
      <c r="H21" s="360" t="s">
        <v>413</v>
      </c>
      <c r="I21" s="361"/>
      <c r="J21" s="360" t="s">
        <v>43</v>
      </c>
      <c r="K21" s="361"/>
      <c r="L21" s="362" t="s">
        <v>566</v>
      </c>
      <c r="M21" s="222"/>
    </row>
    <row r="22" spans="1:13" ht="13.35" customHeight="1" x14ac:dyDescent="0.2">
      <c r="A22" s="349"/>
      <c r="B22" s="222"/>
      <c r="C22" s="222"/>
      <c r="D22" s="1755">
        <f>'Short-Term Long-Term Debt 24'!F4</f>
        <v>0</v>
      </c>
      <c r="E22" s="356" t="s">
        <v>1062</v>
      </c>
      <c r="F22" s="1755">
        <f>'Short-Term Long-Term Debt 24'!F15</f>
        <v>0</v>
      </c>
      <c r="G22" s="356" t="s">
        <v>1062</v>
      </c>
      <c r="H22" s="1755">
        <f>'Short-Term Long-Term Debt 24'!F21</f>
        <v>0</v>
      </c>
      <c r="I22" s="356" t="s">
        <v>1062</v>
      </c>
      <c r="J22" s="1755">
        <f>'Short-Term Long-Term Debt 24'!F23</f>
        <v>0</v>
      </c>
      <c r="K22" s="356" t="s">
        <v>1062</v>
      </c>
      <c r="L22" s="1755">
        <f>'Short-Term Long-Term Debt 24'!F25</f>
        <v>0</v>
      </c>
      <c r="M22" s="356" t="s">
        <v>1062</v>
      </c>
    </row>
    <row r="23" spans="1:13" ht="15" customHeight="1" x14ac:dyDescent="0.2">
      <c r="A23" s="349"/>
      <c r="B23" s="222"/>
      <c r="C23" s="222"/>
      <c r="D23" s="360" t="s">
        <v>1123</v>
      </c>
      <c r="E23" s="361"/>
      <c r="F23" s="360" t="s">
        <v>158</v>
      </c>
      <c r="G23" s="222"/>
      <c r="H23" s="222"/>
      <c r="I23" s="222"/>
      <c r="J23" s="222"/>
      <c r="K23" s="222"/>
      <c r="L23" s="222"/>
      <c r="M23" s="222"/>
    </row>
    <row r="24" spans="1:13" ht="13.35" customHeight="1" x14ac:dyDescent="0.2">
      <c r="A24" s="349"/>
      <c r="B24" s="222"/>
      <c r="C24" s="356"/>
      <c r="D24" s="1755">
        <f>'Short-Term Long-Term Debt 24'!F27</f>
        <v>0</v>
      </c>
      <c r="E24" s="356" t="s">
        <v>1063</v>
      </c>
      <c r="F24" s="1756">
        <f>SUM(D22,F22,H22,J22,L22, D24)</f>
        <v>0</v>
      </c>
      <c r="G24" s="222"/>
      <c r="H24" s="222"/>
      <c r="I24" s="222"/>
      <c r="J24" s="222"/>
      <c r="K24" s="222"/>
      <c r="L24" s="222"/>
      <c r="M24" s="222"/>
    </row>
    <row r="25" spans="1:13" ht="11.25" customHeight="1" x14ac:dyDescent="0.2">
      <c r="A25" s="349"/>
      <c r="B25" s="181" t="s">
        <v>9</v>
      </c>
      <c r="C25" s="237" t="s">
        <v>883</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100</v>
      </c>
      <c r="B28" s="349" t="s">
        <v>143</v>
      </c>
      <c r="C28" s="222"/>
      <c r="D28" s="222"/>
      <c r="E28" s="222"/>
      <c r="F28" s="222"/>
      <c r="G28" s="222"/>
      <c r="H28" s="222"/>
      <c r="I28" s="222"/>
      <c r="J28" s="222"/>
      <c r="K28" s="222"/>
      <c r="L28" s="222"/>
      <c r="M28" s="222"/>
    </row>
    <row r="29" spans="1:13" ht="12.2" customHeight="1" x14ac:dyDescent="0.2">
      <c r="A29" s="349"/>
      <c r="B29" s="237" t="s">
        <v>403</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t="s">
        <v>2075</v>
      </c>
      <c r="C31" s="367" t="s">
        <v>607</v>
      </c>
      <c r="D31" s="237" t="s">
        <v>1132</v>
      </c>
      <c r="E31" s="222"/>
      <c r="F31" s="222"/>
      <c r="G31" s="363"/>
      <c r="H31" s="1757">
        <f>IF(B31="X",(J7*0.069),IF(B32="X",(J7*0.138),"Enter x in a.or b."))</f>
        <v>6732312.3360000001</v>
      </c>
      <c r="I31" s="368"/>
      <c r="J31" s="222"/>
      <c r="K31" s="222"/>
      <c r="L31" s="222"/>
      <c r="M31" s="222"/>
    </row>
    <row r="32" spans="1:13" ht="13.35" customHeight="1" x14ac:dyDescent="0.2">
      <c r="B32" s="369"/>
      <c r="C32" s="370" t="s">
        <v>608</v>
      </c>
      <c r="D32" s="237" t="s">
        <v>443</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407</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609</v>
      </c>
      <c r="D36" s="247" t="s">
        <v>0</v>
      </c>
      <c r="E36" s="222"/>
      <c r="F36" s="222"/>
      <c r="G36" s="375" t="s">
        <v>408</v>
      </c>
      <c r="H36" s="376"/>
      <c r="I36" s="222"/>
      <c r="J36" s="222"/>
      <c r="K36" s="222"/>
      <c r="L36" s="222"/>
      <c r="M36" s="222"/>
    </row>
    <row r="37" spans="1:13" ht="13.5" customHeight="1" x14ac:dyDescent="0.2">
      <c r="B37" s="222"/>
      <c r="C37" s="374"/>
      <c r="D37" s="247" t="s">
        <v>1197</v>
      </c>
      <c r="E37" s="222"/>
      <c r="F37" s="222"/>
      <c r="G37" s="377">
        <v>511</v>
      </c>
      <c r="H37" s="1756">
        <f>'Assets-Liab 5-6'!N36</f>
        <v>20320909</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567</v>
      </c>
      <c r="B40" s="349" t="s">
        <v>204</v>
      </c>
      <c r="C40" s="349"/>
      <c r="D40" s="349"/>
      <c r="E40" s="349"/>
      <c r="F40" s="349"/>
      <c r="G40" s="222"/>
      <c r="H40" s="222"/>
      <c r="I40" s="222"/>
      <c r="J40" s="222"/>
      <c r="K40" s="222"/>
      <c r="L40" s="222"/>
      <c r="M40" s="222"/>
    </row>
    <row r="41" spans="1:13" ht="12.2" customHeight="1" x14ac:dyDescent="0.2">
      <c r="B41" s="237" t="s">
        <v>1216</v>
      </c>
      <c r="C41" s="222"/>
      <c r="D41" s="222"/>
      <c r="E41" s="222"/>
      <c r="F41" s="222"/>
      <c r="G41" s="222"/>
      <c r="H41" s="222"/>
      <c r="I41" s="222"/>
      <c r="J41" s="222"/>
      <c r="K41" s="222"/>
      <c r="L41" s="222"/>
      <c r="M41" s="222"/>
    </row>
    <row r="42" spans="1:13" x14ac:dyDescent="0.2">
      <c r="B42" s="237" t="s">
        <v>422</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320</v>
      </c>
      <c r="E44" s="222"/>
      <c r="F44" s="222"/>
      <c r="G44" s="222"/>
      <c r="H44" s="222"/>
      <c r="I44" s="222"/>
      <c r="J44" s="222"/>
      <c r="K44" s="222"/>
      <c r="L44" s="222"/>
      <c r="M44" s="222"/>
    </row>
    <row r="45" spans="1:13" ht="13.5" customHeight="1" x14ac:dyDescent="0.2">
      <c r="B45" s="378"/>
      <c r="C45" s="225" t="s">
        <v>399</v>
      </c>
      <c r="E45" s="222"/>
      <c r="F45" s="222"/>
      <c r="G45" s="222"/>
      <c r="H45" s="222"/>
      <c r="I45" s="222"/>
      <c r="J45" s="222"/>
      <c r="K45" s="222"/>
      <c r="L45" s="222"/>
      <c r="M45" s="222"/>
    </row>
    <row r="46" spans="1:13" ht="13.5" customHeight="1" x14ac:dyDescent="0.2">
      <c r="B46" s="378"/>
      <c r="C46" s="225" t="s">
        <v>918</v>
      </c>
      <c r="E46" s="222"/>
      <c r="F46" s="222"/>
      <c r="G46" s="222"/>
      <c r="H46" s="222"/>
      <c r="I46" s="222"/>
      <c r="J46" s="222"/>
      <c r="K46" s="222"/>
      <c r="L46" s="222"/>
      <c r="M46" s="222"/>
    </row>
    <row r="47" spans="1:13" ht="13.5" customHeight="1" x14ac:dyDescent="0.2">
      <c r="B47" s="378"/>
      <c r="C47" s="225" t="s">
        <v>57</v>
      </c>
      <c r="E47" s="222"/>
      <c r="F47" s="222"/>
      <c r="G47" s="222"/>
      <c r="H47" s="222"/>
      <c r="I47" s="222"/>
      <c r="J47" s="222"/>
      <c r="K47" s="222"/>
      <c r="L47" s="222"/>
      <c r="M47" s="222"/>
    </row>
    <row r="48" spans="1:13" ht="13.5" customHeight="1" x14ac:dyDescent="0.2">
      <c r="B48" s="378"/>
      <c r="C48" s="225" t="s">
        <v>58</v>
      </c>
      <c r="E48" s="222"/>
      <c r="F48" s="222"/>
      <c r="G48" s="222"/>
      <c r="H48" s="222"/>
      <c r="I48" s="222"/>
      <c r="J48" s="222"/>
      <c r="K48" s="222"/>
      <c r="L48" s="222"/>
      <c r="M48" s="222"/>
    </row>
    <row r="49" spans="1:13" ht="13.5" customHeight="1" x14ac:dyDescent="0.2">
      <c r="B49" s="378"/>
      <c r="C49" s="225" t="s">
        <v>357</v>
      </c>
      <c r="E49" s="222"/>
      <c r="F49" s="222"/>
      <c r="G49" s="222"/>
      <c r="H49" s="222"/>
      <c r="I49" s="222"/>
      <c r="J49" s="222"/>
      <c r="K49" s="222"/>
      <c r="L49" s="222"/>
      <c r="M49" s="222"/>
    </row>
    <row r="50" spans="1:13" ht="13.5" customHeight="1" x14ac:dyDescent="0.2">
      <c r="B50" s="378"/>
      <c r="C50" s="225" t="s">
        <v>358</v>
      </c>
      <c r="E50" s="222"/>
      <c r="F50" s="222"/>
      <c r="G50" s="222"/>
      <c r="H50" s="222"/>
      <c r="I50" s="222"/>
      <c r="J50" s="222"/>
      <c r="K50" s="222"/>
      <c r="L50" s="222"/>
      <c r="M50" s="222"/>
    </row>
    <row r="51" spans="1:13" ht="13.5" customHeight="1" x14ac:dyDescent="0.2">
      <c r="B51" s="378"/>
      <c r="C51" s="225" t="s">
        <v>565</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405</v>
      </c>
      <c r="C53" s="222"/>
      <c r="D53" s="222"/>
      <c r="E53" s="222"/>
      <c r="F53" s="222"/>
      <c r="G53" s="222"/>
      <c r="H53" s="222"/>
      <c r="I53" s="222"/>
      <c r="J53" s="222"/>
      <c r="K53" s="222"/>
      <c r="L53" s="222"/>
      <c r="M53" s="222"/>
    </row>
    <row r="54" spans="1:13" ht="12.75" x14ac:dyDescent="0.2">
      <c r="B54" s="2074"/>
      <c r="C54" s="2075"/>
      <c r="D54" s="2075"/>
      <c r="E54" s="2075"/>
      <c r="F54" s="2075"/>
      <c r="G54" s="2075"/>
      <c r="H54" s="2075"/>
      <c r="I54" s="2075"/>
      <c r="J54" s="2075"/>
      <c r="K54" s="2075"/>
      <c r="L54" s="2076"/>
      <c r="M54" s="380"/>
    </row>
    <row r="55" spans="1:13" ht="12.75" customHeight="1" x14ac:dyDescent="0.2">
      <c r="B55" s="2077"/>
      <c r="C55" s="2078"/>
      <c r="D55" s="2078"/>
      <c r="E55" s="2078"/>
      <c r="F55" s="2078"/>
      <c r="G55" s="2078"/>
      <c r="H55" s="2078"/>
      <c r="I55" s="2078"/>
      <c r="J55" s="2078"/>
      <c r="K55" s="2078"/>
      <c r="L55" s="2079"/>
      <c r="M55" s="380"/>
    </row>
    <row r="56" spans="1:13" ht="12.75" customHeight="1" x14ac:dyDescent="0.2">
      <c r="B56" s="2077"/>
      <c r="C56" s="2078"/>
      <c r="D56" s="2078"/>
      <c r="E56" s="2078"/>
      <c r="F56" s="2078"/>
      <c r="G56" s="2078"/>
      <c r="H56" s="2078"/>
      <c r="I56" s="2078"/>
      <c r="J56" s="2078"/>
      <c r="K56" s="2078"/>
      <c r="L56" s="2079"/>
      <c r="M56" s="222"/>
    </row>
    <row r="57" spans="1:13" ht="12.75" customHeight="1" x14ac:dyDescent="0.2">
      <c r="B57" s="2077"/>
      <c r="C57" s="2078"/>
      <c r="D57" s="2078"/>
      <c r="E57" s="2078"/>
      <c r="F57" s="2078"/>
      <c r="G57" s="2078"/>
      <c r="H57" s="2078"/>
      <c r="I57" s="2078"/>
      <c r="J57" s="2078"/>
      <c r="K57" s="2078"/>
      <c r="L57" s="2079"/>
      <c r="M57" s="222"/>
    </row>
    <row r="58" spans="1:13" x14ac:dyDescent="0.2">
      <c r="B58" s="2080"/>
      <c r="C58" s="2081"/>
      <c r="D58" s="2081"/>
      <c r="E58" s="2081"/>
      <c r="F58" s="2081"/>
      <c r="G58" s="2081"/>
      <c r="H58" s="2081"/>
      <c r="I58" s="2081"/>
      <c r="J58" s="2081"/>
      <c r="K58" s="2081"/>
      <c r="L58" s="2082"/>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085"/>
      <c r="D61" s="2086"/>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algorithmName="SHA-512" hashValue="UgmRPNEjOWr5mVqO7Z2b3E5/IYkFtlKgeZXoPb0UNEaglsr3k/9cb37lnIOwov1aHOjrsOLmgO/t0pWoR5RBiQ==" saltValue="QILkHaE4PLu9SohIQlF5pQ==" spinCount="100000" sheet="1" objects="1" scenarios="1"/>
  <sortState ref="A1:M1">
    <sortCondition descending="1" ref="A1"/>
  </sortState>
  <mergeCells count="4">
    <mergeCell ref="A1:M1"/>
    <mergeCell ref="B54:L58"/>
    <mergeCell ref="D11:J11"/>
    <mergeCell ref="C61:D61"/>
  </mergeCells>
  <phoneticPr fontId="13"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2"/>
  <sheetViews>
    <sheetView showGridLines="0" zoomScaleNormal="100" workbookViewId="0">
      <selection activeCell="G28" sqref="G28"/>
    </sheetView>
  </sheetViews>
  <sheetFormatPr defaultColWidth="33.5703125" defaultRowHeight="12.75" x14ac:dyDescent="0.2"/>
  <cols>
    <col min="1" max="1" width="0.140625" style="317" customWidth="1"/>
    <col min="2" max="2" width="32.85546875" style="317" customWidth="1"/>
    <col min="3" max="3" width="8.7109375" style="1357" customWidth="1"/>
    <col min="4" max="4" width="12.7109375" style="1358" customWidth="1"/>
    <col min="5" max="6" width="11.7109375" style="317" customWidth="1"/>
    <col min="7" max="7" width="11.7109375" style="1258" customWidth="1"/>
    <col min="8" max="8" width="13.7109375" style="1258" bestFit="1" customWidth="1"/>
    <col min="9" max="9" width="11.7109375" style="1258" customWidth="1"/>
    <col min="10" max="10" width="13.7109375" style="1258" customWidth="1"/>
    <col min="11" max="12" width="11.7109375" style="1258" customWidth="1"/>
    <col min="13" max="13" width="11.7109375" style="317" customWidth="1"/>
    <col min="14" max="14" width="2.7109375" style="317" customWidth="1"/>
    <col min="15" max="16384" width="33.5703125" style="317"/>
  </cols>
  <sheetData>
    <row r="1" spans="2:14" ht="11.85" customHeight="1" x14ac:dyDescent="0.2">
      <c r="B1" s="2431" t="str">
        <f>'Single Audit Cover'!A7</f>
        <v>RANTOUL CITY SCHOOLS</v>
      </c>
      <c r="C1" s="2465"/>
      <c r="D1" s="2465"/>
      <c r="E1" s="2465"/>
      <c r="F1" s="2465"/>
      <c r="G1" s="2465"/>
      <c r="H1" s="2465"/>
      <c r="I1" s="2465"/>
      <c r="J1" s="2465"/>
      <c r="K1" s="2465"/>
      <c r="L1" s="2465"/>
      <c r="M1" s="2465"/>
    </row>
    <row r="2" spans="2:14" ht="15" x14ac:dyDescent="0.2">
      <c r="B2" s="2462" t="str">
        <f>'Single Audit Cover'!E7</f>
        <v>09-010-1370-02</v>
      </c>
      <c r="C2" s="2462"/>
      <c r="D2" s="2462"/>
      <c r="E2" s="2462"/>
      <c r="F2" s="2462"/>
      <c r="G2" s="2462"/>
      <c r="H2" s="2462"/>
      <c r="I2" s="2462"/>
      <c r="J2" s="2462"/>
      <c r="K2" s="2462"/>
      <c r="L2" s="2462"/>
      <c r="M2" s="2462"/>
      <c r="N2" s="1302"/>
    </row>
    <row r="3" spans="2:14" ht="15" x14ac:dyDescent="0.2">
      <c r="B3" s="2466" t="s">
        <v>1281</v>
      </c>
      <c r="C3" s="2466"/>
      <c r="D3" s="2466"/>
      <c r="E3" s="2466"/>
      <c r="F3" s="2466"/>
      <c r="G3" s="2466"/>
      <c r="H3" s="2466"/>
      <c r="I3" s="2466"/>
      <c r="J3" s="2466"/>
      <c r="K3" s="2466"/>
      <c r="L3" s="2466"/>
      <c r="M3" s="2466"/>
      <c r="N3" s="1302"/>
    </row>
    <row r="4" spans="2:14" ht="15" x14ac:dyDescent="0.2">
      <c r="B4" s="2467" t="str">
        <f>'Single Audit Cover'!A4</f>
        <v>Year Ending June 30, 2018</v>
      </c>
      <c r="C4" s="2467"/>
      <c r="D4" s="2467"/>
      <c r="E4" s="2467"/>
      <c r="F4" s="2467"/>
      <c r="G4" s="2467"/>
      <c r="H4" s="2467"/>
      <c r="I4" s="2467"/>
      <c r="J4" s="2467"/>
      <c r="K4" s="2467"/>
      <c r="L4" s="2467"/>
      <c r="M4" s="2467"/>
      <c r="N4" s="1302"/>
    </row>
    <row r="6" spans="2:14" x14ac:dyDescent="0.2">
      <c r="B6" s="1303"/>
      <c r="C6" s="1304"/>
      <c r="D6" s="1305" t="s">
        <v>1327</v>
      </c>
      <c r="E6" s="1306" t="s">
        <v>548</v>
      </c>
      <c r="F6" s="1307"/>
      <c r="G6" s="1308" t="s">
        <v>1835</v>
      </c>
      <c r="H6" s="1306"/>
      <c r="I6" s="1306"/>
      <c r="J6" s="1306"/>
      <c r="K6" s="1309"/>
      <c r="L6" s="1310"/>
      <c r="M6" s="1311"/>
    </row>
    <row r="7" spans="2:14" x14ac:dyDescent="0.2">
      <c r="B7" s="1312" t="s">
        <v>1662</v>
      </c>
      <c r="C7" s="1313"/>
      <c r="D7" s="1314"/>
      <c r="E7" s="1315"/>
      <c r="F7" s="1316"/>
      <c r="G7" s="1315"/>
      <c r="H7" s="1317" t="s">
        <v>1324</v>
      </c>
      <c r="I7" s="1315"/>
      <c r="J7" s="1318" t="s">
        <v>1324</v>
      </c>
      <c r="K7" s="1319"/>
      <c r="L7" s="1320" t="s">
        <v>1322</v>
      </c>
      <c r="M7" s="1321"/>
    </row>
    <row r="8" spans="2:14" x14ac:dyDescent="0.2">
      <c r="B8" s="1687"/>
      <c r="C8" s="1313" t="s">
        <v>1326</v>
      </c>
      <c r="D8" s="1314" t="s">
        <v>1325</v>
      </c>
      <c r="E8" s="1322" t="s">
        <v>1324</v>
      </c>
      <c r="F8" s="1323" t="s">
        <v>1324</v>
      </c>
      <c r="G8" s="1324" t="s">
        <v>1324</v>
      </c>
      <c r="H8" s="1317" t="s">
        <v>1663</v>
      </c>
      <c r="I8" s="1319" t="s">
        <v>1324</v>
      </c>
      <c r="J8" s="1318" t="s">
        <v>1947</v>
      </c>
      <c r="K8" s="1319" t="s">
        <v>1323</v>
      </c>
      <c r="L8" s="1320" t="s">
        <v>1319</v>
      </c>
      <c r="M8" s="1321" t="s">
        <v>30</v>
      </c>
    </row>
    <row r="9" spans="2:14" ht="14.25" x14ac:dyDescent="0.2">
      <c r="B9" s="1325" t="s">
        <v>1321</v>
      </c>
      <c r="C9" s="1313" t="s">
        <v>1836</v>
      </c>
      <c r="D9" s="1314" t="s">
        <v>1837</v>
      </c>
      <c r="E9" s="1322" t="s">
        <v>1663</v>
      </c>
      <c r="F9" s="1323" t="s">
        <v>1947</v>
      </c>
      <c r="G9" s="1324" t="s">
        <v>1663</v>
      </c>
      <c r="H9" s="1317" t="s">
        <v>1664</v>
      </c>
      <c r="I9" s="1319" t="s">
        <v>1947</v>
      </c>
      <c r="J9" s="1318" t="s">
        <v>1664</v>
      </c>
      <c r="K9" s="1319" t="s">
        <v>1320</v>
      </c>
      <c r="L9" s="1326" t="s">
        <v>1665</v>
      </c>
      <c r="M9" s="1321"/>
    </row>
    <row r="10" spans="2:14" ht="11.85" customHeight="1" x14ac:dyDescent="0.2">
      <c r="B10" s="1325" t="s">
        <v>1318</v>
      </c>
      <c r="C10" s="1327" t="s">
        <v>1317</v>
      </c>
      <c r="D10" s="1328" t="s">
        <v>1316</v>
      </c>
      <c r="E10" s="1329" t="s">
        <v>1315</v>
      </c>
      <c r="F10" s="1330" t="s">
        <v>1314</v>
      </c>
      <c r="G10" s="1331" t="s">
        <v>1313</v>
      </c>
      <c r="H10" s="1332" t="s">
        <v>1328</v>
      </c>
      <c r="I10" s="1333" t="s">
        <v>1312</v>
      </c>
      <c r="J10" s="1334" t="s">
        <v>1328</v>
      </c>
      <c r="K10" s="1335" t="s">
        <v>1311</v>
      </c>
      <c r="L10" s="1335" t="s">
        <v>1310</v>
      </c>
      <c r="M10" s="1336" t="s">
        <v>1309</v>
      </c>
    </row>
    <row r="11" spans="2:14" ht="20.100000000000001" customHeight="1" x14ac:dyDescent="0.2">
      <c r="B11" s="1337" t="s">
        <v>2134</v>
      </c>
      <c r="C11" s="1338"/>
      <c r="D11" s="1339"/>
      <c r="E11" s="1340"/>
      <c r="F11" s="1340"/>
      <c r="G11" s="1340"/>
      <c r="H11" s="1340"/>
      <c r="I11" s="1340"/>
      <c r="J11" s="1340"/>
      <c r="K11" s="1340"/>
      <c r="L11" s="1340">
        <f>+G11+I11+K11</f>
        <v>0</v>
      </c>
      <c r="M11" s="1340"/>
    </row>
    <row r="12" spans="2:14" ht="20.100000000000001" customHeight="1" x14ac:dyDescent="0.2">
      <c r="B12" s="1337" t="s">
        <v>2135</v>
      </c>
      <c r="C12" s="1341"/>
      <c r="D12" s="1342"/>
      <c r="E12" s="1343"/>
      <c r="F12" s="1343"/>
      <c r="G12" s="1343"/>
      <c r="H12" s="1343"/>
      <c r="I12" s="1343"/>
      <c r="J12" s="1343"/>
      <c r="K12" s="1343"/>
      <c r="L12" s="1340">
        <f t="shared" ref="L12:L27" si="0">+G12+I12+K12</f>
        <v>0</v>
      </c>
      <c r="M12" s="1343"/>
    </row>
    <row r="13" spans="2:14" ht="20.100000000000001" customHeight="1" x14ac:dyDescent="0.2">
      <c r="B13" s="1337" t="s">
        <v>2138</v>
      </c>
      <c r="C13" s="1341">
        <v>10.555</v>
      </c>
      <c r="D13" s="1342" t="s">
        <v>2136</v>
      </c>
      <c r="E13" s="1343">
        <v>635327</v>
      </c>
      <c r="F13" s="1343">
        <v>126274</v>
      </c>
      <c r="G13" s="1343">
        <v>635327</v>
      </c>
      <c r="H13" s="1343"/>
      <c r="I13" s="1343">
        <v>126274</v>
      </c>
      <c r="J13" s="1343"/>
      <c r="K13" s="1343"/>
      <c r="L13" s="1340">
        <f t="shared" si="0"/>
        <v>761601</v>
      </c>
      <c r="M13" s="1343"/>
    </row>
    <row r="14" spans="2:14" ht="20.100000000000001" customHeight="1" x14ac:dyDescent="0.2">
      <c r="B14" s="1337" t="s">
        <v>2138</v>
      </c>
      <c r="C14" s="1341">
        <v>10.555</v>
      </c>
      <c r="D14" s="1342" t="s">
        <v>2137</v>
      </c>
      <c r="E14" s="1343"/>
      <c r="F14" s="1343">
        <v>600475</v>
      </c>
      <c r="G14" s="1343"/>
      <c r="H14" s="1343"/>
      <c r="I14" s="1343">
        <v>600475</v>
      </c>
      <c r="J14" s="1343"/>
      <c r="K14" s="1343"/>
      <c r="L14" s="1340">
        <f t="shared" si="0"/>
        <v>600475</v>
      </c>
      <c r="M14" s="1343"/>
    </row>
    <row r="15" spans="2:14" ht="20.100000000000001" customHeight="1" x14ac:dyDescent="0.2">
      <c r="B15" s="1337" t="s">
        <v>2139</v>
      </c>
      <c r="C15" s="1341">
        <v>10.553000000000001</v>
      </c>
      <c r="D15" s="1342" t="s">
        <v>2140</v>
      </c>
      <c r="E15" s="1343">
        <v>216835</v>
      </c>
      <c r="F15" s="1343">
        <v>50638</v>
      </c>
      <c r="G15" s="1343">
        <v>216835</v>
      </c>
      <c r="H15" s="1343"/>
      <c r="I15" s="1343">
        <v>50638</v>
      </c>
      <c r="J15" s="1343"/>
      <c r="K15" s="1343"/>
      <c r="L15" s="1340">
        <f t="shared" si="0"/>
        <v>267473</v>
      </c>
      <c r="M15" s="1343"/>
    </row>
    <row r="16" spans="2:14" ht="20.100000000000001" customHeight="1" x14ac:dyDescent="0.2">
      <c r="B16" s="1337" t="s">
        <v>2139</v>
      </c>
      <c r="C16" s="1341">
        <v>10.553000000000001</v>
      </c>
      <c r="D16" s="1342" t="s">
        <v>2141</v>
      </c>
      <c r="E16" s="1343"/>
      <c r="F16" s="1343">
        <v>212716</v>
      </c>
      <c r="G16" s="1343"/>
      <c r="H16" s="1343"/>
      <c r="I16" s="1343">
        <v>212716</v>
      </c>
      <c r="J16" s="1343"/>
      <c r="K16" s="1343"/>
      <c r="L16" s="1340">
        <f t="shared" si="0"/>
        <v>212716</v>
      </c>
      <c r="M16" s="1343"/>
    </row>
    <row r="17" spans="2:14" ht="20.100000000000001" customHeight="1" x14ac:dyDescent="0.2">
      <c r="B17" s="1337" t="s">
        <v>2142</v>
      </c>
      <c r="C17" s="1341">
        <v>10.555</v>
      </c>
      <c r="D17" s="1342" t="s">
        <v>2143</v>
      </c>
      <c r="E17" s="1343"/>
      <c r="F17" s="1343">
        <v>86532</v>
      </c>
      <c r="G17" s="1343"/>
      <c r="H17" s="1343"/>
      <c r="I17" s="1343">
        <v>86532</v>
      </c>
      <c r="J17" s="1343"/>
      <c r="K17" s="1343"/>
      <c r="L17" s="1340">
        <f t="shared" si="0"/>
        <v>86532</v>
      </c>
      <c r="M17" s="1343"/>
    </row>
    <row r="18" spans="2:14" ht="20.100000000000001" customHeight="1" x14ac:dyDescent="0.2">
      <c r="B18" s="1337"/>
      <c r="C18" s="1341"/>
      <c r="D18" s="1342"/>
      <c r="E18" s="1343"/>
      <c r="F18" s="1343"/>
      <c r="G18" s="1343"/>
      <c r="H18" s="1343"/>
      <c r="I18" s="1343"/>
      <c r="J18" s="1343"/>
      <c r="K18" s="1343"/>
      <c r="L18" s="1340">
        <f t="shared" si="0"/>
        <v>0</v>
      </c>
      <c r="M18" s="1343"/>
    </row>
    <row r="19" spans="2:14" ht="20.100000000000001" customHeight="1" x14ac:dyDescent="0.2">
      <c r="B19" s="1337" t="s">
        <v>2144</v>
      </c>
      <c r="C19" s="1341"/>
      <c r="D19" s="1342"/>
      <c r="E19" s="1343">
        <v>852162</v>
      </c>
      <c r="F19" s="1343">
        <v>1076635</v>
      </c>
      <c r="G19" s="1343">
        <v>852162</v>
      </c>
      <c r="H19" s="1343"/>
      <c r="I19" s="1343">
        <v>1076535</v>
      </c>
      <c r="J19" s="1343"/>
      <c r="K19" s="1343"/>
      <c r="L19" s="1340">
        <f t="shared" si="0"/>
        <v>1928697</v>
      </c>
      <c r="M19" s="1343"/>
    </row>
    <row r="20" spans="2:14" ht="20.100000000000001" customHeight="1" x14ac:dyDescent="0.2">
      <c r="B20" s="1337"/>
      <c r="C20" s="1341"/>
      <c r="D20" s="1342"/>
      <c r="E20" s="1343"/>
      <c r="F20" s="1343"/>
      <c r="G20" s="1343"/>
      <c r="H20" s="1343"/>
      <c r="I20" s="1343"/>
      <c r="J20" s="1343"/>
      <c r="K20" s="1343"/>
      <c r="L20" s="1340">
        <f t="shared" si="0"/>
        <v>0</v>
      </c>
      <c r="M20" s="1343"/>
    </row>
    <row r="21" spans="2:14" ht="20.100000000000001" customHeight="1" x14ac:dyDescent="0.2">
      <c r="B21" s="1337" t="s">
        <v>2145</v>
      </c>
      <c r="C21" s="1341"/>
      <c r="D21" s="1342"/>
      <c r="E21" s="1343"/>
      <c r="F21" s="1343"/>
      <c r="G21" s="1343"/>
      <c r="H21" s="1343"/>
      <c r="I21" s="1343"/>
      <c r="J21" s="1343"/>
      <c r="K21" s="1343"/>
      <c r="L21" s="1340">
        <f t="shared" si="0"/>
        <v>0</v>
      </c>
      <c r="M21" s="1343"/>
    </row>
    <row r="22" spans="2:14" ht="20.100000000000001" customHeight="1" x14ac:dyDescent="0.2">
      <c r="B22" s="1337" t="s">
        <v>2146</v>
      </c>
      <c r="C22" s="1341"/>
      <c r="D22" s="1342"/>
      <c r="E22" s="1343"/>
      <c r="F22" s="1343"/>
      <c r="G22" s="1343"/>
      <c r="H22" s="1343"/>
      <c r="I22" s="1343"/>
      <c r="J22" s="1343"/>
      <c r="K22" s="1343"/>
      <c r="L22" s="1340">
        <f t="shared" si="0"/>
        <v>0</v>
      </c>
      <c r="M22" s="1343"/>
    </row>
    <row r="23" spans="2:14" ht="20.100000000000001" customHeight="1" x14ac:dyDescent="0.2">
      <c r="B23" s="1337" t="s">
        <v>2147</v>
      </c>
      <c r="C23" s="1341" t="s">
        <v>2148</v>
      </c>
      <c r="D23" s="1342" t="s">
        <v>2149</v>
      </c>
      <c r="E23" s="1343">
        <v>675398</v>
      </c>
      <c r="F23" s="1343">
        <v>277809</v>
      </c>
      <c r="G23" s="1343">
        <v>776826</v>
      </c>
      <c r="H23" s="1343"/>
      <c r="I23" s="1343">
        <v>188926</v>
      </c>
      <c r="J23" s="1343"/>
      <c r="K23" s="1343"/>
      <c r="L23" s="1340">
        <f t="shared" si="0"/>
        <v>965752</v>
      </c>
      <c r="M23" s="1343">
        <v>910000</v>
      </c>
    </row>
    <row r="24" spans="2:14" ht="20.100000000000001" customHeight="1" x14ac:dyDescent="0.2">
      <c r="B24" s="1337" t="s">
        <v>2147</v>
      </c>
      <c r="C24" s="1341" t="s">
        <v>2148</v>
      </c>
      <c r="D24" s="1342" t="s">
        <v>2150</v>
      </c>
      <c r="E24" s="1343"/>
      <c r="F24" s="1343">
        <v>782975</v>
      </c>
      <c r="G24" s="1343"/>
      <c r="H24" s="1343"/>
      <c r="I24" s="1343">
        <v>819888</v>
      </c>
      <c r="J24" s="1343"/>
      <c r="K24" s="1343"/>
      <c r="L24" s="1340">
        <f t="shared" si="0"/>
        <v>819888</v>
      </c>
      <c r="M24" s="1343">
        <v>925000</v>
      </c>
    </row>
    <row r="25" spans="2:14" ht="20.100000000000001" customHeight="1" x14ac:dyDescent="0.2">
      <c r="B25" s="1337" t="s">
        <v>2151</v>
      </c>
      <c r="C25" s="1341" t="s">
        <v>2152</v>
      </c>
      <c r="D25" s="1342" t="s">
        <v>2153</v>
      </c>
      <c r="E25" s="1343">
        <v>16383</v>
      </c>
      <c r="F25" s="1343">
        <v>200</v>
      </c>
      <c r="G25" s="1343">
        <v>16383</v>
      </c>
      <c r="H25" s="1343"/>
      <c r="I25" s="1343">
        <v>200</v>
      </c>
      <c r="J25" s="1343"/>
      <c r="K25" s="1343"/>
      <c r="L25" s="1340">
        <f t="shared" si="0"/>
        <v>16583</v>
      </c>
      <c r="M25" s="1343">
        <v>16583</v>
      </c>
    </row>
    <row r="26" spans="2:14" ht="20.100000000000001" customHeight="1" x14ac:dyDescent="0.2">
      <c r="B26" s="1337" t="s">
        <v>2151</v>
      </c>
      <c r="C26" s="1341" t="s">
        <v>2152</v>
      </c>
      <c r="D26" s="1342" t="s">
        <v>2154</v>
      </c>
      <c r="E26" s="1343"/>
      <c r="F26" s="1343">
        <v>21984</v>
      </c>
      <c r="G26" s="1343"/>
      <c r="H26" s="1343"/>
      <c r="I26" s="1343">
        <v>21984</v>
      </c>
      <c r="J26" s="1343"/>
      <c r="K26" s="1343"/>
      <c r="L26" s="1340">
        <f t="shared" si="0"/>
        <v>21984</v>
      </c>
      <c r="M26" s="1343"/>
    </row>
    <row r="27" spans="2:14" ht="20.100000000000001" customHeight="1" x14ac:dyDescent="0.2">
      <c r="B27" s="1337" t="s">
        <v>2155</v>
      </c>
      <c r="C27" s="1341" t="s">
        <v>2156</v>
      </c>
      <c r="D27" s="1342" t="s">
        <v>2157</v>
      </c>
      <c r="E27" s="1343">
        <v>330651</v>
      </c>
      <c r="F27" s="1343">
        <v>55209</v>
      </c>
      <c r="G27" s="1343">
        <v>330651</v>
      </c>
      <c r="H27" s="1343"/>
      <c r="I27" s="1343">
        <v>55209</v>
      </c>
      <c r="J27" s="1343"/>
      <c r="K27" s="1343"/>
      <c r="L27" s="1340">
        <f t="shared" si="0"/>
        <v>385860</v>
      </c>
      <c r="M27" s="1343"/>
      <c r="N27" s="1344"/>
    </row>
    <row r="28" spans="2:14" ht="12.75" customHeight="1" x14ac:dyDescent="0.2">
      <c r="B28" s="1345"/>
      <c r="C28" s="1346"/>
      <c r="D28" s="1347"/>
      <c r="E28" s="1348"/>
      <c r="F28" s="1348"/>
      <c r="G28" s="1348"/>
      <c r="H28" s="1348"/>
      <c r="I28" s="1348" t="s">
        <v>1231</v>
      </c>
      <c r="J28" s="1348"/>
      <c r="K28" s="1348"/>
      <c r="L28" s="1348"/>
      <c r="M28" s="1348"/>
      <c r="N28" s="1344"/>
    </row>
    <row r="29" spans="2:14" x14ac:dyDescent="0.2">
      <c r="B29" s="1257"/>
      <c r="C29" s="1349"/>
      <c r="D29" s="1350"/>
      <c r="E29" s="1257"/>
      <c r="F29" s="1257"/>
      <c r="G29" s="1250"/>
      <c r="H29" s="1250"/>
      <c r="I29" s="1250"/>
      <c r="J29" s="1250"/>
      <c r="K29" s="1250"/>
      <c r="L29" s="1250"/>
      <c r="M29" s="1257"/>
      <c r="N29" s="1344"/>
    </row>
    <row r="30" spans="2:14" ht="13.5" customHeight="1" x14ac:dyDescent="0.2">
      <c r="B30" s="1282" t="s">
        <v>1838</v>
      </c>
      <c r="C30" s="1349"/>
      <c r="D30" s="1350"/>
      <c r="E30" s="1257"/>
      <c r="F30" s="1257"/>
      <c r="G30" s="1250"/>
      <c r="H30" s="1250"/>
      <c r="I30" s="1250"/>
      <c r="J30" s="1250"/>
      <c r="K30" s="1250"/>
      <c r="L30" s="1250"/>
      <c r="M30" s="1257"/>
      <c r="N30" s="1344"/>
    </row>
    <row r="31" spans="2:14" ht="8.25" customHeight="1" x14ac:dyDescent="0.2">
      <c r="B31" s="1282"/>
      <c r="C31" s="1349"/>
      <c r="D31" s="1350"/>
      <c r="E31" s="1257"/>
      <c r="F31" s="1257"/>
      <c r="G31" s="1250"/>
      <c r="H31" s="1250"/>
      <c r="I31" s="1250"/>
      <c r="J31" s="1250"/>
      <c r="K31" s="1250"/>
      <c r="L31" s="1250"/>
      <c r="M31" s="1257"/>
      <c r="N31" s="1344"/>
    </row>
    <row r="32" spans="2:14" x14ac:dyDescent="0.2">
      <c r="B32" s="1351" t="s">
        <v>1948</v>
      </c>
      <c r="C32" s="1352"/>
      <c r="D32" s="1353"/>
      <c r="E32" s="1354"/>
      <c r="F32" s="1354"/>
      <c r="G32" s="1354"/>
      <c r="H32" s="1354"/>
      <c r="I32" s="317"/>
      <c r="J32" s="317"/>
    </row>
    <row r="33" spans="2:13" x14ac:dyDescent="0.2">
      <c r="B33" s="1277"/>
      <c r="C33" s="1355"/>
      <c r="D33" s="1356"/>
      <c r="E33" s="1278"/>
      <c r="F33" s="1278"/>
      <c r="G33" s="317"/>
      <c r="H33" s="317"/>
      <c r="I33" s="317"/>
      <c r="J33" s="317"/>
    </row>
    <row r="34" spans="2:13" ht="13.5" customHeight="1" x14ac:dyDescent="0.2">
      <c r="B34" s="1276" t="s">
        <v>1308</v>
      </c>
      <c r="G34" s="317"/>
      <c r="H34" s="317"/>
      <c r="I34" s="317"/>
      <c r="J34" s="317"/>
    </row>
    <row r="35" spans="2:13" ht="13.5" customHeight="1" x14ac:dyDescent="0.2">
      <c r="B35" s="1359"/>
      <c r="C35" s="1360"/>
      <c r="D35" s="1361"/>
      <c r="E35" s="1297"/>
      <c r="F35" s="1297"/>
      <c r="G35" s="1297"/>
      <c r="H35" s="1297"/>
      <c r="I35" s="1297"/>
      <c r="J35" s="1297"/>
      <c r="K35" s="1362"/>
      <c r="L35" s="1362"/>
      <c r="M35" s="1297"/>
    </row>
    <row r="36" spans="2:13" ht="9.6" customHeight="1" x14ac:dyDescent="0.2">
      <c r="B36" s="1363"/>
      <c r="G36" s="317"/>
      <c r="H36" s="317"/>
      <c r="I36" s="317"/>
      <c r="J36" s="317"/>
    </row>
    <row r="37" spans="2:13" ht="11.25" customHeight="1" x14ac:dyDescent="0.2">
      <c r="B37" s="1364" t="s">
        <v>1839</v>
      </c>
      <c r="C37" s="1365"/>
      <c r="D37" s="1365"/>
      <c r="E37" s="1365"/>
      <c r="F37" s="1365"/>
      <c r="G37" s="1365"/>
      <c r="H37" s="1365"/>
      <c r="I37" s="1366"/>
      <c r="J37" s="1366"/>
      <c r="K37" s="1366"/>
      <c r="L37" s="1366"/>
      <c r="M37" s="1366"/>
    </row>
    <row r="38" spans="2:13" ht="11.25" customHeight="1" x14ac:dyDescent="0.2">
      <c r="B38" s="1367" t="s">
        <v>1666</v>
      </c>
      <c r="C38" s="1366"/>
      <c r="D38" s="1366"/>
      <c r="E38" s="1366"/>
      <c r="F38" s="1366"/>
      <c r="G38" s="1366"/>
      <c r="H38" s="1366"/>
      <c r="I38" s="1366"/>
      <c r="J38" s="1366"/>
      <c r="K38" s="1366"/>
      <c r="L38" s="1366"/>
      <c r="M38" s="1366"/>
    </row>
    <row r="39" spans="2:13" ht="3.95" customHeight="1" x14ac:dyDescent="0.2">
      <c r="B39" s="1367"/>
      <c r="C39" s="1366"/>
      <c r="D39" s="1366"/>
      <c r="E39" s="1366"/>
      <c r="F39" s="1366"/>
      <c r="G39" s="1366"/>
      <c r="H39" s="1366"/>
      <c r="I39" s="1366"/>
      <c r="J39" s="1366"/>
      <c r="K39" s="1366"/>
      <c r="L39" s="1366"/>
      <c r="M39" s="1366"/>
    </row>
    <row r="40" spans="2:13" ht="11.25" customHeight="1" x14ac:dyDescent="0.2">
      <c r="B40" s="1364" t="s">
        <v>1840</v>
      </c>
      <c r="C40" s="1366"/>
      <c r="D40" s="1366"/>
      <c r="E40" s="1366"/>
      <c r="F40" s="1366"/>
      <c r="G40" s="1366"/>
      <c r="H40" s="1366"/>
      <c r="I40" s="1366"/>
      <c r="J40" s="1366"/>
      <c r="K40" s="1366"/>
      <c r="L40" s="1366"/>
      <c r="M40" s="1366"/>
    </row>
    <row r="41" spans="2:13" ht="11.25" customHeight="1" x14ac:dyDescent="0.2">
      <c r="B41" s="1300" t="s">
        <v>1667</v>
      </c>
      <c r="C41" s="1368"/>
      <c r="D41" s="1369"/>
      <c r="E41" s="1300"/>
      <c r="F41" s="1300"/>
      <c r="G41" s="1300"/>
      <c r="H41" s="1300"/>
      <c r="I41" s="1300"/>
      <c r="J41" s="1300"/>
      <c r="K41" s="1370"/>
      <c r="L41" s="1370"/>
      <c r="M41" s="1300"/>
    </row>
    <row r="42" spans="2:13" ht="3.95" customHeight="1" x14ac:dyDescent="0.2">
      <c r="B42" s="1300"/>
      <c r="C42" s="1368"/>
      <c r="D42" s="1369"/>
      <c r="E42" s="1300"/>
      <c r="F42" s="1300"/>
      <c r="G42" s="1300"/>
      <c r="H42" s="1300"/>
      <c r="I42" s="1300"/>
      <c r="J42" s="1300"/>
      <c r="K42" s="1370"/>
      <c r="L42" s="1370"/>
      <c r="M42" s="1300"/>
    </row>
    <row r="43" spans="2:13" ht="11.25" customHeight="1" x14ac:dyDescent="0.2">
      <c r="B43" s="1371" t="s">
        <v>1841</v>
      </c>
      <c r="C43" s="1368"/>
      <c r="D43" s="1369"/>
      <c r="E43" s="1300"/>
      <c r="F43" s="1300"/>
      <c r="G43" s="1300"/>
      <c r="H43" s="1300"/>
      <c r="I43" s="1300"/>
      <c r="J43" s="1300"/>
      <c r="K43" s="1370"/>
      <c r="L43" s="1370"/>
      <c r="M43" s="1300"/>
    </row>
    <row r="44" spans="2:13" ht="3.95" customHeight="1" x14ac:dyDescent="0.2">
      <c r="B44" s="1371"/>
      <c r="C44" s="1368"/>
      <c r="D44" s="1369"/>
      <c r="E44" s="1300"/>
      <c r="F44" s="1300"/>
      <c r="G44" s="1300"/>
      <c r="H44" s="1300"/>
      <c r="I44" s="1300"/>
      <c r="J44" s="1300"/>
      <c r="K44" s="1370"/>
      <c r="L44" s="1370"/>
      <c r="M44" s="1300"/>
    </row>
    <row r="45" spans="2:13" ht="11.25" customHeight="1" x14ac:dyDescent="0.2">
      <c r="B45" s="1372" t="s">
        <v>1842</v>
      </c>
      <c r="C45" s="1368"/>
      <c r="D45" s="1369"/>
      <c r="E45" s="1300"/>
      <c r="F45" s="1300"/>
      <c r="G45" s="1300"/>
      <c r="H45" s="1300"/>
      <c r="I45" s="1300"/>
      <c r="J45" s="1300"/>
      <c r="K45" s="1370"/>
      <c r="L45" s="1370"/>
      <c r="M45" s="1300"/>
    </row>
    <row r="46" spans="2:13" ht="11.25" customHeight="1" x14ac:dyDescent="0.2">
      <c r="B46" s="1300" t="s">
        <v>1668</v>
      </c>
      <c r="G46" s="317"/>
      <c r="H46" s="317"/>
      <c r="I46" s="317"/>
      <c r="J46" s="317"/>
    </row>
    <row r="47" spans="2:13" ht="11.1" customHeight="1" x14ac:dyDescent="0.2">
      <c r="B47" s="1300"/>
      <c r="G47" s="317"/>
      <c r="H47" s="317"/>
      <c r="I47" s="317"/>
      <c r="J47" s="317"/>
    </row>
    <row r="48" spans="2:13" ht="11.1" customHeight="1" x14ac:dyDescent="0.2">
      <c r="B48" s="1300"/>
      <c r="G48" s="317"/>
      <c r="H48" s="317"/>
      <c r="I48" s="317"/>
      <c r="J48" s="317"/>
    </row>
    <row r="49" spans="7:13" ht="13.5" customHeight="1" x14ac:dyDescent="0.2">
      <c r="M49" s="1373"/>
    </row>
    <row r="50" spans="7:13" ht="13.5" customHeight="1" x14ac:dyDescent="0.2">
      <c r="M50" s="1373"/>
    </row>
    <row r="51" spans="7:13" ht="13.5" customHeight="1" x14ac:dyDescent="0.2">
      <c r="M51" s="1373"/>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2"/>
  <sheetViews>
    <sheetView showGridLines="0" zoomScaleNormal="100" workbookViewId="0">
      <selection activeCell="I20" sqref="I20"/>
    </sheetView>
  </sheetViews>
  <sheetFormatPr defaultColWidth="33.5703125" defaultRowHeight="12.75" x14ac:dyDescent="0.2"/>
  <cols>
    <col min="1" max="1" width="0.140625" style="317" customWidth="1"/>
    <col min="2" max="2" width="32.85546875" style="317" customWidth="1"/>
    <col min="3" max="3" width="8.7109375" style="1357" customWidth="1"/>
    <col min="4" max="4" width="12.7109375" style="1358" customWidth="1"/>
    <col min="5" max="6" width="11.7109375" style="317" customWidth="1"/>
    <col min="7" max="7" width="11.7109375" style="1258" customWidth="1"/>
    <col min="8" max="8" width="13.7109375" style="1258" bestFit="1" customWidth="1"/>
    <col min="9" max="9" width="11.7109375" style="1258" customWidth="1"/>
    <col min="10" max="10" width="13.7109375" style="1258" customWidth="1"/>
    <col min="11" max="12" width="11.7109375" style="1258" customWidth="1"/>
    <col min="13" max="13" width="11.7109375" style="317" customWidth="1"/>
    <col min="14" max="14" width="2.7109375" style="317" customWidth="1"/>
    <col min="15" max="16384" width="33.5703125" style="317"/>
  </cols>
  <sheetData>
    <row r="1" spans="2:14" ht="11.85" customHeight="1" x14ac:dyDescent="0.2">
      <c r="B1" s="2431" t="str">
        <f>'Single Audit Cover'!A7</f>
        <v>RANTOUL CITY SCHOOLS</v>
      </c>
      <c r="C1" s="2465"/>
      <c r="D1" s="2465"/>
      <c r="E1" s="2465"/>
      <c r="F1" s="2465"/>
      <c r="G1" s="2465"/>
      <c r="H1" s="2465"/>
      <c r="I1" s="2465"/>
      <c r="J1" s="2465"/>
      <c r="K1" s="2465"/>
      <c r="L1" s="2465"/>
      <c r="M1" s="2465"/>
    </row>
    <row r="2" spans="2:14" ht="15" x14ac:dyDescent="0.2">
      <c r="B2" s="2462" t="str">
        <f>'Single Audit Cover'!E7</f>
        <v>09-010-1370-02</v>
      </c>
      <c r="C2" s="2462"/>
      <c r="D2" s="2462"/>
      <c r="E2" s="2462"/>
      <c r="F2" s="2462"/>
      <c r="G2" s="2462"/>
      <c r="H2" s="2462"/>
      <c r="I2" s="2462"/>
      <c r="J2" s="2462"/>
      <c r="K2" s="2462"/>
      <c r="L2" s="2462"/>
      <c r="M2" s="2462"/>
      <c r="N2" s="1302"/>
    </row>
    <row r="3" spans="2:14" ht="15" x14ac:dyDescent="0.2">
      <c r="B3" s="2466" t="s">
        <v>1281</v>
      </c>
      <c r="C3" s="2466"/>
      <c r="D3" s="2466"/>
      <c r="E3" s="2466"/>
      <c r="F3" s="2466"/>
      <c r="G3" s="2466"/>
      <c r="H3" s="2466"/>
      <c r="I3" s="2466"/>
      <c r="J3" s="2466"/>
      <c r="K3" s="2466"/>
      <c r="L3" s="2466"/>
      <c r="M3" s="2466"/>
      <c r="N3" s="1302"/>
    </row>
    <row r="4" spans="2:14" ht="15" x14ac:dyDescent="0.2">
      <c r="B4" s="2467" t="str">
        <f>'Single Audit Cover'!A4</f>
        <v>Year Ending June 30, 2018</v>
      </c>
      <c r="C4" s="2467"/>
      <c r="D4" s="2467"/>
      <c r="E4" s="2467"/>
      <c r="F4" s="2467"/>
      <c r="G4" s="2467"/>
      <c r="H4" s="2467"/>
      <c r="I4" s="2467"/>
      <c r="J4" s="2467"/>
      <c r="K4" s="2467"/>
      <c r="L4" s="2467"/>
      <c r="M4" s="2467"/>
      <c r="N4" s="1302"/>
    </row>
    <row r="6" spans="2:14" x14ac:dyDescent="0.2">
      <c r="B6" s="1303"/>
      <c r="C6" s="1304"/>
      <c r="D6" s="1305" t="s">
        <v>1327</v>
      </c>
      <c r="E6" s="1306" t="s">
        <v>548</v>
      </c>
      <c r="F6" s="1307"/>
      <c r="G6" s="1308" t="s">
        <v>1835</v>
      </c>
      <c r="H6" s="1306"/>
      <c r="I6" s="1306"/>
      <c r="J6" s="1306"/>
      <c r="K6" s="1309"/>
      <c r="L6" s="1310"/>
      <c r="M6" s="1311"/>
    </row>
    <row r="7" spans="2:14" x14ac:dyDescent="0.2">
      <c r="B7" s="1312" t="s">
        <v>1662</v>
      </c>
      <c r="C7" s="1313"/>
      <c r="D7" s="1314"/>
      <c r="E7" s="1315"/>
      <c r="F7" s="1316"/>
      <c r="G7" s="1315"/>
      <c r="H7" s="1317" t="s">
        <v>1324</v>
      </c>
      <c r="I7" s="1315"/>
      <c r="J7" s="1318" t="s">
        <v>1324</v>
      </c>
      <c r="K7" s="1319"/>
      <c r="L7" s="1320" t="s">
        <v>1322</v>
      </c>
      <c r="M7" s="1321"/>
    </row>
    <row r="8" spans="2:14" x14ac:dyDescent="0.2">
      <c r="B8" s="1687"/>
      <c r="C8" s="1313" t="s">
        <v>1326</v>
      </c>
      <c r="D8" s="1314" t="s">
        <v>1325</v>
      </c>
      <c r="E8" s="1322" t="s">
        <v>1324</v>
      </c>
      <c r="F8" s="1323" t="s">
        <v>1324</v>
      </c>
      <c r="G8" s="1324" t="s">
        <v>1324</v>
      </c>
      <c r="H8" s="1317" t="s">
        <v>1663</v>
      </c>
      <c r="I8" s="1319" t="s">
        <v>1324</v>
      </c>
      <c r="J8" s="1318" t="s">
        <v>1947</v>
      </c>
      <c r="K8" s="1319" t="s">
        <v>1323</v>
      </c>
      <c r="L8" s="1320" t="s">
        <v>1319</v>
      </c>
      <c r="M8" s="1321" t="s">
        <v>30</v>
      </c>
    </row>
    <row r="9" spans="2:14" ht="14.25" x14ac:dyDescent="0.2">
      <c r="B9" s="1325" t="s">
        <v>1321</v>
      </c>
      <c r="C9" s="1313" t="s">
        <v>1836</v>
      </c>
      <c r="D9" s="1314" t="s">
        <v>1837</v>
      </c>
      <c r="E9" s="1322" t="s">
        <v>1663</v>
      </c>
      <c r="F9" s="1323" t="s">
        <v>1947</v>
      </c>
      <c r="G9" s="1324" t="s">
        <v>1663</v>
      </c>
      <c r="H9" s="1317" t="s">
        <v>1664</v>
      </c>
      <c r="I9" s="1319" t="s">
        <v>1947</v>
      </c>
      <c r="J9" s="1318" t="s">
        <v>1664</v>
      </c>
      <c r="K9" s="1319" t="s">
        <v>1320</v>
      </c>
      <c r="L9" s="1326" t="s">
        <v>1665</v>
      </c>
      <c r="M9" s="1321"/>
    </row>
    <row r="10" spans="2:14" ht="11.85" customHeight="1" x14ac:dyDescent="0.2">
      <c r="B10" s="1325" t="s">
        <v>1318</v>
      </c>
      <c r="C10" s="1327" t="s">
        <v>1317</v>
      </c>
      <c r="D10" s="1328" t="s">
        <v>1316</v>
      </c>
      <c r="E10" s="1329" t="s">
        <v>1315</v>
      </c>
      <c r="F10" s="1330" t="s">
        <v>1314</v>
      </c>
      <c r="G10" s="1331" t="s">
        <v>1313</v>
      </c>
      <c r="H10" s="1332" t="s">
        <v>1328</v>
      </c>
      <c r="I10" s="1333" t="s">
        <v>1312</v>
      </c>
      <c r="J10" s="1334" t="s">
        <v>1328</v>
      </c>
      <c r="K10" s="1335" t="s">
        <v>1311</v>
      </c>
      <c r="L10" s="1335" t="s">
        <v>1310</v>
      </c>
      <c r="M10" s="1336" t="s">
        <v>1309</v>
      </c>
    </row>
    <row r="11" spans="2:14" ht="20.100000000000001" customHeight="1" x14ac:dyDescent="0.2">
      <c r="B11" s="1337" t="s">
        <v>2178</v>
      </c>
      <c r="C11" s="1338"/>
      <c r="D11" s="1339"/>
      <c r="E11" s="1340"/>
      <c r="F11" s="1340"/>
      <c r="G11" s="1340"/>
      <c r="H11" s="1340"/>
      <c r="I11" s="1340"/>
      <c r="J11" s="1340"/>
      <c r="K11" s="1340"/>
      <c r="L11" s="1340">
        <f>+G11+I11+K11</f>
        <v>0</v>
      </c>
      <c r="M11" s="1340"/>
    </row>
    <row r="12" spans="2:14" ht="20.100000000000001" customHeight="1" x14ac:dyDescent="0.2">
      <c r="B12" s="1337" t="s">
        <v>2174</v>
      </c>
      <c r="C12" s="1341"/>
      <c r="D12" s="1342"/>
      <c r="E12" s="1343"/>
      <c r="F12" s="1343"/>
      <c r="G12" s="1343"/>
      <c r="H12" s="1343"/>
      <c r="I12" s="1343"/>
      <c r="J12" s="1343"/>
      <c r="K12" s="1343"/>
      <c r="L12" s="1340">
        <f t="shared" ref="L12:L27" si="0">+G12+I12+K12</f>
        <v>0</v>
      </c>
      <c r="M12" s="1343"/>
    </row>
    <row r="13" spans="2:14" ht="20.100000000000001" customHeight="1" x14ac:dyDescent="0.2">
      <c r="B13" s="1337" t="s">
        <v>2176</v>
      </c>
      <c r="C13" s="1341">
        <v>93.778000000000006</v>
      </c>
      <c r="D13" s="1342" t="s">
        <v>2175</v>
      </c>
      <c r="E13" s="1343"/>
      <c r="F13" s="1343">
        <v>54981</v>
      </c>
      <c r="G13" s="1343"/>
      <c r="H13" s="1343"/>
      <c r="I13" s="1343">
        <v>54981</v>
      </c>
      <c r="J13" s="1343"/>
      <c r="K13" s="1343"/>
      <c r="L13" s="1340">
        <f t="shared" si="0"/>
        <v>54981</v>
      </c>
      <c r="M13" s="1343"/>
    </row>
    <row r="14" spans="2:14" ht="20.100000000000001" customHeight="1" x14ac:dyDescent="0.2">
      <c r="B14" s="1337" t="s">
        <v>2177</v>
      </c>
      <c r="C14" s="1341">
        <v>94.018000000000001</v>
      </c>
      <c r="D14" s="1342" t="s">
        <v>2179</v>
      </c>
      <c r="E14" s="1343"/>
      <c r="F14" s="1343">
        <v>4999</v>
      </c>
      <c r="G14" s="1343"/>
      <c r="H14" s="1343"/>
      <c r="I14" s="1343">
        <v>4999</v>
      </c>
      <c r="J14" s="1343"/>
      <c r="K14" s="1343"/>
      <c r="L14" s="1340">
        <f t="shared" si="0"/>
        <v>4999</v>
      </c>
      <c r="M14" s="1343"/>
    </row>
    <row r="15" spans="2:14" ht="20.100000000000001" customHeight="1" x14ac:dyDescent="0.2">
      <c r="B15" s="1337" t="s">
        <v>1231</v>
      </c>
      <c r="C15" s="1341"/>
      <c r="D15" s="1342"/>
      <c r="E15" s="1343"/>
      <c r="F15" s="1343"/>
      <c r="G15" s="1343"/>
      <c r="H15" s="1343"/>
      <c r="I15" s="1343"/>
      <c r="J15" s="1343"/>
      <c r="K15" s="1343"/>
      <c r="L15" s="1340">
        <f t="shared" si="0"/>
        <v>0</v>
      </c>
      <c r="M15" s="1343"/>
    </row>
    <row r="16" spans="2:14" ht="20.100000000000001" customHeight="1" x14ac:dyDescent="0.2">
      <c r="B16" s="1337" t="s">
        <v>2180</v>
      </c>
      <c r="C16" s="1341"/>
      <c r="D16" s="1342"/>
      <c r="E16" s="1343"/>
      <c r="F16" s="1343">
        <v>59980</v>
      </c>
      <c r="G16" s="1343"/>
      <c r="H16" s="1343"/>
      <c r="I16" s="1343">
        <v>59980</v>
      </c>
      <c r="J16" s="1343"/>
      <c r="K16" s="1343"/>
      <c r="L16" s="1340">
        <f t="shared" si="0"/>
        <v>59980</v>
      </c>
      <c r="M16" s="1343"/>
    </row>
    <row r="17" spans="2:14" ht="20.100000000000001" customHeight="1" x14ac:dyDescent="0.2">
      <c r="B17" s="1337"/>
      <c r="C17" s="1341"/>
      <c r="D17" s="1342"/>
      <c r="E17" s="1343"/>
      <c r="F17" s="1343"/>
      <c r="G17" s="1343"/>
      <c r="H17" s="1343"/>
      <c r="I17" s="1343"/>
      <c r="J17" s="1343"/>
      <c r="K17" s="1343"/>
      <c r="L17" s="1340">
        <f t="shared" si="0"/>
        <v>0</v>
      </c>
      <c r="M17" s="1343"/>
    </row>
    <row r="18" spans="2:14" ht="20.100000000000001" customHeight="1" x14ac:dyDescent="0.2">
      <c r="B18" s="1337"/>
      <c r="C18" s="1341"/>
      <c r="D18" s="1342"/>
      <c r="E18" s="1343"/>
      <c r="F18" s="1343"/>
      <c r="G18" s="1343"/>
      <c r="H18" s="1343"/>
      <c r="I18" s="1343"/>
      <c r="J18" s="1343"/>
      <c r="K18" s="1343"/>
      <c r="L18" s="1340">
        <f t="shared" si="0"/>
        <v>0</v>
      </c>
      <c r="M18" s="1343"/>
    </row>
    <row r="19" spans="2:14" ht="20.100000000000001" customHeight="1" x14ac:dyDescent="0.2">
      <c r="B19" s="1337" t="s">
        <v>2181</v>
      </c>
      <c r="C19" s="1341"/>
      <c r="D19" s="1342"/>
      <c r="E19" s="1343">
        <v>1933742</v>
      </c>
      <c r="F19" s="1343">
        <v>2945990</v>
      </c>
      <c r="G19" s="1343">
        <v>2046597</v>
      </c>
      <c r="H19" s="1343"/>
      <c r="I19" s="1343">
        <v>2969462</v>
      </c>
      <c r="J19" s="1343"/>
      <c r="K19" s="1343"/>
      <c r="L19" s="1340">
        <f t="shared" si="0"/>
        <v>5016059</v>
      </c>
      <c r="M19" s="1343"/>
    </row>
    <row r="20" spans="2:14" ht="20.100000000000001" customHeight="1" x14ac:dyDescent="0.2">
      <c r="B20" s="1337"/>
      <c r="C20" s="1341"/>
      <c r="D20" s="1342"/>
      <c r="E20" s="1343"/>
      <c r="F20" s="1343"/>
      <c r="G20" s="1343"/>
      <c r="H20" s="1343"/>
      <c r="I20" s="1343"/>
      <c r="J20" s="1343"/>
      <c r="K20" s="1343"/>
      <c r="L20" s="1340">
        <f t="shared" si="0"/>
        <v>0</v>
      </c>
      <c r="M20" s="1343"/>
    </row>
    <row r="21" spans="2:14" ht="20.100000000000001" customHeight="1" x14ac:dyDescent="0.2">
      <c r="B21" s="1337"/>
      <c r="C21" s="1341"/>
      <c r="D21" s="1342"/>
      <c r="E21" s="1343"/>
      <c r="F21" s="1343"/>
      <c r="G21" s="1343"/>
      <c r="H21" s="1343"/>
      <c r="I21" s="1343"/>
      <c r="J21" s="1343"/>
      <c r="K21" s="1343"/>
      <c r="L21" s="1340">
        <f t="shared" si="0"/>
        <v>0</v>
      </c>
      <c r="M21" s="1343"/>
    </row>
    <row r="22" spans="2:14" ht="20.100000000000001" customHeight="1" x14ac:dyDescent="0.2">
      <c r="B22" s="1337"/>
      <c r="C22" s="1341"/>
      <c r="D22" s="1342"/>
      <c r="E22" s="1343"/>
      <c r="F22" s="1343"/>
      <c r="G22" s="1343"/>
      <c r="H22" s="1343"/>
      <c r="I22" s="1343"/>
      <c r="J22" s="1343"/>
      <c r="K22" s="1343"/>
      <c r="L22" s="1340">
        <f t="shared" si="0"/>
        <v>0</v>
      </c>
      <c r="M22" s="1343"/>
    </row>
    <row r="23" spans="2:14" ht="20.100000000000001" customHeight="1" x14ac:dyDescent="0.2">
      <c r="B23" s="1337"/>
      <c r="C23" s="1341"/>
      <c r="D23" s="1342"/>
      <c r="E23" s="1343"/>
      <c r="F23" s="1343"/>
      <c r="G23" s="1343"/>
      <c r="H23" s="1343"/>
      <c r="I23" s="1343"/>
      <c r="J23" s="1343"/>
      <c r="K23" s="1343"/>
      <c r="L23" s="1340">
        <f t="shared" si="0"/>
        <v>0</v>
      </c>
      <c r="M23" s="1343"/>
    </row>
    <row r="24" spans="2:14" ht="20.100000000000001" customHeight="1" x14ac:dyDescent="0.2">
      <c r="B24" s="1337"/>
      <c r="C24" s="1341"/>
      <c r="D24" s="1342"/>
      <c r="E24" s="1343"/>
      <c r="F24" s="1343"/>
      <c r="G24" s="1343"/>
      <c r="H24" s="1343"/>
      <c r="I24" s="1343"/>
      <c r="J24" s="1343"/>
      <c r="K24" s="1343"/>
      <c r="L24" s="1340">
        <f t="shared" si="0"/>
        <v>0</v>
      </c>
      <c r="M24" s="1343"/>
    </row>
    <row r="25" spans="2:14" ht="20.100000000000001" customHeight="1" x14ac:dyDescent="0.2">
      <c r="B25" s="1337"/>
      <c r="C25" s="1341"/>
      <c r="D25" s="1342"/>
      <c r="E25" s="1343"/>
      <c r="F25" s="1343"/>
      <c r="G25" s="1343"/>
      <c r="H25" s="1343"/>
      <c r="I25" s="1343"/>
      <c r="J25" s="1343"/>
      <c r="K25" s="1343"/>
      <c r="L25" s="1340">
        <f t="shared" si="0"/>
        <v>0</v>
      </c>
      <c r="M25" s="1343"/>
    </row>
    <row r="26" spans="2:14" ht="20.100000000000001" customHeight="1" x14ac:dyDescent="0.2">
      <c r="B26" s="1337"/>
      <c r="C26" s="1341"/>
      <c r="D26" s="1342"/>
      <c r="E26" s="1343"/>
      <c r="F26" s="1343"/>
      <c r="G26" s="1343"/>
      <c r="H26" s="1343"/>
      <c r="I26" s="1343"/>
      <c r="J26" s="1343"/>
      <c r="K26" s="1343"/>
      <c r="L26" s="1340">
        <f t="shared" si="0"/>
        <v>0</v>
      </c>
      <c r="M26" s="1343"/>
    </row>
    <row r="27" spans="2:14" ht="20.100000000000001" customHeight="1" x14ac:dyDescent="0.2">
      <c r="B27" s="1337"/>
      <c r="C27" s="1341"/>
      <c r="D27" s="1342"/>
      <c r="E27" s="1343"/>
      <c r="F27" s="1343"/>
      <c r="G27" s="1343"/>
      <c r="H27" s="1343"/>
      <c r="I27" s="1343"/>
      <c r="J27" s="1343"/>
      <c r="K27" s="1343"/>
      <c r="L27" s="1340">
        <f t="shared" si="0"/>
        <v>0</v>
      </c>
      <c r="M27" s="1343"/>
      <c r="N27" s="1344"/>
    </row>
    <row r="28" spans="2:14" ht="12.75" customHeight="1" x14ac:dyDescent="0.2">
      <c r="B28" s="1345"/>
      <c r="C28" s="1346"/>
      <c r="D28" s="1347"/>
      <c r="E28" s="1348"/>
      <c r="F28" s="1348"/>
      <c r="G28" s="1348"/>
      <c r="H28" s="1348"/>
      <c r="I28" s="1348"/>
      <c r="J28" s="1348"/>
      <c r="K28" s="1348"/>
      <c r="L28" s="1348"/>
      <c r="M28" s="1348"/>
      <c r="N28" s="1344"/>
    </row>
    <row r="29" spans="2:14" x14ac:dyDescent="0.2">
      <c r="B29" s="1257"/>
      <c r="C29" s="1349"/>
      <c r="D29" s="1350"/>
      <c r="E29" s="1257"/>
      <c r="F29" s="1257"/>
      <c r="G29" s="1250"/>
      <c r="H29" s="1250"/>
      <c r="I29" s="1250"/>
      <c r="J29" s="1250"/>
      <c r="K29" s="1250"/>
      <c r="L29" s="1250"/>
      <c r="M29" s="1257"/>
      <c r="N29" s="1344"/>
    </row>
    <row r="30" spans="2:14" ht="13.5" customHeight="1" x14ac:dyDescent="0.2">
      <c r="B30" s="1282" t="s">
        <v>1838</v>
      </c>
      <c r="C30" s="1349"/>
      <c r="D30" s="1350"/>
      <c r="E30" s="1257"/>
      <c r="F30" s="1257"/>
      <c r="G30" s="1250"/>
      <c r="H30" s="1250"/>
      <c r="I30" s="1250"/>
      <c r="J30" s="1250"/>
      <c r="K30" s="1250"/>
      <c r="L30" s="1250"/>
      <c r="M30" s="1257"/>
      <c r="N30" s="1344"/>
    </row>
    <row r="31" spans="2:14" ht="8.25" customHeight="1" x14ac:dyDescent="0.2">
      <c r="B31" s="1282"/>
      <c r="C31" s="1349"/>
      <c r="D31" s="1350"/>
      <c r="E31" s="1257"/>
      <c r="F31" s="1257"/>
      <c r="G31" s="1250"/>
      <c r="H31" s="1250"/>
      <c r="I31" s="1250"/>
      <c r="J31" s="1250"/>
      <c r="K31" s="1250"/>
      <c r="L31" s="1250"/>
      <c r="M31" s="1257"/>
      <c r="N31" s="1344"/>
    </row>
    <row r="32" spans="2:14" x14ac:dyDescent="0.2">
      <c r="B32" s="1351" t="s">
        <v>1948</v>
      </c>
      <c r="C32" s="1352"/>
      <c r="D32" s="1353"/>
      <c r="E32" s="1354"/>
      <c r="F32" s="1354"/>
      <c r="G32" s="1354"/>
      <c r="H32" s="1354"/>
      <c r="I32" s="317"/>
      <c r="J32" s="317"/>
    </row>
    <row r="33" spans="2:13" x14ac:dyDescent="0.2">
      <c r="B33" s="1277"/>
      <c r="C33" s="1355"/>
      <c r="D33" s="1356"/>
      <c r="E33" s="1278"/>
      <c r="F33" s="1278"/>
      <c r="G33" s="317"/>
      <c r="H33" s="317"/>
      <c r="I33" s="317"/>
      <c r="J33" s="317"/>
    </row>
    <row r="34" spans="2:13" ht="13.5" customHeight="1" x14ac:dyDescent="0.2">
      <c r="B34" s="1276" t="s">
        <v>1308</v>
      </c>
      <c r="G34" s="317"/>
      <c r="H34" s="317"/>
      <c r="I34" s="317"/>
      <c r="J34" s="317"/>
    </row>
    <row r="35" spans="2:13" ht="13.5" customHeight="1" x14ac:dyDescent="0.2">
      <c r="B35" s="1359"/>
      <c r="C35" s="1360"/>
      <c r="D35" s="1361"/>
      <c r="E35" s="1297"/>
      <c r="F35" s="1297"/>
      <c r="G35" s="1297"/>
      <c r="H35" s="1297"/>
      <c r="I35" s="1297"/>
      <c r="J35" s="1297"/>
      <c r="K35" s="1362"/>
      <c r="L35" s="1362"/>
      <c r="M35" s="1297"/>
    </row>
    <row r="36" spans="2:13" ht="9.6" customHeight="1" x14ac:dyDescent="0.2">
      <c r="B36" s="1363"/>
      <c r="G36" s="317"/>
      <c r="H36" s="317"/>
      <c r="I36" s="317"/>
      <c r="J36" s="317"/>
    </row>
    <row r="37" spans="2:13" ht="11.25" customHeight="1" x14ac:dyDescent="0.2">
      <c r="B37" s="1364" t="s">
        <v>1839</v>
      </c>
      <c r="C37" s="1365"/>
      <c r="D37" s="1365"/>
      <c r="E37" s="1365"/>
      <c r="F37" s="1365"/>
      <c r="G37" s="1365"/>
      <c r="H37" s="1365"/>
      <c r="I37" s="1366"/>
      <c r="J37" s="1366"/>
      <c r="K37" s="1366"/>
      <c r="L37" s="1366"/>
      <c r="M37" s="1366"/>
    </row>
    <row r="38" spans="2:13" ht="11.25" customHeight="1" x14ac:dyDescent="0.2">
      <c r="B38" s="1367" t="s">
        <v>1666</v>
      </c>
      <c r="C38" s="1366"/>
      <c r="D38" s="1366"/>
      <c r="E38" s="1366"/>
      <c r="F38" s="1366"/>
      <c r="G38" s="1366"/>
      <c r="H38" s="1366"/>
      <c r="I38" s="1366"/>
      <c r="J38" s="1366"/>
      <c r="K38" s="1366"/>
      <c r="L38" s="1366"/>
      <c r="M38" s="1366"/>
    </row>
    <row r="39" spans="2:13" ht="3.95" customHeight="1" x14ac:dyDescent="0.2">
      <c r="B39" s="1367"/>
      <c r="C39" s="1366"/>
      <c r="D39" s="1366"/>
      <c r="E39" s="1366"/>
      <c r="F39" s="1366"/>
      <c r="G39" s="1366"/>
      <c r="H39" s="1366"/>
      <c r="I39" s="1366"/>
      <c r="J39" s="1366"/>
      <c r="K39" s="1366"/>
      <c r="L39" s="1366"/>
      <c r="M39" s="1366"/>
    </row>
    <row r="40" spans="2:13" ht="11.25" customHeight="1" x14ac:dyDescent="0.2">
      <c r="B40" s="1364" t="s">
        <v>1840</v>
      </c>
      <c r="C40" s="1366"/>
      <c r="D40" s="1366"/>
      <c r="E40" s="1366"/>
      <c r="F40" s="1366"/>
      <c r="G40" s="1366"/>
      <c r="H40" s="1366"/>
      <c r="I40" s="1366"/>
      <c r="J40" s="1366"/>
      <c r="K40" s="1366"/>
      <c r="L40" s="1366"/>
      <c r="M40" s="1366"/>
    </row>
    <row r="41" spans="2:13" ht="11.25" customHeight="1" x14ac:dyDescent="0.2">
      <c r="B41" s="1300" t="s">
        <v>1667</v>
      </c>
      <c r="C41" s="1368"/>
      <c r="D41" s="1369"/>
      <c r="E41" s="1300"/>
      <c r="F41" s="1300"/>
      <c r="G41" s="1300"/>
      <c r="H41" s="1300"/>
      <c r="I41" s="1300"/>
      <c r="J41" s="1300"/>
      <c r="K41" s="1370"/>
      <c r="L41" s="1370"/>
      <c r="M41" s="1300"/>
    </row>
    <row r="42" spans="2:13" ht="3.95" customHeight="1" x14ac:dyDescent="0.2">
      <c r="B42" s="1300"/>
      <c r="C42" s="1368"/>
      <c r="D42" s="1369"/>
      <c r="E42" s="1300"/>
      <c r="F42" s="1300"/>
      <c r="G42" s="1300"/>
      <c r="H42" s="1300"/>
      <c r="I42" s="1300"/>
      <c r="J42" s="1300"/>
      <c r="K42" s="1370"/>
      <c r="L42" s="1370"/>
      <c r="M42" s="1300"/>
    </row>
    <row r="43" spans="2:13" ht="11.25" customHeight="1" x14ac:dyDescent="0.2">
      <c r="B43" s="1371" t="s">
        <v>1841</v>
      </c>
      <c r="C43" s="1368"/>
      <c r="D43" s="1369"/>
      <c r="E43" s="1300"/>
      <c r="F43" s="1300"/>
      <c r="G43" s="1300"/>
      <c r="H43" s="1300"/>
      <c r="I43" s="1300"/>
      <c r="J43" s="1300"/>
      <c r="K43" s="1370"/>
      <c r="L43" s="1370"/>
      <c r="M43" s="1300"/>
    </row>
    <row r="44" spans="2:13" ht="3.95" customHeight="1" x14ac:dyDescent="0.2">
      <c r="B44" s="1371"/>
      <c r="C44" s="1368"/>
      <c r="D44" s="1369"/>
      <c r="E44" s="1300"/>
      <c r="F44" s="1300"/>
      <c r="G44" s="1300"/>
      <c r="H44" s="1300"/>
      <c r="I44" s="1300"/>
      <c r="J44" s="1300"/>
      <c r="K44" s="1370"/>
      <c r="L44" s="1370"/>
      <c r="M44" s="1300"/>
    </row>
    <row r="45" spans="2:13" ht="11.25" customHeight="1" x14ac:dyDescent="0.2">
      <c r="B45" s="1372" t="s">
        <v>1842</v>
      </c>
      <c r="C45" s="1368"/>
      <c r="D45" s="1369"/>
      <c r="E45" s="1300"/>
      <c r="F45" s="1300"/>
      <c r="G45" s="1300"/>
      <c r="H45" s="1300"/>
      <c r="I45" s="1300"/>
      <c r="J45" s="1300"/>
      <c r="K45" s="1370"/>
      <c r="L45" s="1370"/>
      <c r="M45" s="1300"/>
    </row>
    <row r="46" spans="2:13" ht="11.25" customHeight="1" x14ac:dyDescent="0.2">
      <c r="B46" s="1300" t="s">
        <v>1668</v>
      </c>
      <c r="G46" s="317"/>
      <c r="H46" s="317"/>
      <c r="I46" s="317"/>
      <c r="J46" s="317"/>
    </row>
    <row r="47" spans="2:13" ht="11.1" customHeight="1" x14ac:dyDescent="0.2">
      <c r="B47" s="1300"/>
      <c r="G47" s="317"/>
      <c r="H47" s="317"/>
      <c r="I47" s="317"/>
      <c r="J47" s="317"/>
    </row>
    <row r="48" spans="2:13" ht="11.1" customHeight="1" x14ac:dyDescent="0.2">
      <c r="B48" s="1300"/>
      <c r="G48" s="317"/>
      <c r="H48" s="317"/>
      <c r="I48" s="317"/>
      <c r="J48" s="317"/>
    </row>
    <row r="49" spans="7:13" ht="13.5" customHeight="1" x14ac:dyDescent="0.2">
      <c r="M49" s="1373"/>
    </row>
    <row r="50" spans="7:13" ht="13.5" customHeight="1" x14ac:dyDescent="0.2">
      <c r="M50" s="1373"/>
    </row>
    <row r="51" spans="7:13" ht="13.5" customHeight="1" x14ac:dyDescent="0.2">
      <c r="M51" s="1373"/>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showGridLines="0" topLeftCell="A26" zoomScale="110" zoomScaleNormal="110" workbookViewId="0">
      <selection activeCell="G51" sqref="G51"/>
    </sheetView>
  </sheetViews>
  <sheetFormatPr defaultColWidth="9.140625" defaultRowHeight="12.75" x14ac:dyDescent="0.2"/>
  <cols>
    <col min="1" max="1" width="1.42578125" style="1300" customWidth="1"/>
    <col min="2" max="2" width="24.42578125" style="1357" customWidth="1"/>
    <col min="3" max="3" width="29.5703125" style="317" customWidth="1"/>
    <col min="4" max="4" width="9.28515625" style="317" customWidth="1"/>
    <col min="5" max="5" width="5.28515625" style="1258"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479" t="str">
        <f>'Single Audit Cover'!A7</f>
        <v>RANTOUL CITY SCHOOLS</v>
      </c>
      <c r="C1" s="2480"/>
      <c r="D1" s="2480"/>
      <c r="E1" s="2480"/>
      <c r="F1" s="2480"/>
      <c r="G1" s="2480"/>
      <c r="H1" s="2480"/>
      <c r="I1" s="2480"/>
      <c r="J1" s="1422"/>
    </row>
    <row r="2" spans="2:10" s="317" customFormat="1" ht="12.75" customHeight="1" x14ac:dyDescent="0.2">
      <c r="B2" s="2481" t="str">
        <f>'Single Audit Cover'!E7</f>
        <v>09-010-1370-02</v>
      </c>
      <c r="C2" s="2482"/>
      <c r="D2" s="2482"/>
      <c r="E2" s="2482"/>
      <c r="F2" s="2482"/>
      <c r="G2" s="2482"/>
      <c r="H2" s="2482"/>
      <c r="I2" s="2482"/>
      <c r="J2" s="1422"/>
    </row>
    <row r="3" spans="2:10" s="317" customFormat="1" ht="12.75" customHeight="1" x14ac:dyDescent="0.2">
      <c r="B3" s="2483" t="s">
        <v>1347</v>
      </c>
      <c r="C3" s="2484"/>
      <c r="D3" s="2484"/>
      <c r="E3" s="2484"/>
      <c r="F3" s="2484"/>
      <c r="G3" s="2484"/>
      <c r="H3" s="2484"/>
      <c r="I3" s="2484"/>
      <c r="J3" s="1423"/>
    </row>
    <row r="4" spans="2:10" s="317" customFormat="1" ht="12.75" customHeight="1" x14ac:dyDescent="0.2">
      <c r="B4" s="2483" t="str">
        <f>'Single Audit Cover'!A4</f>
        <v>Year Ending June 30, 2018</v>
      </c>
      <c r="C4" s="2484"/>
      <c r="D4" s="2484"/>
      <c r="E4" s="2484"/>
      <c r="F4" s="2484"/>
      <c r="G4" s="2484"/>
      <c r="H4" s="2484"/>
      <c r="I4" s="2484"/>
    </row>
    <row r="5" spans="2:10" s="317" customFormat="1" ht="6.2" customHeight="1" x14ac:dyDescent="0.2">
      <c r="B5" s="1424" t="s">
        <v>1231</v>
      </c>
      <c r="C5" s="1294"/>
      <c r="D5" s="1294"/>
      <c r="E5" s="1383"/>
      <c r="F5" s="322"/>
      <c r="G5" s="322"/>
      <c r="H5" s="322"/>
      <c r="I5" s="322"/>
    </row>
    <row r="6" spans="2:10" s="317" customFormat="1" ht="6.2" customHeight="1" x14ac:dyDescent="0.2">
      <c r="B6" s="1425"/>
      <c r="C6" s="1379"/>
      <c r="D6" s="1379"/>
      <c r="E6" s="1380"/>
      <c r="F6" s="1379"/>
      <c r="G6" s="1379"/>
      <c r="H6" s="1379"/>
      <c r="I6" s="1379"/>
    </row>
    <row r="7" spans="2:10" s="317" customFormat="1" ht="13.5" customHeight="1" x14ac:dyDescent="0.2">
      <c r="B7" s="2483" t="s">
        <v>1346</v>
      </c>
      <c r="C7" s="2484"/>
      <c r="D7" s="2484"/>
      <c r="E7" s="2484"/>
      <c r="F7" s="2484"/>
      <c r="G7" s="2484"/>
      <c r="H7" s="2484"/>
      <c r="I7" s="2484"/>
    </row>
    <row r="8" spans="2:10" s="317" customFormat="1" ht="6.2" customHeight="1" x14ac:dyDescent="0.2">
      <c r="B8" s="1426" t="s">
        <v>1231</v>
      </c>
      <c r="C8" s="1427"/>
      <c r="D8" s="1427"/>
      <c r="E8" s="1428"/>
      <c r="F8" s="1427"/>
      <c r="G8" s="1427"/>
      <c r="H8" s="1427"/>
      <c r="I8" s="1427"/>
    </row>
    <row r="9" spans="2:10" s="317" customFormat="1" ht="9" customHeight="1" x14ac:dyDescent="0.2">
      <c r="B9" s="1429"/>
      <c r="C9" s="322"/>
      <c r="D9" s="322"/>
      <c r="E9" s="1383"/>
      <c r="F9" s="322"/>
      <c r="G9" s="322"/>
      <c r="H9" s="322"/>
      <c r="I9" s="322"/>
    </row>
    <row r="10" spans="2:10" s="317" customFormat="1" ht="12.75" customHeight="1" x14ac:dyDescent="0.2">
      <c r="B10" s="1430" t="s">
        <v>1345</v>
      </c>
      <c r="C10" s="1431"/>
      <c r="D10" s="1431"/>
      <c r="E10" s="1258"/>
    </row>
    <row r="11" spans="2:10" s="317" customFormat="1" ht="13.5" customHeight="1" x14ac:dyDescent="0.2">
      <c r="B11" s="1349" t="s">
        <v>1344</v>
      </c>
      <c r="C11" s="2485" t="s">
        <v>2182</v>
      </c>
      <c r="D11" s="2485"/>
      <c r="E11" s="1432"/>
      <c r="F11" s="1432"/>
      <c r="G11" s="1432"/>
    </row>
    <row r="12" spans="2:10" s="317" customFormat="1" ht="11.45" customHeight="1" x14ac:dyDescent="0.2">
      <c r="B12" s="1357"/>
      <c r="C12" s="1433" t="s">
        <v>1517</v>
      </c>
      <c r="D12" s="1434"/>
      <c r="E12" s="1258"/>
    </row>
    <row r="13" spans="2:10" s="317" customFormat="1" ht="12.75" customHeight="1" x14ac:dyDescent="0.2">
      <c r="B13" s="1435"/>
      <c r="C13" s="1387"/>
      <c r="D13" s="1387"/>
      <c r="E13" s="1258"/>
    </row>
    <row r="14" spans="2:10" s="317" customFormat="1" ht="12.75" customHeight="1" x14ac:dyDescent="0.2">
      <c r="B14" s="1368" t="s">
        <v>1343</v>
      </c>
      <c r="C14" s="1282"/>
      <c r="E14" s="1258"/>
    </row>
    <row r="15" spans="2:10" s="317" customFormat="1" ht="13.5" customHeight="1" x14ac:dyDescent="0.2">
      <c r="B15" s="1436" t="s">
        <v>1340</v>
      </c>
      <c r="C15" s="1437"/>
      <c r="D15" s="1398"/>
      <c r="E15" s="1438"/>
      <c r="F15" s="1300" t="s">
        <v>940</v>
      </c>
      <c r="G15" s="1438" t="s">
        <v>2130</v>
      </c>
      <c r="H15" s="1300" t="s">
        <v>1338</v>
      </c>
      <c r="I15" s="1300"/>
    </row>
    <row r="16" spans="2:10" s="317" customFormat="1" ht="8.4499999999999993" customHeight="1" x14ac:dyDescent="0.2">
      <c r="B16" s="1368"/>
      <c r="C16" s="1282"/>
      <c r="E16" s="1383"/>
      <c r="F16" s="1300"/>
      <c r="G16" s="322"/>
      <c r="H16" s="1300"/>
      <c r="I16" s="1300"/>
    </row>
    <row r="17" spans="2:9" s="317" customFormat="1" ht="13.5" customHeight="1" x14ac:dyDescent="0.2">
      <c r="B17" s="1436" t="s">
        <v>1339</v>
      </c>
      <c r="C17" s="1437"/>
      <c r="D17" s="1398"/>
      <c r="E17" s="1439"/>
      <c r="F17" s="1257"/>
      <c r="G17" s="1439"/>
      <c r="H17" s="1300"/>
      <c r="I17" s="1300"/>
    </row>
    <row r="18" spans="2:9" s="317" customFormat="1" ht="12.75" customHeight="1" x14ac:dyDescent="0.2">
      <c r="B18" s="1436" t="s">
        <v>1518</v>
      </c>
      <c r="C18" s="1437"/>
      <c r="D18" s="1398"/>
      <c r="E18" s="1438"/>
      <c r="F18" s="1300" t="s">
        <v>940</v>
      </c>
      <c r="G18" s="1438" t="s">
        <v>2130</v>
      </c>
      <c r="H18" s="1300" t="s">
        <v>1338</v>
      </c>
      <c r="I18" s="1300"/>
    </row>
    <row r="19" spans="2:9" s="317" customFormat="1" ht="8.4499999999999993" customHeight="1" x14ac:dyDescent="0.2">
      <c r="B19" s="1368"/>
      <c r="C19" s="1282"/>
      <c r="E19" s="1383"/>
      <c r="F19" s="1300"/>
      <c r="G19" s="322"/>
      <c r="H19" s="1300"/>
      <c r="I19" s="1300"/>
    </row>
    <row r="20" spans="2:9" s="317" customFormat="1" ht="13.5" customHeight="1" x14ac:dyDescent="0.2">
      <c r="B20" s="1436" t="s">
        <v>1673</v>
      </c>
      <c r="C20" s="1437"/>
      <c r="D20" s="1398"/>
      <c r="E20" s="1438"/>
      <c r="F20" s="1300" t="s">
        <v>940</v>
      </c>
      <c r="G20" s="1438" t="s">
        <v>2130</v>
      </c>
      <c r="H20" s="1300" t="s">
        <v>101</v>
      </c>
      <c r="I20" s="1300"/>
    </row>
    <row r="21" spans="2:9" s="317" customFormat="1" ht="12.75" customHeight="1" x14ac:dyDescent="0.2">
      <c r="B21" s="1368"/>
      <c r="C21" s="1282"/>
      <c r="E21" s="1383"/>
      <c r="F21" s="1300"/>
      <c r="G21" s="322"/>
      <c r="H21" s="1300"/>
      <c r="I21" s="1300"/>
    </row>
    <row r="22" spans="2:9" s="317" customFormat="1" ht="12.75" customHeight="1" x14ac:dyDescent="0.2">
      <c r="B22" s="1430" t="s">
        <v>1342</v>
      </c>
      <c r="C22" s="1440"/>
      <c r="D22" s="1431"/>
      <c r="E22" s="1383"/>
      <c r="F22" s="1300"/>
      <c r="G22" s="322"/>
      <c r="H22" s="1300"/>
      <c r="I22" s="1300"/>
    </row>
    <row r="23" spans="2:9" s="317" customFormat="1" ht="12.75" customHeight="1" x14ac:dyDescent="0.2">
      <c r="B23" s="1368" t="s">
        <v>1341</v>
      </c>
      <c r="C23" s="1282"/>
      <c r="E23" s="1383"/>
      <c r="F23" s="1300"/>
      <c r="G23" s="322"/>
      <c r="H23" s="1300"/>
      <c r="I23" s="1300"/>
    </row>
    <row r="24" spans="2:9" s="317" customFormat="1" ht="13.5" customHeight="1" x14ac:dyDescent="0.2">
      <c r="B24" s="1436" t="s">
        <v>1340</v>
      </c>
      <c r="C24" s="1437"/>
      <c r="D24" s="1398"/>
      <c r="E24" s="1438"/>
      <c r="F24" s="1300" t="s">
        <v>940</v>
      </c>
      <c r="G24" s="1438" t="s">
        <v>2130</v>
      </c>
      <c r="H24" s="1300" t="s">
        <v>1338</v>
      </c>
      <c r="I24" s="1300"/>
    </row>
    <row r="25" spans="2:9" s="317" customFormat="1" ht="8.4499999999999993" customHeight="1" x14ac:dyDescent="0.2">
      <c r="B25" s="1368"/>
      <c r="C25" s="1282"/>
      <c r="E25" s="1383"/>
      <c r="F25" s="1300"/>
      <c r="G25" s="322"/>
      <c r="H25" s="1300"/>
      <c r="I25" s="1300"/>
    </row>
    <row r="26" spans="2:9" s="317" customFormat="1" ht="13.5" customHeight="1" x14ac:dyDescent="0.2">
      <c r="B26" s="1436" t="s">
        <v>1339</v>
      </c>
      <c r="C26" s="1437"/>
      <c r="D26" s="1398"/>
      <c r="E26" s="1439"/>
      <c r="F26" s="1257"/>
      <c r="G26" s="1439"/>
      <c r="H26" s="1300"/>
      <c r="I26" s="1300"/>
    </row>
    <row r="27" spans="2:9" s="317" customFormat="1" ht="12.75" customHeight="1" x14ac:dyDescent="0.2">
      <c r="B27" s="1436" t="s">
        <v>1518</v>
      </c>
      <c r="C27" s="1437"/>
      <c r="D27" s="1398"/>
      <c r="E27" s="1438"/>
      <c r="F27" s="1300" t="s">
        <v>940</v>
      </c>
      <c r="G27" s="1438" t="s">
        <v>2130</v>
      </c>
      <c r="H27" s="1300" t="s">
        <v>1338</v>
      </c>
      <c r="I27" s="1300"/>
    </row>
    <row r="28" spans="2:9" s="317" customFormat="1" ht="12.75" customHeight="1" x14ac:dyDescent="0.2">
      <c r="B28" s="1368"/>
      <c r="C28" s="1282"/>
      <c r="E28" s="1258"/>
    </row>
    <row r="29" spans="2:9" s="317" customFormat="1" ht="12.75" customHeight="1" x14ac:dyDescent="0.2">
      <c r="B29" s="1368" t="s">
        <v>1337</v>
      </c>
      <c r="C29" s="1282"/>
      <c r="D29" s="2486" t="s">
        <v>2183</v>
      </c>
      <c r="E29" s="2486"/>
      <c r="F29" s="2486"/>
      <c r="G29" s="2486"/>
      <c r="H29" s="2486"/>
      <c r="I29" s="2486"/>
    </row>
    <row r="30" spans="2:9" s="317" customFormat="1" x14ac:dyDescent="0.2">
      <c r="B30" s="1368"/>
      <c r="C30" s="322"/>
      <c r="D30" s="1433" t="s">
        <v>1849</v>
      </c>
      <c r="E30" s="1434"/>
      <c r="F30" s="1434"/>
      <c r="G30" s="1434"/>
      <c r="H30" s="1434"/>
      <c r="I30" s="1434"/>
    </row>
    <row r="31" spans="2:9" s="317" customFormat="1" ht="9.9499999999999993" customHeight="1" x14ac:dyDescent="0.2">
      <c r="B31" s="1368"/>
      <c r="E31" s="1258"/>
    </row>
    <row r="32" spans="2:9" s="317" customFormat="1" x14ac:dyDescent="0.2">
      <c r="B32" s="1368" t="s">
        <v>1336</v>
      </c>
      <c r="C32" s="1282"/>
      <c r="E32" s="1258"/>
    </row>
    <row r="33" spans="2:9" ht="13.5" customHeight="1" x14ac:dyDescent="0.2">
      <c r="B33" s="1368" t="s">
        <v>1633</v>
      </c>
      <c r="C33" s="1282"/>
      <c r="E33" s="1438"/>
      <c r="F33" s="1300" t="s">
        <v>940</v>
      </c>
      <c r="G33" s="1438" t="s">
        <v>2130</v>
      </c>
      <c r="H33" s="1300" t="s">
        <v>101</v>
      </c>
    </row>
    <row r="35" spans="2:9" x14ac:dyDescent="0.2">
      <c r="B35" s="1441" t="s">
        <v>1850</v>
      </c>
      <c r="C35" s="1442"/>
      <c r="D35" s="1267"/>
    </row>
    <row r="36" spans="2:9" ht="6" customHeight="1" x14ac:dyDescent="0.2">
      <c r="B36" s="1441"/>
      <c r="C36" s="1442"/>
      <c r="D36" s="1267"/>
    </row>
    <row r="37" spans="2:9" ht="17.25" customHeight="1" x14ac:dyDescent="0.2">
      <c r="B37" s="1443" t="s">
        <v>1851</v>
      </c>
      <c r="C37" s="2487" t="s">
        <v>1852</v>
      </c>
      <c r="D37" s="2488"/>
      <c r="E37" s="2488"/>
      <c r="F37" s="2489"/>
      <c r="G37" s="2487" t="s">
        <v>1674</v>
      </c>
      <c r="H37" s="2488"/>
      <c r="I37" s="2489"/>
    </row>
    <row r="38" spans="2:9" ht="16.5" customHeight="1" x14ac:dyDescent="0.2">
      <c r="B38" s="1444" t="s">
        <v>2148</v>
      </c>
      <c r="C38" s="2475" t="s">
        <v>2184</v>
      </c>
      <c r="D38" s="2476"/>
      <c r="E38" s="2476"/>
      <c r="F38" s="2477"/>
      <c r="G38" s="2490">
        <v>1088814</v>
      </c>
      <c r="H38" s="2491"/>
      <c r="I38" s="2492"/>
    </row>
    <row r="39" spans="2:9" ht="16.5" customHeight="1" x14ac:dyDescent="0.2">
      <c r="B39" s="1444">
        <v>10.555</v>
      </c>
      <c r="C39" s="2475" t="s">
        <v>2185</v>
      </c>
      <c r="D39" s="2476"/>
      <c r="E39" s="2476"/>
      <c r="F39" s="2477"/>
      <c r="G39" s="2478">
        <v>726749</v>
      </c>
      <c r="H39" s="2478"/>
      <c r="I39" s="2478"/>
    </row>
    <row r="40" spans="2:9" ht="16.5" customHeight="1" x14ac:dyDescent="0.2">
      <c r="B40" s="1444" t="s">
        <v>2156</v>
      </c>
      <c r="C40" s="2475" t="s">
        <v>2186</v>
      </c>
      <c r="D40" s="2476"/>
      <c r="E40" s="2476"/>
      <c r="F40" s="2477"/>
      <c r="G40" s="2478">
        <v>666034</v>
      </c>
      <c r="H40" s="2478"/>
      <c r="I40" s="2478"/>
    </row>
    <row r="41" spans="2:9" ht="16.5" customHeight="1" x14ac:dyDescent="0.2">
      <c r="B41" s="1444"/>
      <c r="C41" s="2475"/>
      <c r="D41" s="2476"/>
      <c r="E41" s="2476"/>
      <c r="F41" s="2477"/>
      <c r="G41" s="2478"/>
      <c r="H41" s="2478"/>
      <c r="I41" s="2478"/>
    </row>
    <row r="42" spans="2:9" ht="16.5" customHeight="1" x14ac:dyDescent="0.2">
      <c r="B42" s="1444"/>
      <c r="C42" s="2475"/>
      <c r="D42" s="2476"/>
      <c r="E42" s="2476"/>
      <c r="F42" s="2477"/>
      <c r="G42" s="2478"/>
      <c r="H42" s="2478"/>
      <c r="I42" s="2478"/>
    </row>
    <row r="43" spans="2:9" ht="16.5" customHeight="1" x14ac:dyDescent="0.2">
      <c r="B43" s="1444"/>
      <c r="C43" s="2468" t="s">
        <v>1675</v>
      </c>
      <c r="D43" s="2469"/>
      <c r="E43" s="2469"/>
      <c r="F43" s="2470"/>
      <c r="G43" s="2471">
        <f>SUM(G38:I42)</f>
        <v>2481597</v>
      </c>
      <c r="H43" s="2471"/>
      <c r="I43" s="2471"/>
    </row>
    <row r="44" spans="2:9" ht="12.75" customHeight="1" x14ac:dyDescent="0.2"/>
    <row r="45" spans="2:9" ht="12.75" customHeight="1" x14ac:dyDescent="0.2">
      <c r="B45" s="1435" t="s">
        <v>1949</v>
      </c>
      <c r="D45" s="2472">
        <v>2987044</v>
      </c>
      <c r="E45" s="2473"/>
    </row>
    <row r="46" spans="2:9" ht="5.25" customHeight="1" x14ac:dyDescent="0.2">
      <c r="B46" s="1445"/>
      <c r="D46" s="1446"/>
      <c r="E46" s="1447"/>
    </row>
    <row r="47" spans="2:9" ht="12.75" customHeight="1" x14ac:dyDescent="0.2">
      <c r="B47" s="1300" t="s">
        <v>1676</v>
      </c>
      <c r="C47" s="1300"/>
      <c r="D47" s="1448">
        <f>+G43/D45</f>
        <v>0.83078689165609876</v>
      </c>
      <c r="E47" s="1449"/>
      <c r="F47" s="1450"/>
      <c r="I47" s="1451"/>
    </row>
    <row r="48" spans="2:9" ht="9.9499999999999993" customHeight="1" x14ac:dyDescent="0.2"/>
    <row r="49" spans="1:9" x14ac:dyDescent="0.2">
      <c r="B49" s="1368" t="s">
        <v>1335</v>
      </c>
      <c r="C49" s="1282"/>
      <c r="D49" s="1282"/>
      <c r="E49" s="2474">
        <v>750000</v>
      </c>
      <c r="F49" s="2474"/>
      <c r="G49" s="2474"/>
      <c r="H49" s="322"/>
    </row>
    <row r="51" spans="1:9" ht="13.5" customHeight="1" x14ac:dyDescent="0.2">
      <c r="B51" s="1368" t="s">
        <v>1334</v>
      </c>
      <c r="C51" s="1282"/>
      <c r="E51" s="1438"/>
      <c r="F51" s="1300" t="s">
        <v>940</v>
      </c>
      <c r="G51" s="1438" t="s">
        <v>2130</v>
      </c>
      <c r="H51" s="1300" t="s">
        <v>101</v>
      </c>
    </row>
    <row r="52" spans="1:9" x14ac:dyDescent="0.2">
      <c r="B52" s="1360"/>
      <c r="C52" s="1297"/>
      <c r="D52" s="1452"/>
      <c r="E52" s="1453"/>
      <c r="F52" s="1454"/>
      <c r="G52" s="1454"/>
      <c r="H52" s="1454"/>
      <c r="I52" s="1454"/>
    </row>
    <row r="53" spans="1:9" ht="6" customHeight="1" x14ac:dyDescent="0.2">
      <c r="B53" s="1429"/>
      <c r="C53" s="322"/>
      <c r="D53" s="1455"/>
      <c r="E53" s="1456"/>
      <c r="F53" s="1457"/>
      <c r="G53" s="1457"/>
      <c r="H53" s="1457"/>
      <c r="I53" s="1457"/>
    </row>
    <row r="54" spans="1:9" s="1461" customFormat="1" ht="14.25" x14ac:dyDescent="0.2">
      <c r="A54" s="1458"/>
      <c r="B54" s="1459" t="s">
        <v>1853</v>
      </c>
      <c r="C54" s="1460"/>
      <c r="D54" s="1460"/>
    </row>
    <row r="55" spans="1:9" s="1461" customFormat="1" ht="12.75" customHeight="1" x14ac:dyDescent="0.2">
      <c r="A55" s="1458"/>
      <c r="B55" s="1462" t="s">
        <v>1677</v>
      </c>
      <c r="C55" s="1458"/>
      <c r="D55" s="1458"/>
    </row>
    <row r="56" spans="1:9" s="1461" customFormat="1" ht="12.75" customHeight="1" x14ac:dyDescent="0.2">
      <c r="A56" s="1458"/>
      <c r="B56" s="1462" t="s">
        <v>1678</v>
      </c>
      <c r="C56" s="1458"/>
      <c r="D56" s="1458"/>
    </row>
    <row r="57" spans="1:9" s="1461" customFormat="1" ht="3.95" customHeight="1" x14ac:dyDescent="0.2">
      <c r="A57" s="1458"/>
      <c r="B57" s="1462"/>
      <c r="C57" s="1458"/>
      <c r="D57" s="1458"/>
    </row>
    <row r="58" spans="1:9" s="1461" customFormat="1" ht="13.5" customHeight="1" x14ac:dyDescent="0.2">
      <c r="A58" s="1458"/>
      <c r="B58" s="1463" t="s">
        <v>1854</v>
      </c>
      <c r="C58" s="1464"/>
      <c r="D58" s="1464"/>
    </row>
    <row r="59" spans="1:9" s="1461" customFormat="1" ht="3.95" customHeight="1" x14ac:dyDescent="0.2">
      <c r="A59" s="1458"/>
      <c r="B59" s="1463"/>
      <c r="C59" s="1464"/>
      <c r="D59" s="1464"/>
    </row>
    <row r="60" spans="1:9" s="1461" customFormat="1" ht="13.5" customHeight="1" x14ac:dyDescent="0.2">
      <c r="A60" s="1458"/>
      <c r="B60" s="1463" t="s">
        <v>1855</v>
      </c>
      <c r="C60" s="1464"/>
      <c r="D60" s="1464"/>
    </row>
    <row r="61" spans="1:9" s="1461" customFormat="1" ht="3.95" customHeight="1" x14ac:dyDescent="0.2">
      <c r="A61" s="1458"/>
      <c r="B61" s="1463"/>
      <c r="C61" s="1464"/>
      <c r="D61" s="1464"/>
    </row>
    <row r="62" spans="1:9" s="1461" customFormat="1" ht="12.75" customHeight="1" x14ac:dyDescent="0.2">
      <c r="A62" s="1458"/>
      <c r="B62" s="1463" t="s">
        <v>1856</v>
      </c>
      <c r="C62" s="1464"/>
      <c r="D62" s="1464"/>
    </row>
    <row r="63" spans="1:9" s="1461" customFormat="1" ht="13.5" customHeight="1" x14ac:dyDescent="0.2">
      <c r="A63" s="1458"/>
      <c r="B63" s="1462" t="s">
        <v>1679</v>
      </c>
      <c r="C63" s="1458"/>
      <c r="D63" s="1458"/>
    </row>
  </sheetData>
  <sheetProtection sheet="1" objects="1" scenarios="1"/>
  <mergeCells count="23">
    <mergeCell ref="C39:F39"/>
    <mergeCell ref="G39:I39"/>
    <mergeCell ref="B1:I1"/>
    <mergeCell ref="B2:I2"/>
    <mergeCell ref="B3:I3"/>
    <mergeCell ref="B4:I4"/>
    <mergeCell ref="B7:I7"/>
    <mergeCell ref="C11:D11"/>
    <mergeCell ref="D29:I29"/>
    <mergeCell ref="C37:F37"/>
    <mergeCell ref="G37:I37"/>
    <mergeCell ref="C38:F38"/>
    <mergeCell ref="G38:I38"/>
    <mergeCell ref="C43:F43"/>
    <mergeCell ref="G43:I43"/>
    <mergeCell ref="D45:E45"/>
    <mergeCell ref="E49:G49"/>
    <mergeCell ref="C40:F40"/>
    <mergeCell ref="G40:I40"/>
    <mergeCell ref="C41:F41"/>
    <mergeCell ref="G41:I41"/>
    <mergeCell ref="C42:F42"/>
    <mergeCell ref="G42:I42"/>
  </mergeCells>
  <pageMargins left="0.25" right="0.27" top="0.46" bottom="0.49" header="0.26" footer="0.28999999999999998"/>
  <pageSetup firstPageNumber="40" orientation="portrait" useFirstPageNumber="1" r:id="rId1"/>
  <headerFooter alignWithMargins="0">
    <oddHeader>&amp;L&amp;8Page 42&amp;R&amp;8Page 42</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110" zoomScaleNormal="110" workbookViewId="0">
      <selection activeCell="B14" sqref="B14:K14"/>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8" customWidth="1"/>
    <col min="8" max="8" width="10.5703125" style="317" customWidth="1"/>
    <col min="9" max="9" width="3.42578125" style="1258"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79" t="str">
        <f>'Single Audit Cover'!A7</f>
        <v>RANTOUL CITY SCHOOLS</v>
      </c>
      <c r="C1" s="2479"/>
      <c r="D1" s="2479"/>
      <c r="E1" s="2479"/>
      <c r="F1" s="2479"/>
      <c r="G1" s="2479"/>
      <c r="H1" s="2479"/>
      <c r="I1" s="2479"/>
      <c r="J1" s="2479"/>
      <c r="K1" s="2479"/>
      <c r="L1" s="1374"/>
      <c r="M1" s="1374"/>
    </row>
    <row r="2" spans="1:13" ht="12" customHeight="1" x14ac:dyDescent="0.2">
      <c r="B2" s="2481" t="str">
        <f>'Single Audit Cover'!E7</f>
        <v>09-010-1370-02</v>
      </c>
      <c r="C2" s="2481"/>
      <c r="D2" s="2481"/>
      <c r="E2" s="2481"/>
      <c r="F2" s="2481"/>
      <c r="G2" s="2481"/>
      <c r="H2" s="2481"/>
      <c r="I2" s="2481"/>
      <c r="J2" s="2481"/>
      <c r="K2" s="2481"/>
      <c r="L2" s="1375"/>
      <c r="M2" s="1376"/>
    </row>
    <row r="3" spans="1:13" ht="10.35" customHeight="1" x14ac:dyDescent="0.2">
      <c r="B3" s="2495" t="s">
        <v>1347</v>
      </c>
      <c r="C3" s="2495"/>
      <c r="D3" s="2495"/>
      <c r="E3" s="2495"/>
      <c r="F3" s="2495"/>
      <c r="G3" s="2495"/>
      <c r="H3" s="2495"/>
      <c r="I3" s="2495"/>
      <c r="J3" s="2495"/>
      <c r="K3" s="2495"/>
      <c r="L3" s="1377"/>
      <c r="M3" s="1377"/>
    </row>
    <row r="4" spans="1:13" ht="14.25" customHeight="1" x14ac:dyDescent="0.2">
      <c r="B4" s="2496" t="str">
        <f>'Single Audit Cover'!A4</f>
        <v>Year Ending June 30, 2018</v>
      </c>
      <c r="C4" s="2496"/>
      <c r="D4" s="2496"/>
      <c r="E4" s="2496"/>
      <c r="F4" s="2496"/>
      <c r="G4" s="2496"/>
      <c r="H4" s="2496"/>
      <c r="I4" s="2496"/>
      <c r="J4" s="2496"/>
      <c r="K4" s="2496"/>
      <c r="L4" s="313"/>
      <c r="M4" s="313"/>
    </row>
    <row r="5" spans="1:13" ht="7.5" customHeight="1" x14ac:dyDescent="0.2">
      <c r="B5" s="1260" t="s">
        <v>1231</v>
      </c>
      <c r="C5" s="1260"/>
    </row>
    <row r="6" spans="1:13" ht="7.5" customHeight="1" x14ac:dyDescent="0.2">
      <c r="B6" s="1378"/>
      <c r="C6" s="1378"/>
      <c r="D6" s="1379"/>
      <c r="E6" s="1379"/>
      <c r="F6" s="1379"/>
      <c r="G6" s="1380"/>
      <c r="H6" s="1379"/>
      <c r="I6" s="1380"/>
      <c r="J6" s="1379"/>
      <c r="K6" s="1379"/>
      <c r="L6" s="1381"/>
    </row>
    <row r="7" spans="1:13" ht="12.75" customHeight="1" x14ac:dyDescent="0.2">
      <c r="A7" s="1282"/>
      <c r="B7" s="2496" t="s">
        <v>1363</v>
      </c>
      <c r="C7" s="2496"/>
      <c r="D7" s="2497"/>
      <c r="E7" s="2497"/>
      <c r="F7" s="2497"/>
      <c r="G7" s="2497"/>
      <c r="H7" s="2497"/>
      <c r="I7" s="2497"/>
      <c r="J7" s="2497"/>
      <c r="K7" s="2497"/>
      <c r="L7" s="1382"/>
    </row>
    <row r="8" spans="1:13" ht="7.5" customHeight="1" x14ac:dyDescent="0.2">
      <c r="B8" s="322"/>
      <c r="C8" s="322"/>
      <c r="D8" s="322"/>
      <c r="E8" s="322"/>
      <c r="F8" s="322"/>
      <c r="G8" s="1383"/>
      <c r="H8" s="322"/>
      <c r="I8" s="1383"/>
      <c r="J8" s="322"/>
      <c r="K8" s="322"/>
      <c r="L8" s="1381"/>
    </row>
    <row r="9" spans="1:13" ht="9.6" customHeight="1" x14ac:dyDescent="0.2">
      <c r="B9" s="1379"/>
      <c r="C9" s="1379"/>
      <c r="D9" s="1379"/>
      <c r="E9" s="1379"/>
      <c r="F9" s="1379"/>
      <c r="G9" s="1380"/>
      <c r="H9" s="1379"/>
      <c r="I9" s="1380"/>
      <c r="J9" s="1379"/>
      <c r="K9" s="1379"/>
      <c r="L9" s="1381"/>
    </row>
    <row r="10" spans="1:13" ht="16.5" customHeight="1" x14ac:dyDescent="0.2">
      <c r="B10" s="1384" t="s">
        <v>1843</v>
      </c>
      <c r="C10" s="1385" t="s">
        <v>1950</v>
      </c>
      <c r="D10" s="1386"/>
      <c r="E10" s="322"/>
      <c r="F10" s="1387" t="s">
        <v>1362</v>
      </c>
      <c r="G10" s="1388"/>
      <c r="H10" s="1389" t="s">
        <v>1361</v>
      </c>
      <c r="I10" s="1388"/>
      <c r="J10" s="1390" t="s">
        <v>1360</v>
      </c>
      <c r="K10" s="322"/>
      <c r="L10" s="1381"/>
    </row>
    <row r="11" spans="1:13" ht="13.5" customHeight="1" x14ac:dyDescent="0.2">
      <c r="B11" s="322"/>
      <c r="C11" s="322"/>
      <c r="D11" s="322"/>
      <c r="E11" s="322"/>
      <c r="F11" s="322"/>
      <c r="G11" s="1383"/>
      <c r="H11" s="322"/>
      <c r="I11" s="1391" t="s">
        <v>1359</v>
      </c>
      <c r="J11" s="322"/>
      <c r="K11" s="1392"/>
      <c r="L11" s="1381"/>
    </row>
    <row r="12" spans="1:13" ht="13.5" customHeight="1" x14ac:dyDescent="0.2">
      <c r="B12" s="1294"/>
      <c r="C12" s="1294"/>
      <c r="D12" s="322"/>
      <c r="E12" s="322"/>
      <c r="F12" s="322"/>
      <c r="G12" s="1383"/>
      <c r="H12" s="322"/>
      <c r="I12" s="1383"/>
      <c r="J12" s="322"/>
      <c r="L12" s="1381"/>
    </row>
    <row r="13" spans="1:13" s="1282" customFormat="1" ht="13.5" customHeight="1" x14ac:dyDescent="0.2">
      <c r="B13" s="1393" t="s">
        <v>1358</v>
      </c>
      <c r="C13" s="1393"/>
      <c r="D13" s="1394"/>
      <c r="E13" s="1394"/>
      <c r="F13" s="1394"/>
      <c r="G13" s="1395"/>
      <c r="H13" s="1394"/>
      <c r="I13" s="1395"/>
      <c r="J13" s="1394"/>
      <c r="K13" s="1394"/>
      <c r="L13" s="1396"/>
    </row>
    <row r="14" spans="1:13" ht="45.75" customHeight="1" x14ac:dyDescent="0.2">
      <c r="B14" s="2494" t="s">
        <v>2132</v>
      </c>
      <c r="C14" s="2494"/>
      <c r="D14" s="2494"/>
      <c r="E14" s="2494"/>
      <c r="F14" s="2494"/>
      <c r="G14" s="2494"/>
      <c r="H14" s="2494"/>
      <c r="I14" s="2494"/>
      <c r="J14" s="2494"/>
      <c r="K14" s="2494"/>
      <c r="L14" s="1397"/>
    </row>
    <row r="15" spans="1:13" ht="4.5" customHeight="1" x14ac:dyDescent="0.2">
      <c r="B15" s="1398"/>
      <c r="C15" s="1398"/>
      <c r="D15" s="1399"/>
      <c r="E15" s="1399"/>
      <c r="F15" s="1399"/>
      <c r="H15" s="1399"/>
      <c r="J15" s="1399"/>
      <c r="K15" s="1399"/>
      <c r="L15" s="1397"/>
    </row>
    <row r="16" spans="1:13" s="1282" customFormat="1" ht="13.5" customHeight="1" x14ac:dyDescent="0.2">
      <c r="B16" s="1393" t="s">
        <v>1357</v>
      </c>
      <c r="C16" s="1393"/>
      <c r="D16" s="1394"/>
      <c r="E16" s="1394"/>
      <c r="F16" s="1394"/>
      <c r="G16" s="1395"/>
      <c r="H16" s="1394"/>
      <c r="I16" s="1395"/>
      <c r="J16" s="1394"/>
      <c r="K16" s="1394"/>
      <c r="L16" s="1396"/>
    </row>
    <row r="17" spans="2:12" ht="45.75" customHeight="1" x14ac:dyDescent="0.2">
      <c r="B17" s="2494"/>
      <c r="C17" s="2494"/>
      <c r="D17" s="2494"/>
      <c r="E17" s="2494"/>
      <c r="F17" s="2494"/>
      <c r="G17" s="2494"/>
      <c r="H17" s="2494"/>
      <c r="I17" s="2494"/>
      <c r="J17" s="2494"/>
      <c r="K17" s="2494"/>
      <c r="L17" s="1381"/>
    </row>
    <row r="18" spans="2:12" ht="4.5" customHeight="1" x14ac:dyDescent="0.2">
      <c r="B18" s="1398"/>
      <c r="C18" s="1398"/>
      <c r="L18" s="1381"/>
    </row>
    <row r="19" spans="2:12" s="1282" customFormat="1" ht="13.5" customHeight="1" x14ac:dyDescent="0.2">
      <c r="B19" s="1393" t="s">
        <v>1844</v>
      </c>
      <c r="C19" s="1393"/>
      <c r="D19" s="1394"/>
      <c r="E19" s="1394"/>
      <c r="F19" s="1394"/>
      <c r="G19" s="1395"/>
      <c r="H19" s="1394"/>
      <c r="I19" s="1395"/>
      <c r="J19" s="1394"/>
      <c r="K19" s="1394"/>
      <c r="L19" s="1396"/>
    </row>
    <row r="20" spans="2:12" ht="45.75" customHeight="1" x14ac:dyDescent="0.2">
      <c r="B20" s="2498"/>
      <c r="C20" s="2498"/>
      <c r="D20" s="2494"/>
      <c r="E20" s="2494"/>
      <c r="F20" s="2494"/>
      <c r="G20" s="2494"/>
      <c r="H20" s="2494"/>
      <c r="I20" s="2494"/>
      <c r="J20" s="2494"/>
      <c r="K20" s="2494"/>
      <c r="L20" s="1381"/>
    </row>
    <row r="21" spans="2:12" ht="4.5" customHeight="1" x14ac:dyDescent="0.2">
      <c r="B21" s="1400"/>
      <c r="C21" s="1400"/>
      <c r="L21" s="1381"/>
    </row>
    <row r="22" spans="2:12" ht="13.5" customHeight="1" x14ac:dyDescent="0.2">
      <c r="B22" s="1393" t="s">
        <v>1356</v>
      </c>
      <c r="C22" s="1393"/>
      <c r="D22" s="1379"/>
      <c r="E22" s="1379"/>
      <c r="F22" s="1379"/>
      <c r="G22" s="1380"/>
      <c r="H22" s="1379"/>
      <c r="I22" s="1380"/>
      <c r="J22" s="1379"/>
      <c r="K22" s="1379"/>
      <c r="L22" s="1381"/>
    </row>
    <row r="23" spans="2:12" ht="45" customHeight="1" x14ac:dyDescent="0.2">
      <c r="B23" s="2494"/>
      <c r="C23" s="2494"/>
      <c r="D23" s="2494"/>
      <c r="E23" s="2494"/>
      <c r="F23" s="2494"/>
      <c r="G23" s="2494"/>
      <c r="H23" s="2494"/>
      <c r="I23" s="2494"/>
      <c r="J23" s="2494"/>
      <c r="K23" s="2494"/>
      <c r="L23" s="1381"/>
    </row>
    <row r="24" spans="2:12" ht="4.5" customHeight="1" x14ac:dyDescent="0.2">
      <c r="B24" s="1398"/>
      <c r="C24" s="1398"/>
      <c r="L24" s="1381"/>
    </row>
    <row r="25" spans="2:12" ht="13.5" customHeight="1" x14ac:dyDescent="0.2">
      <c r="B25" s="1393" t="s">
        <v>1355</v>
      </c>
      <c r="C25" s="1393"/>
      <c r="D25" s="1379"/>
      <c r="E25" s="1379"/>
      <c r="F25" s="1379"/>
      <c r="G25" s="1380"/>
      <c r="H25" s="1379"/>
      <c r="I25" s="1380"/>
      <c r="J25" s="1379"/>
      <c r="K25" s="1379"/>
      <c r="L25" s="1381"/>
    </row>
    <row r="26" spans="2:12" ht="45.75" customHeight="1" x14ac:dyDescent="0.2">
      <c r="B26" s="2494"/>
      <c r="C26" s="2494"/>
      <c r="D26" s="2494"/>
      <c r="E26" s="2494"/>
      <c r="F26" s="2494"/>
      <c r="G26" s="2494"/>
      <c r="H26" s="2494"/>
      <c r="I26" s="2494"/>
      <c r="J26" s="2494"/>
      <c r="K26" s="2494"/>
      <c r="L26" s="1381"/>
    </row>
    <row r="27" spans="2:12" ht="4.5" customHeight="1" x14ac:dyDescent="0.2">
      <c r="B27" s="1398"/>
      <c r="C27" s="1398"/>
      <c r="L27" s="1381"/>
    </row>
    <row r="28" spans="2:12" ht="13.5" customHeight="1" x14ac:dyDescent="0.2">
      <c r="B28" s="1401" t="s">
        <v>1354</v>
      </c>
      <c r="C28" s="1401"/>
      <c r="D28" s="1379"/>
      <c r="E28" s="1379"/>
      <c r="F28" s="1379"/>
      <c r="G28" s="1380"/>
      <c r="H28" s="1379"/>
      <c r="I28" s="1380"/>
      <c r="J28" s="1379"/>
      <c r="K28" s="1379"/>
      <c r="L28" s="1381"/>
    </row>
    <row r="29" spans="2:12" ht="45.75" customHeight="1" x14ac:dyDescent="0.2">
      <c r="B29" s="2493"/>
      <c r="C29" s="2493"/>
      <c r="D29" s="2494"/>
      <c r="E29" s="2494"/>
      <c r="F29" s="2494"/>
      <c r="G29" s="2494"/>
      <c r="H29" s="2494"/>
      <c r="I29" s="2494"/>
      <c r="J29" s="2494"/>
      <c r="K29" s="2494"/>
      <c r="L29" s="1381"/>
    </row>
    <row r="30" spans="2:12" ht="4.5" customHeight="1" x14ac:dyDescent="0.2">
      <c r="B30" s="1402"/>
      <c r="C30" s="1402"/>
      <c r="D30" s="322"/>
      <c r="E30" s="322"/>
      <c r="F30" s="322"/>
      <c r="G30" s="1383"/>
      <c r="H30" s="322"/>
      <c r="I30" s="1383"/>
      <c r="J30" s="322"/>
      <c r="K30" s="322"/>
      <c r="L30" s="1381"/>
    </row>
    <row r="31" spans="2:12" s="322" customFormat="1" ht="13.5" customHeight="1" x14ac:dyDescent="0.2">
      <c r="B31" s="1403" t="s">
        <v>1845</v>
      </c>
      <c r="C31" s="1403"/>
      <c r="D31" s="1378"/>
      <c r="E31" s="1379"/>
      <c r="F31" s="1379"/>
      <c r="G31" s="1380"/>
      <c r="H31" s="1379"/>
      <c r="I31" s="1380"/>
      <c r="J31" s="1379"/>
      <c r="K31" s="1379"/>
      <c r="L31" s="1381"/>
    </row>
    <row r="32" spans="2:12" s="322" customFormat="1" ht="44.25" customHeight="1" x14ac:dyDescent="0.2">
      <c r="B32" s="2493"/>
      <c r="C32" s="2493"/>
      <c r="D32" s="2494"/>
      <c r="E32" s="2494"/>
      <c r="F32" s="2494"/>
      <c r="G32" s="2494"/>
      <c r="H32" s="2494"/>
      <c r="I32" s="2494"/>
      <c r="J32" s="2494"/>
      <c r="K32" s="2494"/>
      <c r="L32" s="1381"/>
    </row>
    <row r="33" spans="1:13" s="322" customFormat="1" ht="4.5" customHeight="1" x14ac:dyDescent="0.2">
      <c r="B33" s="1402"/>
      <c r="C33" s="1402"/>
      <c r="G33" s="1383"/>
      <c r="I33" s="1383"/>
      <c r="L33" s="1381"/>
    </row>
    <row r="34" spans="1:13" s="322" customFormat="1" x14ac:dyDescent="0.2">
      <c r="A34" s="1297"/>
      <c r="B34" s="1417"/>
      <c r="C34" s="1417"/>
      <c r="D34" s="1417"/>
      <c r="E34" s="1417"/>
      <c r="F34" s="1417"/>
      <c r="G34" s="1418"/>
      <c r="H34" s="1417"/>
      <c r="I34" s="1418"/>
      <c r="J34" s="1417"/>
      <c r="K34" s="1417"/>
      <c r="L34" s="1381"/>
    </row>
    <row r="35" spans="1:13" ht="11.85" customHeight="1" x14ac:dyDescent="0.2">
      <c r="B35" s="1419" t="s">
        <v>1846</v>
      </c>
      <c r="C35" s="1419"/>
      <c r="D35" s="322"/>
      <c r="E35" s="322"/>
      <c r="F35" s="322"/>
      <c r="L35" s="1381"/>
    </row>
    <row r="36" spans="1:13" ht="9.6" customHeight="1" x14ac:dyDescent="0.2">
      <c r="B36" s="1300" t="s">
        <v>1951</v>
      </c>
      <c r="C36" s="1300"/>
      <c r="L36" s="1381"/>
    </row>
    <row r="37" spans="1:13" ht="9.6" customHeight="1" x14ac:dyDescent="0.2">
      <c r="B37" s="1300" t="s">
        <v>1952</v>
      </c>
      <c r="C37" s="1300"/>
    </row>
    <row r="38" spans="1:13" ht="11.85" customHeight="1" x14ac:dyDescent="0.2">
      <c r="B38" s="1420" t="s">
        <v>1847</v>
      </c>
      <c r="C38" s="1420"/>
    </row>
    <row r="39" spans="1:13" ht="9.6" customHeight="1" x14ac:dyDescent="0.2">
      <c r="B39" s="1300" t="s">
        <v>1348</v>
      </c>
      <c r="C39" s="1300"/>
      <c r="M39" s="1421"/>
    </row>
    <row r="40" spans="1:13" ht="12.6" customHeight="1" x14ac:dyDescent="0.2">
      <c r="B40" s="1420" t="s">
        <v>1848</v>
      </c>
      <c r="C40" s="1420"/>
      <c r="M40" s="1421"/>
    </row>
    <row r="41" spans="1:13" ht="9.6" customHeight="1" x14ac:dyDescent="0.2">
      <c r="B41" s="1300"/>
      <c r="C41" s="1300"/>
      <c r="M41" s="1421"/>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showGridLines="0" zoomScale="110" zoomScaleNormal="110" workbookViewId="0">
      <selection activeCell="B20" sqref="B20:K20"/>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8" customWidth="1"/>
    <col min="8" max="8" width="10.5703125" style="317" customWidth="1"/>
    <col min="9" max="9" width="3.42578125" style="1258"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502" t="str">
        <f>'Single Audit Cover'!A7</f>
        <v>RANTOUL CITY SCHOOLS</v>
      </c>
      <c r="C1" s="2502"/>
      <c r="D1" s="2502"/>
      <c r="E1" s="2502"/>
      <c r="F1" s="2502"/>
      <c r="G1" s="2502"/>
      <c r="H1" s="2502"/>
      <c r="I1" s="2502"/>
      <c r="J1" s="2502"/>
      <c r="K1" s="2502"/>
      <c r="L1" s="1465"/>
    </row>
    <row r="2" spans="1:12" ht="12.75" customHeight="1" x14ac:dyDescent="0.2">
      <c r="B2" s="2503" t="str">
        <f>'Single Audit Cover'!E7</f>
        <v>09-010-1370-02</v>
      </c>
      <c r="C2" s="2503"/>
      <c r="D2" s="2503"/>
      <c r="E2" s="2503"/>
      <c r="F2" s="2503"/>
      <c r="G2" s="2503"/>
      <c r="H2" s="2503"/>
      <c r="I2" s="2503"/>
      <c r="J2" s="2503"/>
      <c r="K2" s="2503"/>
      <c r="L2" s="1466"/>
    </row>
    <row r="3" spans="1:12" ht="12.75" customHeight="1" x14ac:dyDescent="0.2">
      <c r="B3" s="2495" t="s">
        <v>1347</v>
      </c>
      <c r="C3" s="2495"/>
      <c r="D3" s="2495"/>
      <c r="E3" s="2495"/>
      <c r="F3" s="2495"/>
      <c r="G3" s="2495"/>
      <c r="H3" s="2495"/>
      <c r="I3" s="2495"/>
      <c r="J3" s="2495"/>
      <c r="K3" s="2495"/>
      <c r="L3" s="1377"/>
    </row>
    <row r="4" spans="1:12" ht="12.75" customHeight="1" x14ac:dyDescent="0.2">
      <c r="B4" s="2495" t="str">
        <f>'Single Audit Cover'!A4</f>
        <v>Year Ending June 30, 2018</v>
      </c>
      <c r="C4" s="2495"/>
      <c r="D4" s="2495"/>
      <c r="E4" s="2495"/>
      <c r="F4" s="2495"/>
      <c r="G4" s="2495"/>
      <c r="H4" s="2495"/>
      <c r="I4" s="2495"/>
      <c r="J4" s="2495"/>
      <c r="K4" s="2495"/>
      <c r="L4" s="1377"/>
    </row>
    <row r="5" spans="1:12" ht="5.25" customHeight="1" x14ac:dyDescent="0.2">
      <c r="B5" s="1260" t="s">
        <v>1231</v>
      </c>
      <c r="C5" s="1260"/>
      <c r="L5" s="322"/>
    </row>
    <row r="6" spans="1:12" ht="30.75" customHeight="1" x14ac:dyDescent="0.2">
      <c r="A6" s="322"/>
      <c r="B6" s="2504" t="s">
        <v>1375</v>
      </c>
      <c r="C6" s="2504"/>
      <c r="D6" s="2504"/>
      <c r="E6" s="2504"/>
      <c r="F6" s="2504"/>
      <c r="G6" s="2504"/>
      <c r="H6" s="2504"/>
      <c r="I6" s="2504"/>
      <c r="J6" s="2504"/>
      <c r="K6" s="2504"/>
      <c r="L6" s="322"/>
    </row>
    <row r="7" spans="1:12" ht="4.5" customHeight="1" x14ac:dyDescent="0.2">
      <c r="B7" s="1379"/>
      <c r="C7" s="1379"/>
      <c r="D7" s="1379"/>
      <c r="E7" s="1379"/>
      <c r="F7" s="1379"/>
      <c r="G7" s="1380"/>
      <c r="H7" s="1379"/>
      <c r="I7" s="1380"/>
      <c r="J7" s="1379"/>
      <c r="K7" s="1379"/>
      <c r="L7" s="322"/>
    </row>
    <row r="8" spans="1:12" ht="13.5" customHeight="1" x14ac:dyDescent="0.2">
      <c r="B8" s="1387" t="s">
        <v>1857</v>
      </c>
      <c r="C8" s="1467" t="s">
        <v>1950</v>
      </c>
      <c r="D8" s="1468"/>
      <c r="E8" s="322"/>
      <c r="F8" s="1384" t="s">
        <v>1362</v>
      </c>
      <c r="G8" s="1469"/>
      <c r="H8" s="1470" t="s">
        <v>1374</v>
      </c>
      <c r="I8" s="1469"/>
      <c r="J8" s="1471" t="s">
        <v>1373</v>
      </c>
      <c r="L8" s="322"/>
    </row>
    <row r="9" spans="1:12" ht="13.5" customHeight="1" x14ac:dyDescent="0.2">
      <c r="D9" s="322"/>
      <c r="E9" s="322"/>
      <c r="F9" s="322"/>
      <c r="G9" s="1383"/>
      <c r="H9" s="322"/>
      <c r="I9" s="1472" t="s">
        <v>1359</v>
      </c>
      <c r="J9" s="322"/>
      <c r="K9" s="1473"/>
      <c r="L9" s="322"/>
    </row>
    <row r="10" spans="1:12" ht="4.5" customHeight="1" x14ac:dyDescent="0.2">
      <c r="B10" s="1474"/>
      <c r="C10" s="1474"/>
      <c r="D10" s="1427"/>
      <c r="E10" s="1427"/>
      <c r="F10" s="1427"/>
      <c r="G10" s="1428"/>
      <c r="H10" s="1427"/>
      <c r="I10" s="1428"/>
      <c r="J10" s="1427"/>
      <c r="K10" s="1427"/>
      <c r="L10" s="322"/>
    </row>
    <row r="11" spans="1:12" ht="5.25" customHeight="1" x14ac:dyDescent="0.2">
      <c r="B11" s="322"/>
      <c r="C11" s="322"/>
      <c r="D11" s="304"/>
      <c r="E11" s="322"/>
      <c r="F11" s="322"/>
      <c r="G11" s="1383"/>
      <c r="H11" s="322"/>
      <c r="I11" s="1383"/>
      <c r="J11" s="322"/>
      <c r="K11" s="1432"/>
      <c r="L11" s="322"/>
    </row>
    <row r="12" spans="1:12" ht="13.5" customHeight="1" x14ac:dyDescent="0.2">
      <c r="B12" s="1384" t="s">
        <v>1372</v>
      </c>
      <c r="C12" s="1384"/>
      <c r="D12" s="304"/>
      <c r="E12" s="322"/>
      <c r="F12" s="2486"/>
      <c r="G12" s="2486"/>
      <c r="H12" s="2486"/>
      <c r="I12" s="2486"/>
      <c r="J12" s="2486"/>
      <c r="K12" s="2486"/>
      <c r="L12" s="322"/>
    </row>
    <row r="13" spans="1:12" ht="9.6" customHeight="1" x14ac:dyDescent="0.2">
      <c r="B13" s="1257"/>
      <c r="C13" s="1257"/>
      <c r="D13" s="304"/>
      <c r="E13" s="322"/>
      <c r="F13" s="322"/>
      <c r="G13" s="1383"/>
      <c r="H13" s="322"/>
      <c r="I13" s="1383"/>
      <c r="J13" s="322"/>
      <c r="K13" s="1432"/>
      <c r="L13" s="322"/>
    </row>
    <row r="14" spans="1:12" ht="13.5" customHeight="1" x14ac:dyDescent="0.2">
      <c r="B14" s="1387" t="s">
        <v>1371</v>
      </c>
      <c r="C14" s="1387"/>
      <c r="D14" s="2499"/>
      <c r="E14" s="2499"/>
      <c r="F14" s="2499"/>
      <c r="H14" s="1475" t="s">
        <v>1370</v>
      </c>
      <c r="I14" s="2500"/>
      <c r="J14" s="2500"/>
      <c r="K14" s="2500"/>
      <c r="L14" s="322"/>
    </row>
    <row r="15" spans="1:12" ht="9.4" customHeight="1" x14ac:dyDescent="0.2">
      <c r="B15" s="1387"/>
      <c r="C15" s="1387"/>
      <c r="D15" s="1373"/>
      <c r="E15" s="1260"/>
      <c r="F15" s="1260"/>
      <c r="G15" s="1286"/>
      <c r="H15" s="1260"/>
      <c r="I15" s="1476"/>
      <c r="J15" s="1294"/>
      <c r="K15" s="1291"/>
      <c r="L15" s="322"/>
    </row>
    <row r="16" spans="1:12" ht="13.5" customHeight="1" x14ac:dyDescent="0.2">
      <c r="B16" s="1387" t="s">
        <v>1369</v>
      </c>
      <c r="C16" s="1387"/>
      <c r="D16" s="2500"/>
      <c r="E16" s="2500"/>
      <c r="F16" s="2500"/>
      <c r="G16" s="2500"/>
      <c r="H16" s="2500"/>
      <c r="I16" s="2500"/>
      <c r="J16" s="2500"/>
      <c r="K16" s="2500"/>
      <c r="L16" s="322"/>
    </row>
    <row r="17" spans="2:12" ht="13.5" customHeight="1" x14ac:dyDescent="0.2">
      <c r="B17" s="1387" t="s">
        <v>1368</v>
      </c>
      <c r="C17" s="1387"/>
      <c r="D17" s="2501"/>
      <c r="E17" s="2501"/>
      <c r="F17" s="2501"/>
      <c r="G17" s="2501"/>
      <c r="H17" s="2501"/>
      <c r="I17" s="2501"/>
      <c r="J17" s="2501"/>
      <c r="K17" s="2501"/>
      <c r="L17" s="322"/>
    </row>
    <row r="18" spans="2:12" ht="9.4" customHeight="1" x14ac:dyDescent="0.2">
      <c r="B18" s="1427"/>
      <c r="C18" s="1427"/>
      <c r="D18" s="1427"/>
      <c r="E18" s="1427"/>
      <c r="F18" s="1427"/>
      <c r="G18" s="1428"/>
      <c r="H18" s="1427"/>
      <c r="I18" s="1428"/>
      <c r="J18" s="1427"/>
      <c r="K18" s="1427"/>
      <c r="L18" s="322"/>
    </row>
    <row r="19" spans="2:12" ht="13.5" customHeight="1" x14ac:dyDescent="0.2">
      <c r="B19" s="1477" t="s">
        <v>1367</v>
      </c>
      <c r="C19" s="1477"/>
      <c r="D19" s="328"/>
      <c r="E19" s="328"/>
      <c r="F19" s="328"/>
      <c r="G19" s="1478"/>
      <c r="H19" s="328"/>
      <c r="I19" s="1478"/>
      <c r="J19" s="322"/>
      <c r="K19" s="322"/>
      <c r="L19" s="322"/>
    </row>
    <row r="20" spans="2:12" ht="35.25" customHeight="1" x14ac:dyDescent="0.2">
      <c r="B20" s="2494" t="s">
        <v>2132</v>
      </c>
      <c r="C20" s="2494"/>
      <c r="D20" s="2494"/>
      <c r="E20" s="2494"/>
      <c r="F20" s="2494"/>
      <c r="G20" s="2494"/>
      <c r="H20" s="2494"/>
      <c r="I20" s="2494"/>
      <c r="J20" s="2494"/>
      <c r="K20" s="2494"/>
      <c r="L20" s="1432"/>
    </row>
    <row r="21" spans="2:12" ht="4.5" customHeight="1" x14ac:dyDescent="0.2">
      <c r="B21" s="1479"/>
      <c r="C21" s="1479"/>
      <c r="D21" s="1480"/>
      <c r="E21" s="1480"/>
      <c r="F21" s="1480"/>
      <c r="G21" s="1428"/>
      <c r="H21" s="1480"/>
      <c r="I21" s="1428"/>
      <c r="J21" s="1480"/>
      <c r="K21" s="1480"/>
      <c r="L21" s="1432"/>
    </row>
    <row r="22" spans="2:12" ht="13.35" customHeight="1" x14ac:dyDescent="0.2">
      <c r="B22" s="1477" t="s">
        <v>1858</v>
      </c>
      <c r="C22" s="1477"/>
      <c r="D22" s="322"/>
      <c r="E22" s="322"/>
      <c r="F22" s="322"/>
      <c r="G22" s="1383"/>
      <c r="H22" s="322"/>
      <c r="I22" s="1383"/>
      <c r="J22" s="322"/>
      <c r="K22" s="322"/>
      <c r="L22" s="322"/>
    </row>
    <row r="23" spans="2:12" ht="37.5" customHeight="1" x14ac:dyDescent="0.2">
      <c r="B23" s="2494"/>
      <c r="C23" s="2494"/>
      <c r="D23" s="2494"/>
      <c r="E23" s="2494"/>
      <c r="F23" s="2494"/>
      <c r="G23" s="2494"/>
      <c r="H23" s="2494"/>
      <c r="I23" s="2494"/>
      <c r="J23" s="2494"/>
      <c r="K23" s="2494"/>
      <c r="L23" s="322"/>
    </row>
    <row r="24" spans="2:12" ht="4.5" customHeight="1" x14ac:dyDescent="0.2">
      <c r="B24" s="1479"/>
      <c r="C24" s="1479"/>
      <c r="D24" s="1427"/>
      <c r="E24" s="1427"/>
      <c r="F24" s="1427"/>
      <c r="G24" s="1428"/>
      <c r="H24" s="1427"/>
      <c r="I24" s="1428"/>
      <c r="J24" s="1427"/>
      <c r="K24" s="1427"/>
      <c r="L24" s="322"/>
    </row>
    <row r="25" spans="2:12" ht="13.5" customHeight="1" x14ac:dyDescent="0.2">
      <c r="B25" s="1477" t="s">
        <v>1859</v>
      </c>
      <c r="C25" s="1477"/>
      <c r="D25" s="322"/>
      <c r="E25" s="322"/>
      <c r="F25" s="322"/>
      <c r="G25" s="1383"/>
      <c r="H25" s="322"/>
      <c r="I25" s="1383"/>
      <c r="J25" s="322"/>
      <c r="K25" s="322"/>
      <c r="L25" s="322"/>
    </row>
    <row r="26" spans="2:12" ht="37.5" customHeight="1" x14ac:dyDescent="0.2">
      <c r="B26" s="2494"/>
      <c r="C26" s="2494"/>
      <c r="D26" s="2494"/>
      <c r="E26" s="2494"/>
      <c r="F26" s="2494"/>
      <c r="G26" s="2494"/>
      <c r="H26" s="2494"/>
      <c r="I26" s="2494"/>
      <c r="J26" s="2494"/>
      <c r="K26" s="2494"/>
      <c r="L26" s="322"/>
    </row>
    <row r="27" spans="2:12" ht="4.5" customHeight="1" x14ac:dyDescent="0.2">
      <c r="B27" s="1481"/>
      <c r="C27" s="1481"/>
      <c r="D27" s="1481"/>
      <c r="E27" s="1427"/>
      <c r="F27" s="1427"/>
      <c r="G27" s="1428"/>
      <c r="H27" s="1427"/>
      <c r="I27" s="1428"/>
      <c r="J27" s="1427"/>
      <c r="K27" s="1427"/>
      <c r="L27" s="322"/>
    </row>
    <row r="28" spans="2:12" ht="13.5" customHeight="1" x14ac:dyDescent="0.2">
      <c r="B28" s="1477" t="s">
        <v>1860</v>
      </c>
      <c r="C28" s="1477"/>
      <c r="D28" s="322"/>
      <c r="E28" s="322"/>
      <c r="F28" s="322"/>
      <c r="G28" s="1383"/>
      <c r="H28" s="322"/>
      <c r="I28" s="1383"/>
      <c r="J28" s="322"/>
      <c r="K28" s="322"/>
      <c r="L28" s="322"/>
    </row>
    <row r="29" spans="2:12" ht="37.5" customHeight="1" x14ac:dyDescent="0.2">
      <c r="B29" s="2494"/>
      <c r="C29" s="2494"/>
      <c r="D29" s="2494"/>
      <c r="E29" s="2494"/>
      <c r="F29" s="2494"/>
      <c r="G29" s="2494"/>
      <c r="H29" s="2494"/>
      <c r="I29" s="2494"/>
      <c r="J29" s="2494"/>
      <c r="K29" s="2494"/>
      <c r="L29" s="322"/>
    </row>
    <row r="30" spans="2:12" ht="4.5" customHeight="1" x14ac:dyDescent="0.2">
      <c r="B30" s="1479"/>
      <c r="C30" s="1479"/>
      <c r="D30" s="1427"/>
      <c r="E30" s="1427"/>
      <c r="F30" s="1427"/>
      <c r="G30" s="1428"/>
      <c r="H30" s="1427"/>
      <c r="I30" s="1428"/>
      <c r="J30" s="1427"/>
      <c r="K30" s="1427"/>
      <c r="L30" s="322"/>
    </row>
    <row r="31" spans="2:12" ht="13.5" customHeight="1" x14ac:dyDescent="0.2">
      <c r="B31" s="1477" t="s">
        <v>1366</v>
      </c>
      <c r="C31" s="1477"/>
      <c r="D31" s="322"/>
      <c r="E31" s="322"/>
      <c r="F31" s="322"/>
      <c r="G31" s="1383"/>
      <c r="H31" s="322"/>
      <c r="I31" s="1383"/>
      <c r="J31" s="322"/>
      <c r="K31" s="322"/>
      <c r="L31" s="322"/>
    </row>
    <row r="32" spans="2:12" ht="37.5" customHeight="1" x14ac:dyDescent="0.2">
      <c r="B32" s="2494"/>
      <c r="C32" s="2494"/>
      <c r="D32" s="2494"/>
      <c r="E32" s="2494"/>
      <c r="F32" s="2494"/>
      <c r="G32" s="2494"/>
      <c r="H32" s="2494"/>
      <c r="I32" s="2494"/>
      <c r="J32" s="2494"/>
      <c r="K32" s="2494"/>
      <c r="L32" s="322"/>
    </row>
    <row r="33" spans="2:12" ht="4.5" customHeight="1" x14ac:dyDescent="0.2">
      <c r="B33" s="1479"/>
      <c r="C33" s="1479"/>
      <c r="D33" s="1427"/>
      <c r="E33" s="1427"/>
      <c r="F33" s="1427"/>
      <c r="G33" s="1428"/>
      <c r="H33" s="1427"/>
      <c r="I33" s="1428"/>
      <c r="J33" s="1427"/>
      <c r="K33" s="1427"/>
      <c r="L33" s="322"/>
    </row>
    <row r="34" spans="2:12" ht="13.5" customHeight="1" x14ac:dyDescent="0.2">
      <c r="B34" s="1384" t="s">
        <v>1365</v>
      </c>
      <c r="C34" s="1384"/>
      <c r="D34" s="322"/>
      <c r="E34" s="322"/>
      <c r="F34" s="322"/>
      <c r="G34" s="1383"/>
      <c r="H34" s="322"/>
      <c r="I34" s="1383"/>
      <c r="J34" s="322"/>
      <c r="K34" s="322"/>
      <c r="L34" s="322"/>
    </row>
    <row r="35" spans="2:12" ht="37.5" customHeight="1" x14ac:dyDescent="0.2">
      <c r="B35" s="2494"/>
      <c r="C35" s="2494"/>
      <c r="D35" s="2494"/>
      <c r="E35" s="2494"/>
      <c r="F35" s="2494"/>
      <c r="G35" s="2494"/>
      <c r="H35" s="2494"/>
      <c r="I35" s="2494"/>
      <c r="J35" s="2494"/>
      <c r="K35" s="2494"/>
      <c r="L35" s="322"/>
    </row>
    <row r="36" spans="2:12" ht="4.5" customHeight="1" x14ac:dyDescent="0.2">
      <c r="B36" s="1479"/>
      <c r="C36" s="1479"/>
      <c r="D36" s="1427"/>
      <c r="E36" s="1427"/>
      <c r="F36" s="1427"/>
      <c r="G36" s="1428"/>
      <c r="H36" s="1427"/>
      <c r="I36" s="1428"/>
      <c r="J36" s="1427"/>
      <c r="K36" s="1427"/>
      <c r="L36" s="322"/>
    </row>
    <row r="37" spans="2:12" ht="13.5" customHeight="1" x14ac:dyDescent="0.2">
      <c r="B37" s="1384" t="s">
        <v>1364</v>
      </c>
      <c r="C37" s="1384"/>
      <c r="D37" s="322"/>
      <c r="E37" s="322"/>
      <c r="F37" s="322"/>
      <c r="G37" s="1383"/>
      <c r="H37" s="322"/>
      <c r="I37" s="1383"/>
      <c r="J37" s="322"/>
      <c r="K37" s="322"/>
      <c r="L37" s="322"/>
    </row>
    <row r="38" spans="2:12" ht="35.25" customHeight="1" x14ac:dyDescent="0.2">
      <c r="B38" s="2494"/>
      <c r="C38" s="2494"/>
      <c r="D38" s="2494"/>
      <c r="E38" s="2494"/>
      <c r="F38" s="2494"/>
      <c r="G38" s="2494"/>
      <c r="H38" s="2494"/>
      <c r="I38" s="2494"/>
      <c r="J38" s="2494"/>
      <c r="K38" s="2494"/>
      <c r="L38" s="322"/>
    </row>
    <row r="39" spans="2:12" ht="4.5" customHeight="1" x14ac:dyDescent="0.2">
      <c r="B39" s="1402"/>
      <c r="C39" s="1402"/>
      <c r="D39" s="322"/>
      <c r="E39" s="322"/>
      <c r="F39" s="322"/>
      <c r="G39" s="1383"/>
      <c r="H39" s="322"/>
      <c r="I39" s="1383"/>
      <c r="J39" s="322"/>
      <c r="K39" s="322"/>
      <c r="L39" s="322"/>
    </row>
    <row r="40" spans="2:12" s="322" customFormat="1" ht="13.5" customHeight="1" x14ac:dyDescent="0.2">
      <c r="B40" s="1403" t="s">
        <v>1861</v>
      </c>
      <c r="C40" s="1403"/>
      <c r="D40" s="1378"/>
      <c r="E40" s="1379"/>
      <c r="F40" s="1379"/>
      <c r="G40" s="1380"/>
      <c r="H40" s="1379"/>
      <c r="I40" s="1380"/>
      <c r="J40" s="1379"/>
      <c r="K40" s="1379"/>
    </row>
    <row r="41" spans="2:12" s="322" customFormat="1" ht="33.75" customHeight="1" x14ac:dyDescent="0.2">
      <c r="B41" s="2494"/>
      <c r="C41" s="2494"/>
      <c r="D41" s="2494"/>
      <c r="E41" s="2494"/>
      <c r="F41" s="2494"/>
      <c r="G41" s="2494"/>
      <c r="H41" s="2494"/>
      <c r="I41" s="2494"/>
      <c r="J41" s="2494"/>
      <c r="K41" s="2494"/>
    </row>
    <row r="42" spans="2:12" s="322" customFormat="1" ht="4.5" customHeight="1" x14ac:dyDescent="0.2">
      <c r="B42" s="1402"/>
      <c r="C42" s="1402"/>
      <c r="G42" s="1383"/>
      <c r="I42" s="1383"/>
    </row>
    <row r="43" spans="2:12" s="322" customFormat="1" ht="13.5" customHeight="1" x14ac:dyDescent="0.2">
      <c r="B43" s="1482" t="s">
        <v>1353</v>
      </c>
      <c r="C43" s="1483"/>
      <c r="D43" s="1404"/>
      <c r="E43" s="1404"/>
      <c r="F43" s="1404"/>
      <c r="G43" s="1405"/>
      <c r="H43" s="1404"/>
      <c r="I43" s="1405"/>
      <c r="J43" s="1404"/>
      <c r="K43" s="1406"/>
      <c r="L43" s="1484"/>
    </row>
    <row r="44" spans="2:12" s="322" customFormat="1" ht="13.5" customHeight="1" x14ac:dyDescent="0.2">
      <c r="B44" s="1407" t="s">
        <v>1352</v>
      </c>
      <c r="C44" s="1408"/>
      <c r="D44" s="1485"/>
      <c r="E44" s="1409"/>
      <c r="F44" s="1413" t="s">
        <v>1351</v>
      </c>
      <c r="G44" s="1411"/>
      <c r="H44" s="1410"/>
      <c r="I44" s="1411"/>
      <c r="J44" s="1486"/>
      <c r="K44" s="1487"/>
      <c r="L44" s="1484"/>
    </row>
    <row r="45" spans="2:12" s="322" customFormat="1" ht="13.5" customHeight="1" x14ac:dyDescent="0.2">
      <c r="B45" s="1407" t="s">
        <v>1350</v>
      </c>
      <c r="C45" s="1408"/>
      <c r="D45" s="1486"/>
      <c r="E45" s="1410"/>
      <c r="F45" s="1413" t="s">
        <v>1349</v>
      </c>
      <c r="G45" s="1411"/>
      <c r="H45" s="1410"/>
      <c r="I45" s="1411"/>
      <c r="J45" s="1486"/>
      <c r="K45" s="1487"/>
      <c r="L45" s="1484"/>
    </row>
    <row r="46" spans="2:12" s="322" customFormat="1" ht="13.5" customHeight="1" x14ac:dyDescent="0.2">
      <c r="B46" s="1414"/>
      <c r="C46" s="1412"/>
      <c r="D46" s="1412"/>
      <c r="E46" s="1412"/>
      <c r="F46" s="1412"/>
      <c r="G46" s="1415"/>
      <c r="H46" s="1412"/>
      <c r="I46" s="1415"/>
      <c r="J46" s="1412"/>
      <c r="K46" s="1416"/>
      <c r="L46" s="1484"/>
    </row>
    <row r="47" spans="2:12" ht="7.5" customHeight="1" x14ac:dyDescent="0.25">
      <c r="B47" s="1488"/>
      <c r="C47" s="1488"/>
      <c r="D47" s="1489"/>
      <c r="E47" s="1489"/>
      <c r="F47" s="1489"/>
      <c r="G47" s="1490"/>
      <c r="H47" s="1489"/>
      <c r="I47" s="1490"/>
      <c r="J47" s="1489"/>
      <c r="K47" s="1489"/>
    </row>
    <row r="48" spans="2:12" ht="13.5" customHeight="1" x14ac:dyDescent="0.2">
      <c r="B48" s="1419" t="s">
        <v>1862</v>
      </c>
      <c r="C48" s="1419"/>
      <c r="D48" s="322"/>
      <c r="E48" s="322"/>
      <c r="F48" s="322"/>
    </row>
    <row r="49" spans="2:3" s="317" customFormat="1" ht="10.5" customHeight="1" x14ac:dyDescent="0.2">
      <c r="B49" s="1420" t="s">
        <v>1863</v>
      </c>
      <c r="C49" s="1420"/>
    </row>
    <row r="50" spans="2:3" s="317" customFormat="1" ht="11.1" customHeight="1" x14ac:dyDescent="0.2">
      <c r="B50" s="1420" t="s">
        <v>1864</v>
      </c>
      <c r="C50" s="1420"/>
    </row>
    <row r="51" spans="2:3" s="317" customFormat="1" ht="11.1" customHeight="1" x14ac:dyDescent="0.2">
      <c r="B51" s="1420" t="s">
        <v>1865</v>
      </c>
      <c r="C51" s="1420"/>
    </row>
    <row r="52" spans="2:3" s="317" customFormat="1" ht="11.1" customHeight="1" x14ac:dyDescent="0.2">
      <c r="B52" s="1420" t="s">
        <v>1866</v>
      </c>
      <c r="C52" s="1420"/>
    </row>
  </sheetData>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3"/>
  <sheetViews>
    <sheetView showGridLines="0" zoomScale="110" zoomScaleNormal="110" workbookViewId="0">
      <selection activeCell="B8" sqref="B8"/>
    </sheetView>
  </sheetViews>
  <sheetFormatPr defaultColWidth="9.140625" defaultRowHeight="12.75" x14ac:dyDescent="0.2"/>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82" customFormat="1" ht="12.75" customHeight="1" x14ac:dyDescent="0.2">
      <c r="B1" s="2479" t="str">
        <f>'Single Audit Cover'!A7</f>
        <v>RANTOUL CITY SCHOOLS</v>
      </c>
      <c r="C1" s="2479"/>
      <c r="D1" s="2479"/>
      <c r="E1" s="1491"/>
    </row>
    <row r="2" spans="2:5" s="1282" customFormat="1" ht="12.75" customHeight="1" x14ac:dyDescent="0.2">
      <c r="B2" s="2481" t="str">
        <f>'Single Audit Cover'!E7</f>
        <v>09-010-1370-02</v>
      </c>
      <c r="C2" s="2481"/>
      <c r="D2" s="2481"/>
      <c r="E2" s="1492"/>
    </row>
    <row r="3" spans="2:5" ht="12.75" customHeight="1" x14ac:dyDescent="0.2">
      <c r="B3" s="2495" t="s">
        <v>1867</v>
      </c>
      <c r="C3" s="2495"/>
      <c r="D3" s="2495"/>
      <c r="E3" s="1274"/>
    </row>
    <row r="4" spans="2:5" s="1282" customFormat="1" ht="12.75" customHeight="1" x14ac:dyDescent="0.2">
      <c r="B4" s="2505" t="str">
        <f>'Single Audit Cover'!A4</f>
        <v>Year Ending June 30, 2018</v>
      </c>
      <c r="C4" s="2505"/>
      <c r="D4" s="2505"/>
      <c r="E4" s="1493"/>
    </row>
    <row r="5" spans="2:5" s="1282" customFormat="1" ht="40.15" customHeight="1" x14ac:dyDescent="0.2">
      <c r="B5" s="1494" t="s">
        <v>1868</v>
      </c>
      <c r="C5" s="328"/>
      <c r="D5" s="328"/>
      <c r="E5" s="328"/>
    </row>
    <row r="6" spans="2:5" s="1282" customFormat="1" ht="13.5" customHeight="1" x14ac:dyDescent="0.2">
      <c r="B6" s="1495" t="s">
        <v>1382</v>
      </c>
      <c r="C6" s="1495" t="s">
        <v>1381</v>
      </c>
      <c r="D6" s="1495" t="s">
        <v>1869</v>
      </c>
    </row>
    <row r="7" spans="2:5" ht="13.5" customHeight="1" x14ac:dyDescent="0.2">
      <c r="B7" s="1496"/>
      <c r="C7" s="324"/>
      <c r="D7" s="324"/>
      <c r="E7" s="324"/>
    </row>
    <row r="8" spans="2:5" ht="13.5" customHeight="1" x14ac:dyDescent="0.2">
      <c r="B8" s="1496" t="s">
        <v>2132</v>
      </c>
      <c r="C8" s="324"/>
      <c r="D8" s="324"/>
      <c r="E8" s="324"/>
    </row>
    <row r="9" spans="2:5" ht="13.5" customHeight="1" x14ac:dyDescent="0.2">
      <c r="B9" s="1497"/>
      <c r="C9" s="323"/>
      <c r="D9" s="323"/>
      <c r="E9" s="323"/>
    </row>
    <row r="10" spans="2:5" ht="13.5" customHeight="1" x14ac:dyDescent="0.2">
      <c r="B10" s="1496"/>
      <c r="C10" s="323"/>
      <c r="D10" s="323"/>
      <c r="E10" s="323"/>
    </row>
    <row r="11" spans="2:5" ht="13.5" customHeight="1" x14ac:dyDescent="0.2">
      <c r="B11" s="1496"/>
      <c r="C11" s="323"/>
      <c r="D11" s="323"/>
      <c r="E11" s="323"/>
    </row>
    <row r="12" spans="2:5" ht="13.5" customHeight="1" x14ac:dyDescent="0.2">
      <c r="B12" s="1496"/>
      <c r="C12" s="323"/>
      <c r="D12" s="323"/>
      <c r="E12" s="323"/>
    </row>
    <row r="13" spans="2:5" ht="13.5" customHeight="1" x14ac:dyDescent="0.2">
      <c r="B13" s="1496"/>
      <c r="C13" s="323"/>
      <c r="D13" s="323"/>
      <c r="E13" s="323"/>
    </row>
    <row r="14" spans="2:5" ht="13.5" customHeight="1" x14ac:dyDescent="0.2">
      <c r="B14" s="1496"/>
      <c r="C14" s="323"/>
      <c r="D14" s="323"/>
      <c r="E14" s="323"/>
    </row>
    <row r="15" spans="2:5" ht="13.5" customHeight="1" x14ac:dyDescent="0.2">
      <c r="B15" s="1496"/>
      <c r="C15" s="323"/>
      <c r="D15" s="323"/>
      <c r="E15" s="323"/>
    </row>
    <row r="16" spans="2:5" ht="13.5" customHeight="1" x14ac:dyDescent="0.2">
      <c r="B16" s="1496"/>
      <c r="C16" s="323"/>
      <c r="D16" s="323"/>
      <c r="E16" s="323"/>
    </row>
    <row r="17" spans="2:5" ht="13.5" customHeight="1" x14ac:dyDescent="0.2">
      <c r="B17" s="1496"/>
      <c r="C17" s="323"/>
      <c r="D17" s="323"/>
      <c r="E17" s="323"/>
    </row>
    <row r="18" spans="2:5" ht="13.5" customHeight="1" x14ac:dyDescent="0.2">
      <c r="B18" s="1496"/>
      <c r="C18" s="323"/>
      <c r="D18" s="323"/>
      <c r="E18" s="323"/>
    </row>
    <row r="19" spans="2:5" ht="13.5" customHeight="1" x14ac:dyDescent="0.2">
      <c r="B19" s="1496"/>
      <c r="C19" s="323"/>
      <c r="D19" s="323"/>
      <c r="E19" s="323"/>
    </row>
    <row r="20" spans="2:5" ht="13.5" customHeight="1" x14ac:dyDescent="0.2">
      <c r="B20" s="1496"/>
      <c r="C20" s="323"/>
      <c r="D20" s="323"/>
      <c r="E20" s="323"/>
    </row>
    <row r="21" spans="2:5" ht="13.5" customHeight="1" x14ac:dyDescent="0.2">
      <c r="B21" s="1496"/>
      <c r="C21" s="323"/>
      <c r="D21" s="323"/>
      <c r="E21" s="323"/>
    </row>
    <row r="22" spans="2:5" ht="13.5" customHeight="1" x14ac:dyDescent="0.2">
      <c r="B22" s="1496"/>
      <c r="C22" s="323"/>
      <c r="D22" s="323"/>
      <c r="E22" s="323"/>
    </row>
    <row r="23" spans="2:5" ht="13.5" customHeight="1" x14ac:dyDescent="0.2">
      <c r="B23" s="1496"/>
      <c r="C23" s="323"/>
      <c r="D23" s="323"/>
      <c r="E23" s="323"/>
    </row>
    <row r="24" spans="2:5" ht="13.5" customHeight="1" x14ac:dyDescent="0.2">
      <c r="B24" s="1496"/>
      <c r="C24" s="323"/>
      <c r="D24" s="323"/>
      <c r="E24" s="323"/>
    </row>
    <row r="25" spans="2:5" ht="13.5" customHeight="1" x14ac:dyDescent="0.2">
      <c r="B25" s="1496"/>
      <c r="C25" s="323"/>
      <c r="D25" s="323"/>
      <c r="E25" s="323"/>
    </row>
    <row r="26" spans="2:5" ht="13.5" customHeight="1" x14ac:dyDescent="0.2">
      <c r="B26" s="1496"/>
      <c r="C26" s="323"/>
      <c r="D26" s="323"/>
      <c r="E26" s="323"/>
    </row>
    <row r="27" spans="2:5" ht="13.5" customHeight="1" x14ac:dyDescent="0.2">
      <c r="B27" s="1496"/>
      <c r="C27" s="323"/>
      <c r="D27" s="323"/>
      <c r="E27" s="323"/>
    </row>
    <row r="28" spans="2:5" ht="13.5" customHeight="1" x14ac:dyDescent="0.2">
      <c r="B28" s="1496"/>
      <c r="C28" s="323"/>
      <c r="D28" s="323"/>
      <c r="E28" s="323"/>
    </row>
    <row r="29" spans="2:5" ht="13.5" customHeight="1" x14ac:dyDescent="0.2">
      <c r="B29" s="1496"/>
      <c r="C29" s="323"/>
      <c r="D29" s="323"/>
      <c r="E29" s="323"/>
    </row>
    <row r="30" spans="2:5" ht="13.5" customHeight="1" x14ac:dyDescent="0.2">
      <c r="B30" s="1496"/>
      <c r="C30" s="323"/>
      <c r="D30" s="323"/>
      <c r="E30" s="323"/>
    </row>
    <row r="31" spans="2:5" ht="13.5" customHeight="1" x14ac:dyDescent="0.2">
      <c r="B31" s="1496"/>
      <c r="C31" s="323"/>
      <c r="D31" s="323"/>
      <c r="E31" s="323"/>
    </row>
    <row r="32" spans="2:5" ht="13.5" customHeight="1" x14ac:dyDescent="0.2">
      <c r="B32" s="1498"/>
      <c r="C32" s="323"/>
      <c r="D32" s="323"/>
      <c r="E32" s="323"/>
    </row>
    <row r="33" spans="2:5" ht="13.5" customHeight="1" x14ac:dyDescent="0.2">
      <c r="B33" s="1499"/>
      <c r="C33" s="323"/>
      <c r="D33" s="323"/>
      <c r="E33" s="323"/>
    </row>
    <row r="34" spans="2:5" ht="13.5" customHeight="1" x14ac:dyDescent="0.2">
      <c r="B34" s="1500"/>
      <c r="C34" s="323"/>
      <c r="D34" s="323"/>
      <c r="E34" s="323"/>
    </row>
    <row r="35" spans="2:5" ht="13.5" customHeight="1" x14ac:dyDescent="0.2">
      <c r="B35" s="1499"/>
      <c r="C35" s="323"/>
      <c r="D35" s="323"/>
      <c r="E35" s="323"/>
    </row>
    <row r="36" spans="2:5" ht="13.5" customHeight="1" x14ac:dyDescent="0.2">
      <c r="B36" s="1500"/>
      <c r="C36" s="323"/>
      <c r="D36" s="323"/>
      <c r="E36" s="323"/>
    </row>
    <row r="37" spans="2:5" ht="13.5" customHeight="1" x14ac:dyDescent="0.2">
      <c r="B37" s="1500"/>
      <c r="C37" s="323"/>
      <c r="D37" s="323"/>
      <c r="E37" s="323"/>
    </row>
    <row r="38" spans="2:5" ht="13.5" customHeight="1" x14ac:dyDescent="0.2">
      <c r="B38" s="1499"/>
      <c r="C38" s="323"/>
      <c r="D38" s="323"/>
      <c r="E38" s="323"/>
    </row>
    <row r="39" spans="2:5" ht="13.5" customHeight="1" x14ac:dyDescent="0.2">
      <c r="B39" s="1500"/>
      <c r="C39" s="323"/>
      <c r="D39" s="323"/>
      <c r="E39" s="323"/>
    </row>
    <row r="40" spans="2:5" ht="13.5" customHeight="1" x14ac:dyDescent="0.2">
      <c r="B40" s="1499"/>
      <c r="C40" s="323"/>
      <c r="D40" s="323"/>
      <c r="E40" s="323"/>
    </row>
    <row r="41" spans="2:5" ht="13.5" customHeight="1" x14ac:dyDescent="0.2">
      <c r="B41" s="1501"/>
      <c r="C41" s="323"/>
      <c r="D41" s="323"/>
      <c r="E41" s="323"/>
    </row>
    <row r="42" spans="2:5" ht="13.5" customHeight="1" x14ac:dyDescent="0.2">
      <c r="B42" s="1502"/>
      <c r="C42" s="323"/>
      <c r="D42" s="323"/>
      <c r="E42" s="323"/>
    </row>
    <row r="43" spans="2:5" ht="12.75" customHeight="1" x14ac:dyDescent="0.2">
      <c r="B43" s="1503"/>
      <c r="C43" s="1504"/>
      <c r="D43" s="1504"/>
      <c r="E43" s="323"/>
    </row>
    <row r="44" spans="2:5" ht="12.2" customHeight="1" x14ac:dyDescent="0.2">
      <c r="B44" s="1257" t="s">
        <v>1380</v>
      </c>
      <c r="C44" s="322"/>
    </row>
    <row r="45" spans="2:5" ht="12.2" customHeight="1" x14ac:dyDescent="0.2">
      <c r="B45" s="1505" t="s">
        <v>1870</v>
      </c>
    </row>
    <row r="46" spans="2:5" ht="12.2" customHeight="1" x14ac:dyDescent="0.2">
      <c r="B46" s="1505" t="s">
        <v>1871</v>
      </c>
    </row>
    <row r="47" spans="2:5" ht="12.2" customHeight="1" x14ac:dyDescent="0.2">
      <c r="B47" s="1506" t="s">
        <v>1379</v>
      </c>
    </row>
    <row r="48" spans="2:5" ht="12.2" customHeight="1" x14ac:dyDescent="0.2">
      <c r="B48" s="1506" t="s">
        <v>1378</v>
      </c>
    </row>
    <row r="49" spans="2:5" ht="12.2" customHeight="1" x14ac:dyDescent="0.2">
      <c r="B49" s="1506" t="s">
        <v>1377</v>
      </c>
    </row>
    <row r="50" spans="2:5" ht="12.2" customHeight="1" x14ac:dyDescent="0.2">
      <c r="B50" s="1506" t="s">
        <v>1376</v>
      </c>
    </row>
    <row r="53" spans="2:5" ht="12.75" customHeight="1" x14ac:dyDescent="0.2"/>
    <row r="54" spans="2:5" ht="12.75" customHeight="1" x14ac:dyDescent="0.2">
      <c r="B54" s="1267"/>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419"/>
    </row>
    <row r="68" spans="2:2" x14ac:dyDescent="0.2">
      <c r="B68" s="1300"/>
    </row>
    <row r="69" spans="2:2" x14ac:dyDescent="0.2">
      <c r="B69" s="1300"/>
    </row>
    <row r="70" spans="2:2" x14ac:dyDescent="0.2">
      <c r="B70" s="1420"/>
    </row>
    <row r="71" spans="2:2" x14ac:dyDescent="0.2">
      <c r="B71" s="1420"/>
    </row>
    <row r="72" spans="2:2" x14ac:dyDescent="0.2">
      <c r="B72" s="1420"/>
    </row>
    <row r="73" spans="2:2" x14ac:dyDescent="0.2">
      <c r="B73" s="1300"/>
    </row>
  </sheetData>
  <sheetProtection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43"/>
  <sheetViews>
    <sheetView showGridLines="0" defaultGridColor="0" colorId="8" zoomScale="110" zoomScaleNormal="110" workbookViewId="0"/>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087" t="s">
        <v>1230</v>
      </c>
      <c r="B2" s="2087"/>
      <c r="C2" s="2087"/>
      <c r="D2" s="2087"/>
      <c r="E2" s="2087"/>
      <c r="F2" s="2087"/>
      <c r="G2" s="2087"/>
      <c r="H2" s="2087"/>
      <c r="I2" s="2087"/>
      <c r="J2" s="2087"/>
    </row>
    <row r="3" spans="1:11" s="181" customFormat="1" ht="17.25" customHeight="1" x14ac:dyDescent="0.2">
      <c r="A3" s="207"/>
      <c r="B3" s="207"/>
      <c r="C3" s="208"/>
      <c r="D3" s="209"/>
      <c r="E3" s="210"/>
    </row>
    <row r="4" spans="1:11" x14ac:dyDescent="0.2">
      <c r="A4" s="344" t="s">
        <v>1735</v>
      </c>
      <c r="B4" s="344"/>
      <c r="C4" s="344"/>
      <c r="D4" s="344"/>
      <c r="E4" s="344"/>
      <c r="F4" s="344"/>
      <c r="G4" s="344"/>
      <c r="H4" s="344"/>
      <c r="I4" s="344"/>
      <c r="J4" s="344"/>
      <c r="K4" s="344"/>
    </row>
    <row r="5" spans="1:11" x14ac:dyDescent="0.2">
      <c r="A5" s="237" t="s">
        <v>1736</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894</v>
      </c>
      <c r="B7" s="212"/>
      <c r="C7" s="213"/>
      <c r="D7" s="215"/>
    </row>
    <row r="8" spans="1:11" x14ac:dyDescent="0.2">
      <c r="A8" s="216"/>
      <c r="B8" s="217"/>
      <c r="D8" s="218"/>
    </row>
    <row r="9" spans="1:11" s="181" customFormat="1" x14ac:dyDescent="0.2">
      <c r="A9" s="219"/>
      <c r="B9" s="220" t="s">
        <v>2075</v>
      </c>
      <c r="C9" s="179">
        <v>1</v>
      </c>
      <c r="D9" s="221" t="s">
        <v>1639</v>
      </c>
    </row>
    <row r="10" spans="1:11" s="181" customFormat="1" x14ac:dyDescent="0.2">
      <c r="A10" s="222"/>
      <c r="B10" s="223"/>
      <c r="C10" s="224"/>
      <c r="D10" s="225" t="s">
        <v>1722</v>
      </c>
    </row>
    <row r="11" spans="1:11" s="181" customFormat="1" x14ac:dyDescent="0.2">
      <c r="A11" s="219"/>
      <c r="B11" s="226"/>
      <c r="C11" s="227">
        <v>2</v>
      </c>
      <c r="D11" s="228" t="s">
        <v>1723</v>
      </c>
    </row>
    <row r="12" spans="1:11" s="181" customFormat="1" hidden="1" x14ac:dyDescent="0.2">
      <c r="A12" s="219"/>
      <c r="B12" s="229"/>
      <c r="C12" s="227"/>
      <c r="D12" s="230"/>
    </row>
    <row r="13" spans="1:11" s="181" customFormat="1" x14ac:dyDescent="0.2">
      <c r="A13" s="219"/>
      <c r="B13" s="226"/>
      <c r="C13" s="227">
        <v>3</v>
      </c>
      <c r="D13" s="228" t="s">
        <v>1724</v>
      </c>
    </row>
    <row r="14" spans="1:11" s="181" customFormat="1" x14ac:dyDescent="0.2">
      <c r="A14" s="219"/>
      <c r="B14" s="226"/>
      <c r="C14" s="227">
        <v>4</v>
      </c>
      <c r="D14" s="228" t="s">
        <v>1725</v>
      </c>
    </row>
    <row r="15" spans="1:11" s="181" customFormat="1" x14ac:dyDescent="0.2">
      <c r="A15" s="219"/>
      <c r="B15" s="226"/>
      <c r="C15" s="227">
        <v>5</v>
      </c>
      <c r="D15" s="231" t="s">
        <v>1026</v>
      </c>
    </row>
    <row r="16" spans="1:11" s="181" customFormat="1" x14ac:dyDescent="0.2">
      <c r="A16" s="219"/>
      <c r="B16" s="226"/>
      <c r="C16" s="227">
        <v>6</v>
      </c>
      <c r="D16" s="231" t="s">
        <v>1534</v>
      </c>
    </row>
    <row r="17" spans="1:4" s="181" customFormat="1" ht="6" hidden="1" customHeight="1" x14ac:dyDescent="0.2">
      <c r="A17" s="219"/>
      <c r="B17" s="229"/>
      <c r="C17" s="227"/>
      <c r="D17" s="232"/>
    </row>
    <row r="18" spans="1:4" s="181" customFormat="1" ht="12" customHeight="1" x14ac:dyDescent="0.2">
      <c r="A18" s="219"/>
      <c r="B18" s="226"/>
      <c r="C18" s="227">
        <v>7</v>
      </c>
      <c r="D18" s="231" t="s">
        <v>1533</v>
      </c>
    </row>
    <row r="19" spans="1:4" s="181" customFormat="1" hidden="1" x14ac:dyDescent="0.2">
      <c r="A19" s="219"/>
      <c r="B19" s="229"/>
      <c r="C19" s="227"/>
      <c r="D19" s="232"/>
    </row>
    <row r="20" spans="1:4" s="181" customFormat="1" x14ac:dyDescent="0.2">
      <c r="A20" s="219"/>
      <c r="B20" s="226"/>
      <c r="C20" s="227">
        <v>8</v>
      </c>
      <c r="D20" s="231" t="s">
        <v>1726</v>
      </c>
    </row>
    <row r="21" spans="1:4" s="181" customFormat="1" x14ac:dyDescent="0.2">
      <c r="A21" s="219"/>
      <c r="B21" s="229"/>
      <c r="C21" s="227"/>
      <c r="D21" s="233" t="s">
        <v>1636</v>
      </c>
    </row>
    <row r="22" spans="1:4" s="181" customFormat="1" x14ac:dyDescent="0.2">
      <c r="A22" s="219"/>
      <c r="B22" s="226"/>
      <c r="C22" s="227">
        <v>9</v>
      </c>
      <c r="D22" s="231" t="s">
        <v>1727</v>
      </c>
    </row>
    <row r="23" spans="1:4" s="181" customFormat="1" x14ac:dyDescent="0.2">
      <c r="A23" s="219"/>
      <c r="B23" s="234"/>
      <c r="C23" s="227"/>
      <c r="D23" s="235" t="s">
        <v>1637</v>
      </c>
    </row>
    <row r="24" spans="1:4" s="181" customFormat="1" x14ac:dyDescent="0.2">
      <c r="A24" s="219"/>
      <c r="B24" s="226"/>
      <c r="C24" s="227">
        <v>10</v>
      </c>
      <c r="D24" s="231" t="s">
        <v>1728</v>
      </c>
    </row>
    <row r="25" spans="1:4" s="181" customFormat="1" x14ac:dyDescent="0.2">
      <c r="A25" s="219"/>
      <c r="B25" s="226"/>
      <c r="C25" s="227">
        <v>11</v>
      </c>
      <c r="D25" s="231" t="s">
        <v>1729</v>
      </c>
    </row>
    <row r="26" spans="1:4" s="181" customFormat="1" x14ac:dyDescent="0.2">
      <c r="A26" s="219"/>
      <c r="B26" s="234"/>
      <c r="C26" s="227"/>
      <c r="D26" s="235" t="s">
        <v>1638</v>
      </c>
    </row>
    <row r="27" spans="1:4" s="181" customFormat="1" x14ac:dyDescent="0.2">
      <c r="A27" s="219"/>
      <c r="B27" s="226"/>
      <c r="C27" s="227">
        <v>12</v>
      </c>
      <c r="D27" s="231" t="s">
        <v>1640</v>
      </c>
    </row>
    <row r="28" spans="1:4" s="181" customFormat="1" x14ac:dyDescent="0.2">
      <c r="A28" s="219"/>
      <c r="B28" s="229"/>
      <c r="C28" s="227"/>
      <c r="D28" s="225"/>
    </row>
    <row r="29" spans="1:4" s="181" customFormat="1" x14ac:dyDescent="0.2">
      <c r="A29" s="219"/>
      <c r="B29" s="226"/>
      <c r="C29" s="227">
        <v>13</v>
      </c>
      <c r="D29" s="231" t="s">
        <v>546</v>
      </c>
    </row>
    <row r="30" spans="1:4" s="181" customFormat="1" x14ac:dyDescent="0.2">
      <c r="A30" s="219"/>
      <c r="B30" s="229"/>
      <c r="C30" s="227"/>
      <c r="D30" s="225" t="s">
        <v>1730</v>
      </c>
    </row>
    <row r="31" spans="1:4" s="181" customFormat="1" x14ac:dyDescent="0.2">
      <c r="A31" s="219"/>
      <c r="B31" s="226"/>
      <c r="C31" s="227">
        <v>14</v>
      </c>
      <c r="D31" s="231" t="s">
        <v>1688</v>
      </c>
    </row>
    <row r="32" spans="1:4" s="181" customFormat="1" x14ac:dyDescent="0.2">
      <c r="A32" s="219"/>
      <c r="B32" s="236"/>
      <c r="C32" s="227"/>
      <c r="D32" s="237" t="s">
        <v>1894</v>
      </c>
    </row>
    <row r="33" spans="1:9" s="181" customFormat="1" ht="12" customHeight="1" x14ac:dyDescent="0.2">
      <c r="A33" s="219"/>
      <c r="B33" s="236"/>
      <c r="C33" s="227"/>
      <c r="D33" s="238" t="s">
        <v>1231</v>
      </c>
    </row>
    <row r="34" spans="1:9" s="181" customFormat="1" ht="8.25" hidden="1" customHeight="1" x14ac:dyDescent="0.2">
      <c r="A34" s="219"/>
      <c r="B34" s="229"/>
      <c r="C34" s="227"/>
      <c r="D34" s="239"/>
    </row>
    <row r="35" spans="1:9" s="181" customFormat="1" x14ac:dyDescent="0.2">
      <c r="A35" s="2101" t="s">
        <v>1731</v>
      </c>
      <c r="B35" s="2102"/>
      <c r="C35" s="2102"/>
      <c r="D35" s="2102"/>
      <c r="E35" s="2103"/>
      <c r="F35" s="2103"/>
      <c r="G35" s="2103"/>
      <c r="H35" s="2103"/>
      <c r="I35" s="2103"/>
    </row>
    <row r="36" spans="1:9" s="181" customFormat="1" x14ac:dyDescent="0.2">
      <c r="A36" s="219"/>
      <c r="B36" s="229"/>
      <c r="C36" s="227"/>
      <c r="D36" s="239"/>
    </row>
    <row r="37" spans="1:9" s="181" customFormat="1" x14ac:dyDescent="0.2">
      <c r="A37" s="219"/>
      <c r="B37" s="226"/>
      <c r="C37" s="227">
        <v>15</v>
      </c>
      <c r="D37" s="231" t="s">
        <v>380</v>
      </c>
    </row>
    <row r="38" spans="1:9" s="181" customFormat="1" x14ac:dyDescent="0.2">
      <c r="A38" s="219"/>
      <c r="B38" s="229"/>
      <c r="C38" s="227"/>
      <c r="D38" s="240" t="s">
        <v>1732</v>
      </c>
    </row>
    <row r="39" spans="1:9" s="181" customFormat="1" hidden="1" x14ac:dyDescent="0.2">
      <c r="A39" s="219"/>
      <c r="B39" s="229"/>
      <c r="C39" s="227"/>
      <c r="D39" s="241"/>
    </row>
    <row r="40" spans="1:9" s="181" customFormat="1" x14ac:dyDescent="0.2">
      <c r="A40" s="219"/>
      <c r="B40" s="226"/>
      <c r="C40" s="227">
        <v>16</v>
      </c>
      <c r="D40" s="242" t="s">
        <v>382</v>
      </c>
    </row>
    <row r="41" spans="1:9" s="181" customFormat="1" x14ac:dyDescent="0.2">
      <c r="A41" s="219"/>
      <c r="B41" s="229"/>
      <c r="C41" s="227"/>
      <c r="D41" s="240" t="s">
        <v>630</v>
      </c>
    </row>
    <row r="42" spans="1:9" s="181" customFormat="1" x14ac:dyDescent="0.2">
      <c r="A42" s="219"/>
      <c r="B42" s="226"/>
      <c r="C42" s="227">
        <v>17</v>
      </c>
      <c r="D42" s="242" t="s">
        <v>1733</v>
      </c>
    </row>
    <row r="43" spans="1:9" s="181" customFormat="1" x14ac:dyDescent="0.2">
      <c r="A43" s="219"/>
      <c r="B43" s="229"/>
      <c r="C43" s="227"/>
      <c r="D43" s="240" t="s">
        <v>1734</v>
      </c>
    </row>
    <row r="44" spans="1:9" s="181" customFormat="1" x14ac:dyDescent="0.2">
      <c r="A44" s="219"/>
      <c r="B44" s="226"/>
      <c r="C44" s="227">
        <v>18</v>
      </c>
      <c r="D44" s="242" t="s">
        <v>319</v>
      </c>
    </row>
    <row r="45" spans="1:9" s="181" customFormat="1" x14ac:dyDescent="0.2">
      <c r="A45" s="219"/>
      <c r="B45" s="229"/>
      <c r="C45" s="227"/>
      <c r="D45" s="240" t="s">
        <v>197</v>
      </c>
    </row>
    <row r="46" spans="1:9" s="181" customFormat="1" ht="16.5" customHeight="1" x14ac:dyDescent="0.2">
      <c r="A46" s="219"/>
      <c r="B46" s="229"/>
      <c r="C46" s="227"/>
      <c r="D46" s="239"/>
    </row>
    <row r="47" spans="1:9" s="181" customFormat="1" x14ac:dyDescent="0.2">
      <c r="A47" s="2101" t="s">
        <v>331</v>
      </c>
      <c r="B47" s="2104"/>
      <c r="C47" s="2104"/>
      <c r="D47" s="2104"/>
      <c r="E47" s="2105"/>
      <c r="F47" s="2105"/>
      <c r="G47" s="2105"/>
      <c r="H47" s="2105"/>
      <c r="I47" s="2105"/>
    </row>
    <row r="48" spans="1:9" s="181" customFormat="1" x14ac:dyDescent="0.2">
      <c r="A48" s="219"/>
      <c r="B48" s="229"/>
      <c r="C48" s="227"/>
      <c r="D48" s="239"/>
    </row>
    <row r="49" spans="1:10" s="181" customFormat="1" x14ac:dyDescent="0.2">
      <c r="A49" s="219"/>
      <c r="B49" s="226"/>
      <c r="C49" s="227">
        <v>19</v>
      </c>
      <c r="D49" s="243" t="s">
        <v>381</v>
      </c>
    </row>
    <row r="50" spans="1:10" s="181" customFormat="1" x14ac:dyDescent="0.2">
      <c r="A50" s="219"/>
      <c r="B50" s="226" t="s">
        <v>2075</v>
      </c>
      <c r="C50" s="227">
        <v>20</v>
      </c>
      <c r="D50" s="243" t="s">
        <v>1737</v>
      </c>
    </row>
    <row r="51" spans="1:10" x14ac:dyDescent="0.2">
      <c r="B51" s="244"/>
      <c r="C51" s="245">
        <v>21</v>
      </c>
      <c r="D51" s="218" t="s">
        <v>1109</v>
      </c>
    </row>
    <row r="52" spans="1:10" x14ac:dyDescent="0.2">
      <c r="B52" s="246"/>
      <c r="C52" s="245"/>
      <c r="D52" s="240" t="s">
        <v>895</v>
      </c>
    </row>
    <row r="53" spans="1:10" s="181" customFormat="1" ht="15.75" customHeight="1" x14ac:dyDescent="0.2">
      <c r="A53" s="219"/>
      <c r="B53" s="220"/>
      <c r="C53" s="179">
        <v>22</v>
      </c>
      <c r="D53" s="247" t="s">
        <v>1537</v>
      </c>
      <c r="E53" s="248"/>
      <c r="F53" s="249"/>
      <c r="G53" s="249" t="s">
        <v>1536</v>
      </c>
      <c r="H53" s="250"/>
      <c r="I53" s="237" t="s">
        <v>1562</v>
      </c>
    </row>
    <row r="54" spans="1:10" s="181" customFormat="1" x14ac:dyDescent="0.2">
      <c r="A54" s="219"/>
      <c r="B54" s="220"/>
      <c r="C54" s="179">
        <v>23</v>
      </c>
      <c r="D54" s="243" t="s">
        <v>1429</v>
      </c>
      <c r="E54" s="248"/>
      <c r="F54" s="249"/>
    </row>
    <row r="55" spans="1:10" s="181" customFormat="1" x14ac:dyDescent="0.2">
      <c r="A55" s="214"/>
      <c r="B55" s="251"/>
      <c r="C55" s="251"/>
      <c r="D55" s="231" t="s">
        <v>1893</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108"/>
      <c r="C57" s="2109"/>
      <c r="D57" s="2109"/>
      <c r="E57" s="2109"/>
      <c r="F57" s="2109"/>
      <c r="G57" s="2109"/>
      <c r="H57" s="2109"/>
      <c r="I57" s="2109"/>
      <c r="J57" s="2110"/>
    </row>
    <row r="58" spans="1:10" s="181" customFormat="1" x14ac:dyDescent="0.2">
      <c r="A58" s="253"/>
      <c r="B58" s="2111"/>
      <c r="C58" s="2112"/>
      <c r="D58" s="2112"/>
      <c r="E58" s="2112"/>
      <c r="F58" s="2112"/>
      <c r="G58" s="2112"/>
      <c r="H58" s="2112"/>
      <c r="I58" s="2112"/>
      <c r="J58" s="2113"/>
    </row>
    <row r="59" spans="1:10" s="181" customFormat="1" x14ac:dyDescent="0.2">
      <c r="A59" s="253"/>
      <c r="B59" s="2111"/>
      <c r="C59" s="2112"/>
      <c r="D59" s="2112"/>
      <c r="E59" s="2112"/>
      <c r="F59" s="2112"/>
      <c r="G59" s="2112"/>
      <c r="H59" s="2112"/>
      <c r="I59" s="2112"/>
      <c r="J59" s="2113"/>
    </row>
    <row r="60" spans="1:10" s="181" customFormat="1" x14ac:dyDescent="0.2">
      <c r="A60" s="253"/>
      <c r="B60" s="2111"/>
      <c r="C60" s="2112"/>
      <c r="D60" s="2112"/>
      <c r="E60" s="2112"/>
      <c r="F60" s="2112"/>
      <c r="G60" s="2112"/>
      <c r="H60" s="2112"/>
      <c r="I60" s="2112"/>
      <c r="J60" s="2113"/>
    </row>
    <row r="61" spans="1:10" s="181" customFormat="1" x14ac:dyDescent="0.2">
      <c r="A61" s="253"/>
      <c r="B61" s="2111"/>
      <c r="C61" s="2112"/>
      <c r="D61" s="2112"/>
      <c r="E61" s="2112"/>
      <c r="F61" s="2112"/>
      <c r="G61" s="2112"/>
      <c r="H61" s="2112"/>
      <c r="I61" s="2112"/>
      <c r="J61" s="2113"/>
    </row>
    <row r="62" spans="1:10" s="181" customFormat="1" x14ac:dyDescent="0.2">
      <c r="A62" s="253"/>
      <c r="B62" s="2111"/>
      <c r="C62" s="2112"/>
      <c r="D62" s="2112"/>
      <c r="E62" s="2112"/>
      <c r="F62" s="2112"/>
      <c r="G62" s="2112"/>
      <c r="H62" s="2112"/>
      <c r="I62" s="2112"/>
      <c r="J62" s="2113"/>
    </row>
    <row r="63" spans="1:10" s="181" customFormat="1" x14ac:dyDescent="0.2">
      <c r="A63" s="253"/>
      <c r="B63" s="2111"/>
      <c r="C63" s="2112"/>
      <c r="D63" s="2112"/>
      <c r="E63" s="2112"/>
      <c r="F63" s="2112"/>
      <c r="G63" s="2112"/>
      <c r="H63" s="2112"/>
      <c r="I63" s="2112"/>
      <c r="J63" s="2113"/>
    </row>
    <row r="64" spans="1:10" s="181" customFormat="1" x14ac:dyDescent="0.2">
      <c r="A64" s="253"/>
      <c r="B64" s="2111"/>
      <c r="C64" s="2112"/>
      <c r="D64" s="2112"/>
      <c r="E64" s="2112"/>
      <c r="F64" s="2112"/>
      <c r="G64" s="2112"/>
      <c r="H64" s="2112"/>
      <c r="I64" s="2112"/>
      <c r="J64" s="2113"/>
    </row>
    <row r="65" spans="1:10" s="181" customFormat="1" x14ac:dyDescent="0.2">
      <c r="A65" s="253"/>
      <c r="B65" s="2111"/>
      <c r="C65" s="2112"/>
      <c r="D65" s="2112"/>
      <c r="E65" s="2112"/>
      <c r="F65" s="2112"/>
      <c r="G65" s="2112"/>
      <c r="H65" s="2112"/>
      <c r="I65" s="2112"/>
      <c r="J65" s="2113"/>
    </row>
    <row r="66" spans="1:10" s="181" customFormat="1" x14ac:dyDescent="0.2">
      <c r="A66" s="253"/>
      <c r="B66" s="2111"/>
      <c r="C66" s="2112"/>
      <c r="D66" s="2112"/>
      <c r="E66" s="2112"/>
      <c r="F66" s="2112"/>
      <c r="G66" s="2112"/>
      <c r="H66" s="2112"/>
      <c r="I66" s="2112"/>
      <c r="J66" s="2113"/>
    </row>
    <row r="67" spans="1:10" s="181" customFormat="1" ht="9" customHeight="1" x14ac:dyDescent="0.2">
      <c r="A67" s="254"/>
      <c r="B67" s="2114"/>
      <c r="C67" s="2115"/>
      <c r="D67" s="2115"/>
      <c r="E67" s="2115"/>
      <c r="F67" s="2115"/>
      <c r="G67" s="2115"/>
      <c r="H67" s="2115"/>
      <c r="I67" s="2115"/>
      <c r="J67" s="2116"/>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101" t="s">
        <v>1390</v>
      </c>
      <c r="B70" s="2104"/>
      <c r="C70" s="2104"/>
      <c r="D70" s="2104"/>
      <c r="E70" s="2105"/>
      <c r="F70" s="2105"/>
      <c r="G70" s="2105"/>
      <c r="H70" s="2105"/>
      <c r="I70" s="2105"/>
    </row>
    <row r="71" spans="1:10" s="181" customFormat="1" x14ac:dyDescent="0.2">
      <c r="A71" s="219"/>
      <c r="C71" s="257"/>
      <c r="D71" s="258" t="s">
        <v>1389</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2067</v>
      </c>
      <c r="B73" s="255"/>
      <c r="C73" s="256"/>
      <c r="D73" s="256"/>
      <c r="E73" s="256"/>
      <c r="F73" s="256"/>
      <c r="G73" s="256"/>
      <c r="H73" s="256"/>
    </row>
    <row r="74" spans="1:10" s="181" customFormat="1" x14ac:dyDescent="0.2">
      <c r="A74" s="259" t="s">
        <v>1497</v>
      </c>
      <c r="B74" s="255"/>
      <c r="C74" s="256"/>
      <c r="D74" s="256"/>
      <c r="E74" s="256"/>
      <c r="F74" s="256"/>
      <c r="G74" s="256"/>
      <c r="H74" s="256"/>
    </row>
    <row r="75" spans="1:10" s="181" customFormat="1" x14ac:dyDescent="0.2">
      <c r="A75" s="259" t="s">
        <v>1689</v>
      </c>
      <c r="B75" s="255"/>
      <c r="C75" s="256"/>
      <c r="D75" s="256"/>
      <c r="E75" s="256"/>
      <c r="F75" s="256"/>
      <c r="G75" s="256"/>
      <c r="H75" s="256"/>
    </row>
    <row r="76" spans="1:10" s="181" customFormat="1" ht="18.75" customHeight="1" x14ac:dyDescent="0.2">
      <c r="A76" s="239" t="s">
        <v>1498</v>
      </c>
      <c r="B76" s="255"/>
      <c r="C76" s="256"/>
      <c r="D76" s="256"/>
      <c r="E76" s="256"/>
      <c r="F76" s="256"/>
      <c r="G76" s="256"/>
      <c r="H76" s="256"/>
    </row>
    <row r="77" spans="1:10" s="181" customFormat="1" x14ac:dyDescent="0.2">
      <c r="C77" s="179">
        <v>24</v>
      </c>
      <c r="D77" s="247" t="s">
        <v>1745</v>
      </c>
      <c r="G77" s="297" t="s">
        <v>2018</v>
      </c>
      <c r="I77" s="1861"/>
      <c r="J77" s="261"/>
    </row>
    <row r="78" spans="1:10" s="181" customFormat="1" ht="6" customHeight="1" x14ac:dyDescent="0.2">
      <c r="A78" s="219"/>
      <c r="B78" s="262"/>
      <c r="C78" s="179"/>
      <c r="D78" s="247"/>
      <c r="E78" s="248"/>
      <c r="F78" s="249"/>
    </row>
    <row r="79" spans="1:10" s="181" customFormat="1" x14ac:dyDescent="0.2">
      <c r="A79" s="219"/>
      <c r="B79" s="262"/>
      <c r="C79" s="179">
        <v>25</v>
      </c>
      <c r="D79" s="247" t="s">
        <v>1743</v>
      </c>
      <c r="E79" s="248"/>
      <c r="F79" s="249"/>
    </row>
    <row r="80" spans="1:10" s="181" customFormat="1" x14ac:dyDescent="0.2">
      <c r="A80" s="219"/>
      <c r="B80" s="262"/>
      <c r="C80" s="179"/>
      <c r="D80" s="247" t="s">
        <v>1744</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106" t="s">
        <v>1387</v>
      </c>
      <c r="B83" s="2106"/>
      <c r="C83" s="2106"/>
      <c r="D83" s="2107"/>
      <c r="E83" s="263" t="s">
        <v>1424</v>
      </c>
      <c r="F83" s="263" t="s">
        <v>1425</v>
      </c>
      <c r="G83" s="263" t="s">
        <v>1426</v>
      </c>
      <c r="H83" s="263" t="s">
        <v>1427</v>
      </c>
      <c r="I83" s="263" t="s">
        <v>1428</v>
      </c>
      <c r="J83" s="264" t="s">
        <v>158</v>
      </c>
    </row>
    <row r="84" spans="1:10" s="181" customFormat="1" ht="13.5" customHeight="1" thickTop="1" x14ac:dyDescent="0.2">
      <c r="A84" s="265" t="s">
        <v>1519</v>
      </c>
      <c r="B84" s="266"/>
      <c r="C84" s="267"/>
      <c r="D84" s="268"/>
      <c r="E84" s="269"/>
      <c r="F84" s="269"/>
      <c r="G84" s="269"/>
      <c r="H84" s="269"/>
      <c r="I84" s="269"/>
      <c r="J84" s="270"/>
    </row>
    <row r="85" spans="1:10" s="181" customFormat="1" ht="13.5" customHeight="1" x14ac:dyDescent="0.2">
      <c r="A85" s="271" t="s">
        <v>2065</v>
      </c>
      <c r="B85" s="272"/>
      <c r="C85" s="273"/>
      <c r="D85" s="274"/>
      <c r="E85" s="275"/>
      <c r="F85" s="276">
        <v>1</v>
      </c>
      <c r="G85" s="276"/>
      <c r="H85" s="276"/>
      <c r="I85" s="276"/>
      <c r="J85" s="277">
        <f>SUM(E85:I85)</f>
        <v>1</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1388</v>
      </c>
      <c r="B87" s="283"/>
      <c r="C87" s="284"/>
      <c r="D87" s="281"/>
      <c r="E87" s="269"/>
      <c r="F87" s="269"/>
      <c r="G87" s="269"/>
      <c r="H87" s="269"/>
      <c r="I87" s="269"/>
      <c r="J87" s="270"/>
    </row>
    <row r="88" spans="1:10" s="181" customFormat="1" ht="13.5" customHeight="1" x14ac:dyDescent="0.2">
      <c r="A88" s="285" t="s">
        <v>2065</v>
      </c>
      <c r="B88" s="286"/>
      <c r="C88" s="287"/>
      <c r="D88" s="288"/>
      <c r="E88" s="276"/>
      <c r="F88" s="276"/>
      <c r="G88" s="276"/>
      <c r="H88" s="276"/>
      <c r="I88" s="276"/>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158</v>
      </c>
      <c r="B90" s="283"/>
      <c r="C90" s="284"/>
      <c r="D90" s="293"/>
      <c r="E90" s="294"/>
      <c r="F90" s="294"/>
      <c r="G90" s="294"/>
      <c r="H90" s="294"/>
      <c r="I90" s="294"/>
      <c r="J90" s="295">
        <f>SUM(J85:J89)</f>
        <v>1</v>
      </c>
    </row>
    <row r="91" spans="1:10" s="181" customFormat="1" x14ac:dyDescent="0.2">
      <c r="A91" s="219"/>
      <c r="B91" s="262"/>
      <c r="C91" s="179"/>
      <c r="E91" s="260"/>
      <c r="F91" s="296"/>
      <c r="H91" s="297"/>
    </row>
    <row r="92" spans="1:10" s="181" customFormat="1" x14ac:dyDescent="0.2">
      <c r="A92" s="219"/>
      <c r="B92" s="247" t="s">
        <v>1738</v>
      </c>
      <c r="C92" s="179"/>
      <c r="E92" s="260"/>
      <c r="F92" s="296"/>
      <c r="H92" s="297"/>
    </row>
    <row r="93" spans="1:10" s="181" customFormat="1" ht="16.5" customHeight="1" x14ac:dyDescent="0.2">
      <c r="A93" s="219"/>
      <c r="B93" s="298" t="s">
        <v>2066</v>
      </c>
      <c r="C93" s="179"/>
      <c r="E93" s="260"/>
      <c r="F93" s="296"/>
      <c r="H93" s="297"/>
    </row>
    <row r="94" spans="1:10" s="181" customFormat="1" x14ac:dyDescent="0.2">
      <c r="A94" s="299" t="s">
        <v>1398</v>
      </c>
      <c r="B94" s="300"/>
      <c r="C94" s="300"/>
      <c r="D94" s="301"/>
      <c r="E94" s="302"/>
      <c r="F94" s="303"/>
      <c r="G94" s="304"/>
      <c r="H94" s="305"/>
      <c r="I94" s="306"/>
    </row>
    <row r="95" spans="1:10" s="181" customFormat="1" x14ac:dyDescent="0.2">
      <c r="A95" s="307"/>
      <c r="B95" s="308" t="s">
        <v>1739</v>
      </c>
      <c r="C95" s="309"/>
      <c r="D95" s="310"/>
      <c r="E95" s="304"/>
      <c r="F95" s="304"/>
      <c r="G95" s="304"/>
      <c r="H95" s="304"/>
      <c r="I95" s="304"/>
    </row>
    <row r="96" spans="1:10" s="181" customFormat="1" x14ac:dyDescent="0.2">
      <c r="A96" s="307" t="s">
        <v>1231</v>
      </c>
      <c r="B96" s="345" t="s">
        <v>1741</v>
      </c>
      <c r="C96" s="309"/>
      <c r="D96" s="311"/>
      <c r="E96" s="311"/>
      <c r="F96" s="311"/>
      <c r="G96" s="311"/>
      <c r="H96" s="311"/>
      <c r="I96" s="304"/>
    </row>
    <row r="97" spans="1:9" s="181" customFormat="1" x14ac:dyDescent="0.2">
      <c r="A97" s="307"/>
      <c r="B97" s="308" t="s">
        <v>1740</v>
      </c>
      <c r="C97" s="309"/>
      <c r="D97" s="311"/>
      <c r="E97" s="311"/>
      <c r="F97" s="311"/>
      <c r="G97" s="311"/>
      <c r="H97" s="311"/>
      <c r="I97" s="304"/>
    </row>
    <row r="98" spans="1:9" s="181" customFormat="1" x14ac:dyDescent="0.2">
      <c r="A98" s="308"/>
      <c r="B98" s="312" t="s">
        <v>1742</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1228</v>
      </c>
      <c r="C101" s="310"/>
      <c r="D101" s="310"/>
      <c r="E101" s="304"/>
      <c r="F101" s="304"/>
      <c r="G101" s="304"/>
      <c r="H101" s="304"/>
      <c r="I101" s="304"/>
    </row>
    <row r="102" spans="1:9" s="181" customFormat="1" x14ac:dyDescent="0.2">
      <c r="A102" s="316"/>
      <c r="B102" s="2088"/>
      <c r="C102" s="2089"/>
      <c r="D102" s="2089"/>
      <c r="E102" s="2089"/>
      <c r="F102" s="2089"/>
      <c r="G102" s="2089"/>
      <c r="H102" s="2089"/>
      <c r="I102" s="2090"/>
    </row>
    <row r="103" spans="1:9" s="181" customFormat="1" ht="11.25" customHeight="1" x14ac:dyDescent="0.2">
      <c r="A103" s="316"/>
      <c r="B103" s="2091"/>
      <c r="C103" s="2092"/>
      <c r="D103" s="2092"/>
      <c r="E103" s="2092"/>
      <c r="F103" s="2092"/>
      <c r="G103" s="2092"/>
      <c r="H103" s="2092"/>
      <c r="I103" s="2093"/>
    </row>
    <row r="104" spans="1:9" s="181" customFormat="1" ht="11.25" customHeight="1" x14ac:dyDescent="0.2">
      <c r="A104" s="316"/>
      <c r="B104" s="2091"/>
      <c r="C104" s="2092"/>
      <c r="D104" s="2092"/>
      <c r="E104" s="2092"/>
      <c r="F104" s="2092"/>
      <c r="G104" s="2092"/>
      <c r="H104" s="2092"/>
      <c r="I104" s="2093"/>
    </row>
    <row r="105" spans="1:9" s="181" customFormat="1" x14ac:dyDescent="0.2">
      <c r="A105" s="316"/>
      <c r="B105" s="2091"/>
      <c r="C105" s="2092"/>
      <c r="D105" s="2092"/>
      <c r="E105" s="2092"/>
      <c r="F105" s="2092"/>
      <c r="G105" s="2092"/>
      <c r="H105" s="2092"/>
      <c r="I105" s="2093"/>
    </row>
    <row r="106" spans="1:9" s="181" customFormat="1" ht="11.25" customHeight="1" x14ac:dyDescent="0.2">
      <c r="A106" s="316"/>
      <c r="B106" s="2091"/>
      <c r="C106" s="2092"/>
      <c r="D106" s="2092"/>
      <c r="E106" s="2092"/>
      <c r="F106" s="2092"/>
      <c r="G106" s="2092"/>
      <c r="H106" s="2092"/>
      <c r="I106" s="2093"/>
    </row>
    <row r="107" spans="1:9" s="181" customFormat="1" ht="11.25" customHeight="1" x14ac:dyDescent="0.2">
      <c r="A107" s="316"/>
      <c r="B107" s="2091"/>
      <c r="C107" s="2092"/>
      <c r="D107" s="2092"/>
      <c r="E107" s="2092"/>
      <c r="F107" s="2092"/>
      <c r="G107" s="2092"/>
      <c r="H107" s="2092"/>
      <c r="I107" s="2093"/>
    </row>
    <row r="108" spans="1:9" s="181" customFormat="1" ht="11.25" customHeight="1" x14ac:dyDescent="0.2">
      <c r="A108" s="316"/>
      <c r="B108" s="2091"/>
      <c r="C108" s="2092"/>
      <c r="D108" s="2092"/>
      <c r="E108" s="2092"/>
      <c r="F108" s="2092"/>
      <c r="G108" s="2092"/>
      <c r="H108" s="2092"/>
      <c r="I108" s="2093"/>
    </row>
    <row r="109" spans="1:9" s="181" customFormat="1" ht="11.25" customHeight="1" x14ac:dyDescent="0.2">
      <c r="A109" s="316"/>
      <c r="B109" s="2091"/>
      <c r="C109" s="2092"/>
      <c r="D109" s="2092"/>
      <c r="E109" s="2092"/>
      <c r="F109" s="2092"/>
      <c r="G109" s="2092"/>
      <c r="H109" s="2092"/>
      <c r="I109" s="2093"/>
    </row>
    <row r="110" spans="1:9" s="181" customFormat="1" ht="11.25" customHeight="1" x14ac:dyDescent="0.2">
      <c r="A110" s="316"/>
      <c r="B110" s="2091"/>
      <c r="C110" s="2092"/>
      <c r="D110" s="2092"/>
      <c r="E110" s="2092"/>
      <c r="F110" s="2092"/>
      <c r="G110" s="2092"/>
      <c r="H110" s="2092"/>
      <c r="I110" s="2093"/>
    </row>
    <row r="111" spans="1:9" s="181" customFormat="1" ht="11.25" customHeight="1" x14ac:dyDescent="0.2">
      <c r="A111" s="316"/>
      <c r="B111" s="2091"/>
      <c r="C111" s="2092"/>
      <c r="D111" s="2092"/>
      <c r="E111" s="2092"/>
      <c r="F111" s="2092"/>
      <c r="G111" s="2092"/>
      <c r="H111" s="2092"/>
      <c r="I111" s="2093"/>
    </row>
    <row r="112" spans="1:9" s="181" customFormat="1" ht="11.25" customHeight="1" x14ac:dyDescent="0.2">
      <c r="A112" s="316"/>
      <c r="B112" s="2094"/>
      <c r="C112" s="2095"/>
      <c r="D112" s="2095"/>
      <c r="E112" s="2095"/>
      <c r="F112" s="2095"/>
      <c r="G112" s="2095"/>
      <c r="H112" s="2095"/>
      <c r="I112" s="2096"/>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097" t="s">
        <v>2094</v>
      </c>
      <c r="D114" s="2097"/>
      <c r="E114" s="304"/>
      <c r="F114" s="304"/>
      <c r="G114" s="304"/>
      <c r="H114" s="304"/>
      <c r="I114" s="304"/>
    </row>
    <row r="115" spans="1:9" s="181" customFormat="1" ht="11.25" customHeight="1" x14ac:dyDescent="0.2">
      <c r="A115" s="316"/>
      <c r="B115" s="316"/>
      <c r="C115" s="318"/>
      <c r="D115" s="319" t="s">
        <v>1229</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098" t="s">
        <v>1397</v>
      </c>
      <c r="D117" s="2099"/>
      <c r="E117" s="2100"/>
      <c r="F117" s="2100"/>
      <c r="G117" s="2100"/>
      <c r="H117" s="2100"/>
      <c r="I117" s="304"/>
    </row>
    <row r="118" spans="1:9" s="181" customFormat="1" ht="24" customHeight="1" x14ac:dyDescent="0.2">
      <c r="A118" s="316"/>
      <c r="B118" s="316"/>
      <c r="C118" s="316"/>
      <c r="D118" s="323"/>
      <c r="E118" s="322"/>
      <c r="F118" s="324"/>
      <c r="G118" s="1863"/>
      <c r="H118" s="322"/>
      <c r="I118" s="304"/>
    </row>
    <row r="119" spans="1:9" s="181" customFormat="1" ht="11.25" customHeight="1" x14ac:dyDescent="0.2">
      <c r="A119" s="325"/>
      <c r="B119" s="325"/>
      <c r="C119" s="326"/>
      <c r="D119" s="327" t="s">
        <v>379</v>
      </c>
      <c r="E119" s="310"/>
      <c r="F119" s="1862" t="s">
        <v>2019</v>
      </c>
      <c r="G119" s="328"/>
      <c r="H119" s="328"/>
      <c r="I119" s="304"/>
    </row>
    <row r="120" spans="1:9" x14ac:dyDescent="0.2">
      <c r="A120" s="329"/>
      <c r="B120" s="180"/>
      <c r="C120" s="330"/>
      <c r="D120" s="256"/>
      <c r="E120" s="256"/>
      <c r="F120" s="256"/>
      <c r="G120" s="256"/>
      <c r="H120" s="256"/>
      <c r="I120" s="304"/>
    </row>
    <row r="121" spans="1:9" x14ac:dyDescent="0.2">
      <c r="A121" s="329"/>
      <c r="B121" s="1510" t="s">
        <v>1690</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algorithmName="SHA-512" hashValue="E4tiOxUuI9L+ViIlHOQANXJVY/cG7ruqD52/WqWITbsC3i6Jh21Zwl6PQk3CzezU9wN7WXKe4ZrqobWBvhw+gg==" saltValue="z8qYWN8V9R59DB9Ylq882g==" spinCount="100000" sheet="1" objects="1" scenarios="1"/>
  <mergeCells count="9">
    <mergeCell ref="A2:J2"/>
    <mergeCell ref="B102:I112"/>
    <mergeCell ref="C114:D114"/>
    <mergeCell ref="C117:H117"/>
    <mergeCell ref="A35:I35"/>
    <mergeCell ref="A47:I47"/>
    <mergeCell ref="A70:I70"/>
    <mergeCell ref="A83:D83"/>
    <mergeCell ref="B57:J67"/>
  </mergeCells>
  <phoneticPr fontId="13"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R44"/>
  <sheetViews>
    <sheetView showGridLines="0" zoomScale="110" zoomScaleNormal="110" workbookViewId="0">
      <selection sqref="A1:C1"/>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118"/>
      <c r="B1" s="2119"/>
      <c r="C1" s="2119"/>
      <c r="D1" s="384"/>
      <c r="E1" s="384"/>
      <c r="F1" s="384"/>
      <c r="G1" s="384"/>
      <c r="H1" s="384"/>
      <c r="I1" s="384"/>
      <c r="J1" s="384"/>
      <c r="K1" s="384"/>
      <c r="L1" s="384"/>
      <c r="M1" s="384"/>
      <c r="N1" s="384"/>
      <c r="O1" s="2118"/>
      <c r="P1" s="2119"/>
      <c r="Q1" s="2119"/>
    </row>
    <row r="2" spans="1:18" ht="15" x14ac:dyDescent="0.2">
      <c r="A2" s="2122" t="s">
        <v>577</v>
      </c>
      <c r="B2" s="2122"/>
      <c r="C2" s="2122"/>
      <c r="D2" s="2122"/>
      <c r="E2" s="2122"/>
      <c r="F2" s="2122"/>
      <c r="G2" s="2122"/>
      <c r="H2" s="2122"/>
      <c r="I2" s="2122"/>
      <c r="J2" s="2122"/>
      <c r="K2" s="2122"/>
      <c r="L2" s="2122"/>
      <c r="M2" s="2122"/>
      <c r="N2" s="2122"/>
      <c r="O2" s="2122"/>
      <c r="P2" s="2122"/>
      <c r="Q2" s="2122"/>
      <c r="R2" s="2122"/>
    </row>
    <row r="3" spans="1:18" ht="12.75" x14ac:dyDescent="0.2">
      <c r="A3" s="2123" t="s">
        <v>1480</v>
      </c>
      <c r="B3" s="2123"/>
      <c r="C3" s="2123"/>
      <c r="D3" s="2123"/>
      <c r="E3" s="2123"/>
      <c r="F3" s="2123"/>
      <c r="G3" s="2123"/>
      <c r="H3" s="2123"/>
      <c r="I3" s="2123"/>
      <c r="J3" s="2123"/>
      <c r="K3" s="2123"/>
      <c r="L3" s="2123"/>
      <c r="M3" s="2123"/>
      <c r="N3" s="2123"/>
      <c r="O3" s="2123"/>
      <c r="P3" s="2123"/>
      <c r="Q3" s="2123"/>
      <c r="R3" s="2123"/>
    </row>
    <row r="4" spans="1:18" x14ac:dyDescent="0.2">
      <c r="A4" s="2124" t="s">
        <v>1635</v>
      </c>
      <c r="B4" s="2124"/>
      <c r="C4" s="2124"/>
      <c r="D4" s="2124"/>
      <c r="E4" s="2124"/>
      <c r="F4" s="2124"/>
      <c r="G4" s="2124"/>
      <c r="H4" s="2124"/>
      <c r="I4" s="2124"/>
      <c r="J4" s="2124"/>
      <c r="K4" s="2124"/>
      <c r="L4" s="2124"/>
      <c r="M4" s="2124"/>
      <c r="N4" s="2124"/>
      <c r="O4" s="2124"/>
      <c r="P4" s="2124"/>
      <c r="Q4" s="2124"/>
      <c r="R4" s="2124"/>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1188</v>
      </c>
      <c r="D7" s="390" t="str">
        <f>COVER!A17</f>
        <v>RANTOUL CITY SCHOOLS</v>
      </c>
      <c r="E7" s="391"/>
      <c r="G7" s="252"/>
      <c r="H7" s="387"/>
      <c r="I7" s="387"/>
      <c r="J7" s="387"/>
      <c r="K7" s="387"/>
      <c r="L7" s="329"/>
      <c r="M7" s="329"/>
      <c r="N7" s="329"/>
      <c r="O7" s="329"/>
      <c r="P7" s="329"/>
    </row>
    <row r="8" spans="1:18" ht="12.75" x14ac:dyDescent="0.2">
      <c r="A8" s="329"/>
      <c r="B8" s="329"/>
      <c r="C8" s="389" t="s">
        <v>1187</v>
      </c>
      <c r="D8" s="392" t="str">
        <f>COVER!A13</f>
        <v>09-010-1370-02</v>
      </c>
      <c r="E8" s="393"/>
      <c r="G8" s="329"/>
      <c r="H8" s="329"/>
      <c r="I8" s="329"/>
      <c r="J8" s="329"/>
      <c r="K8" s="329"/>
      <c r="L8" s="329"/>
      <c r="M8" s="329"/>
      <c r="N8" s="329"/>
      <c r="O8" s="329"/>
      <c r="P8" s="329"/>
    </row>
    <row r="9" spans="1:18" ht="12.75" x14ac:dyDescent="0.2">
      <c r="A9" s="329"/>
      <c r="B9" s="329"/>
      <c r="C9" s="389" t="s">
        <v>737</v>
      </c>
      <c r="D9" s="394" t="str">
        <f>COVER!A15</f>
        <v>CHAMPAIGN</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1040</v>
      </c>
      <c r="C11" s="398" t="s">
        <v>1203</v>
      </c>
      <c r="D11" s="216"/>
      <c r="E11" s="216"/>
      <c r="F11" s="216"/>
      <c r="G11" s="216"/>
      <c r="H11" s="336" t="s">
        <v>158</v>
      </c>
      <c r="I11" s="336"/>
      <c r="J11" s="336"/>
      <c r="K11" s="399" t="s">
        <v>1204</v>
      </c>
      <c r="L11" s="336"/>
      <c r="M11" s="336" t="s">
        <v>1205</v>
      </c>
      <c r="N11" s="336"/>
      <c r="O11" s="400" t="str">
        <f>IF(K12&gt;0.24999,"4",IF(K12&gt;0.09999,"3",IF(K12&gt;=0,"2",1)))</f>
        <v>4</v>
      </c>
      <c r="P11" s="216"/>
      <c r="Q11" s="216"/>
    </row>
    <row r="12" spans="1:18" s="408" customFormat="1" ht="11.25" x14ac:dyDescent="0.2">
      <c r="A12" s="218"/>
      <c r="B12" s="401"/>
      <c r="C12" s="218" t="s">
        <v>1432</v>
      </c>
      <c r="D12" s="218"/>
      <c r="E12" s="218"/>
      <c r="F12" s="218" t="s">
        <v>1152</v>
      </c>
      <c r="G12" s="402"/>
      <c r="H12" s="403">
        <f>SUM('Acct Summary 7-8'!C81+'Acct Summary 7-8'!D81+'Acct Summary 7-8'!F81+'Acct Summary 7-8'!I81+IF('Acct Summary 7-8'!G81&lt;0,'Acct Summary 7-8'!G81,"0")+IF('Acct Summary 7-8'!J81&lt;0,'Acct Summary 7-8'!J81,"0"))</f>
        <v>10748547</v>
      </c>
      <c r="I12" s="404"/>
      <c r="J12" s="404"/>
      <c r="K12" s="405">
        <f>TRUNC((H12/H13*100000),5)/100000</f>
        <v>0.53361398430000007</v>
      </c>
      <c r="L12" s="406"/>
      <c r="M12" s="360" t="s">
        <v>1206</v>
      </c>
      <c r="N12" s="360"/>
      <c r="O12" s="407">
        <v>0.35</v>
      </c>
      <c r="P12" s="218"/>
      <c r="Q12" s="218"/>
    </row>
    <row r="13" spans="1:18" s="408" customFormat="1" ht="12.75" x14ac:dyDescent="0.2">
      <c r="A13" s="218"/>
      <c r="B13" s="401"/>
      <c r="C13" s="2120" t="s">
        <v>1391</v>
      </c>
      <c r="D13" s="2121"/>
      <c r="E13" s="218"/>
      <c r="F13" s="409" t="s">
        <v>826</v>
      </c>
      <c r="G13" s="402"/>
      <c r="H13" s="403">
        <f>SUM('Acct Summary 7-8'!C8+'Acct Summary 7-8'!D8+'Acct Summary 7-8'!F8+'Acct Summary 7-8'!I8)+H14</f>
        <v>20142926</v>
      </c>
      <c r="I13" s="404"/>
      <c r="J13" s="404"/>
      <c r="K13" s="410"/>
      <c r="L13" s="218"/>
      <c r="M13" s="360" t="s">
        <v>1207</v>
      </c>
      <c r="N13" s="360"/>
      <c r="O13" s="411">
        <f>(O11*O12)</f>
        <v>1.4</v>
      </c>
      <c r="P13" s="218"/>
      <c r="Q13" s="218"/>
      <c r="R13" s="412"/>
    </row>
    <row r="14" spans="1:18" s="408" customFormat="1" ht="12.75" x14ac:dyDescent="0.2">
      <c r="A14" s="218"/>
      <c r="B14" s="401"/>
      <c r="C14" s="240" t="s">
        <v>1464</v>
      </c>
      <c r="D14" s="413"/>
      <c r="E14" s="218"/>
      <c r="F14" s="409" t="s">
        <v>828</v>
      </c>
      <c r="G14" s="402"/>
      <c r="H14" s="403">
        <f>-SUM('Acct Summary 7-8'!C54:D56,'Acct Summary 7-8'!C58:D60,'Acct Summary 7-8'!C62:D64,'Acct Summary 7-8'!C66:D68,'Acct Summary 7-8'!C70:D72,'Acct Summary 7-8'!C74:D74)</f>
        <v>0</v>
      </c>
      <c r="I14" s="404"/>
      <c r="J14" s="404"/>
      <c r="K14" s="410"/>
      <c r="L14" s="218"/>
      <c r="M14" s="360"/>
      <c r="N14" s="360"/>
      <c r="O14" s="411"/>
      <c r="P14" s="218"/>
      <c r="Q14" s="218"/>
      <c r="R14" s="412"/>
    </row>
    <row r="15" spans="1:18" ht="11.45" customHeight="1" x14ac:dyDescent="0.2">
      <c r="A15" s="216"/>
      <c r="B15" s="396"/>
      <c r="C15" s="218" t="s">
        <v>1478</v>
      </c>
      <c r="D15" s="216"/>
      <c r="E15" s="216"/>
      <c r="F15" s="218"/>
      <c r="G15" s="414"/>
      <c r="H15" s="395"/>
      <c r="I15" s="216"/>
      <c r="J15" s="216"/>
      <c r="K15" s="395"/>
      <c r="L15" s="216"/>
      <c r="M15" s="415"/>
      <c r="N15" s="415"/>
      <c r="O15" s="216"/>
      <c r="P15" s="216"/>
      <c r="Q15" s="216"/>
      <c r="R15" s="384"/>
    </row>
    <row r="16" spans="1:18" ht="12.75" x14ac:dyDescent="0.2">
      <c r="A16" s="216"/>
      <c r="B16" s="397" t="s">
        <v>1041</v>
      </c>
      <c r="C16" s="398" t="s">
        <v>1208</v>
      </c>
      <c r="D16" s="216"/>
      <c r="E16" s="216"/>
      <c r="F16" s="216"/>
      <c r="G16" s="216"/>
      <c r="H16" s="336" t="s">
        <v>158</v>
      </c>
      <c r="I16" s="336"/>
      <c r="J16" s="336"/>
      <c r="K16" s="399" t="s">
        <v>1204</v>
      </c>
      <c r="L16" s="336"/>
      <c r="M16" s="336" t="s">
        <v>1205</v>
      </c>
      <c r="N16" s="336"/>
      <c r="O16" s="400">
        <f>IF(K17&gt;1.2,"1",IF(K17&gt;1.1,"2",IF(K17&gt;1,"3",4)))</f>
        <v>4</v>
      </c>
      <c r="P16" s="216"/>
      <c r="R16" s="384"/>
    </row>
    <row r="17" spans="1:18" s="408" customFormat="1" ht="11.25" x14ac:dyDescent="0.2">
      <c r="A17" s="218"/>
      <c r="B17" s="401"/>
      <c r="C17" s="218" t="s">
        <v>830</v>
      </c>
      <c r="D17" s="218"/>
      <c r="E17" s="218"/>
      <c r="F17" s="218" t="s">
        <v>464</v>
      </c>
      <c r="G17" s="402"/>
      <c r="H17" s="403">
        <f>SUM('Acct Summary 7-8'!C17+'Acct Summary 7-8'!D17+'Acct Summary 7-8'!F17)</f>
        <v>18726108</v>
      </c>
      <c r="I17" s="404"/>
      <c r="J17" s="416"/>
      <c r="K17" s="405">
        <f>TRUNC((H17/H18*100000),5)/100000</f>
        <v>0.92966175809999996</v>
      </c>
      <c r="L17" s="406"/>
      <c r="M17" s="417" t="s">
        <v>1233</v>
      </c>
      <c r="O17" s="418" t="str">
        <f>IF(AND(O16="2", J20 &gt; 2),"1",IF(AND(O16 = "1", J20 &gt; 2),"2",IF(AND(O16="1", J20 &gt;1),"1","0")))</f>
        <v>0</v>
      </c>
      <c r="P17" s="218"/>
    </row>
    <row r="18" spans="1:18" s="408" customFormat="1" ht="11.25" x14ac:dyDescent="0.2">
      <c r="A18" s="218"/>
      <c r="B18" s="401"/>
      <c r="C18" s="2120" t="s">
        <v>1384</v>
      </c>
      <c r="D18" s="2121"/>
      <c r="E18" s="218"/>
      <c r="F18" s="419" t="s">
        <v>827</v>
      </c>
      <c r="G18" s="402"/>
      <c r="H18" s="403">
        <f>SUM('Acct Summary 7-8'!C8+'Acct Summary 7-8'!D8+'Acct Summary 7-8'!F8+'Acct Summary 7-8'!I8)+H19</f>
        <v>20142926</v>
      </c>
      <c r="I18" s="404"/>
      <c r="J18" s="404"/>
      <c r="K18" s="410"/>
      <c r="L18" s="218"/>
      <c r="M18" s="360" t="s">
        <v>1206</v>
      </c>
      <c r="N18" s="360"/>
      <c r="O18" s="410">
        <v>0.35</v>
      </c>
      <c r="P18" s="218"/>
    </row>
    <row r="19" spans="1:18" s="408" customFormat="1" ht="11.25" x14ac:dyDescent="0.2">
      <c r="A19" s="218"/>
      <c r="B19" s="401"/>
      <c r="C19" s="240" t="s">
        <v>1464</v>
      </c>
      <c r="D19" s="413"/>
      <c r="E19" s="218"/>
      <c r="F19" s="419" t="s">
        <v>828</v>
      </c>
      <c r="G19" s="402"/>
      <c r="H19" s="403">
        <f>-SUM('Acct Summary 7-8'!C54:D56,'Acct Summary 7-8'!C58:D60,'Acct Summary 7-8'!C62:D64,'Acct Summary 7-8'!C66:D68,'Acct Summary 7-8'!C70:D72,'Acct Summary 7-8'!C74:D74)</f>
        <v>0</v>
      </c>
      <c r="I19" s="404"/>
      <c r="J19" s="404"/>
      <c r="K19" s="410"/>
      <c r="L19" s="218"/>
      <c r="M19" s="360"/>
      <c r="N19" s="360"/>
      <c r="O19" s="410"/>
      <c r="P19" s="218"/>
    </row>
    <row r="20" spans="1:18" s="408" customFormat="1" ht="12.75" x14ac:dyDescent="0.2">
      <c r="A20" s="218"/>
      <c r="B20" s="401"/>
      <c r="C20" s="218" t="s">
        <v>1478</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1207</v>
      </c>
      <c r="N20" s="360"/>
      <c r="O20" s="411">
        <f>(O16+O17)*O18</f>
        <v>1.4</v>
      </c>
      <c r="P20" s="218"/>
      <c r="R20" s="412"/>
    </row>
    <row r="21" spans="1:18" ht="11.45" customHeight="1" x14ac:dyDescent="0.2">
      <c r="A21" s="216"/>
      <c r="B21" s="396"/>
      <c r="C21" s="218" t="s">
        <v>496</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627</v>
      </c>
      <c r="C23" s="398" t="s">
        <v>1209</v>
      </c>
      <c r="D23" s="216"/>
      <c r="E23" s="216"/>
      <c r="F23" s="216"/>
      <c r="G23" s="216"/>
      <c r="H23" s="336" t="s">
        <v>158</v>
      </c>
      <c r="I23" s="336"/>
      <c r="J23" s="336"/>
      <c r="K23" s="399" t="s">
        <v>1210</v>
      </c>
      <c r="L23" s="336"/>
      <c r="M23" s="336" t="s">
        <v>1205</v>
      </c>
      <c r="N23" s="336"/>
      <c r="O23" s="400" t="str">
        <f>IF(K24&gt;=180,"4",IF(K24&gt;=90,"3",IF(K24&gt;=30,"2",1)))</f>
        <v>4</v>
      </c>
      <c r="P23" s="216"/>
      <c r="R23" s="384"/>
    </row>
    <row r="24" spans="1:18" s="408" customFormat="1" ht="11.25" x14ac:dyDescent="0.2">
      <c r="A24" s="218"/>
      <c r="B24" s="401"/>
      <c r="C24" s="2117" t="s">
        <v>1479</v>
      </c>
      <c r="D24" s="2117"/>
      <c r="E24" s="218"/>
      <c r="F24" s="218" t="s">
        <v>465</v>
      </c>
      <c r="G24" s="402"/>
      <c r="H24" s="403">
        <f>SUM('Assets-Liab 5-6'!C4+'Assets-Liab 5-6'!D4+'Assets-Liab 5-6'!F4+'Assets-Liab 5-6'!I4+'Assets-Liab 5-6'!C5+'Assets-Liab 5-6'!D5+'Assets-Liab 5-6'!F5+'Assets-Liab 5-6'!I5)</f>
        <v>10769060</v>
      </c>
      <c r="I24" s="422"/>
      <c r="J24" s="422"/>
      <c r="K24" s="423">
        <f>TRUNC(((H24/H25*100000)/100000),2)</f>
        <v>207.02</v>
      </c>
      <c r="L24" s="424"/>
      <c r="M24" s="360" t="s">
        <v>1206</v>
      </c>
      <c r="N24" s="360"/>
      <c r="O24" s="411">
        <v>0.1</v>
      </c>
      <c r="P24" s="218"/>
    </row>
    <row r="25" spans="1:18" s="408" customFormat="1" ht="12.75" x14ac:dyDescent="0.2">
      <c r="A25" s="218"/>
      <c r="B25" s="401"/>
      <c r="C25" s="218" t="s">
        <v>831</v>
      </c>
      <c r="D25" s="218"/>
      <c r="E25" s="218"/>
      <c r="F25" s="218" t="s">
        <v>466</v>
      </c>
      <c r="G25" s="402"/>
      <c r="H25" s="423">
        <f>ROUND((H17/360),5)</f>
        <v>52016.966670000002</v>
      </c>
      <c r="I25" s="425"/>
      <c r="J25" s="425"/>
      <c r="K25" s="410"/>
      <c r="L25" s="218"/>
      <c r="M25" s="360" t="s">
        <v>1207</v>
      </c>
      <c r="N25" s="360"/>
      <c r="O25" s="411">
        <f>O23*O24</f>
        <v>0.4</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511</v>
      </c>
      <c r="C27" s="398"/>
      <c r="D27" s="216"/>
      <c r="E27" s="216"/>
      <c r="F27" s="216"/>
      <c r="G27" s="216"/>
      <c r="H27" s="336" t="s">
        <v>158</v>
      </c>
      <c r="I27" s="336"/>
      <c r="J27" s="336"/>
      <c r="K27" s="399" t="s">
        <v>512</v>
      </c>
      <c r="L27" s="336"/>
      <c r="M27" s="336" t="s">
        <v>1205</v>
      </c>
      <c r="N27" s="336"/>
      <c r="O27" s="426" t="str">
        <f>IF(K28&gt;=75,"4",IF(K28&gt;=50,"3",IF(K28&gt;=25,"2",1)))</f>
        <v>4</v>
      </c>
      <c r="P27" s="216"/>
    </row>
    <row r="28" spans="1:18" s="408" customFormat="1" ht="11.25" x14ac:dyDescent="0.2">
      <c r="A28" s="218"/>
      <c r="B28" s="401"/>
      <c r="C28" s="218" t="s">
        <v>2068</v>
      </c>
      <c r="D28" s="218"/>
      <c r="E28" s="218"/>
      <c r="F28" s="218" t="s">
        <v>464</v>
      </c>
      <c r="G28" s="402"/>
      <c r="H28" s="427">
        <f>SUM('Short-Term Long-Term Debt 24'!F6,'Short-Term Long-Term Debt 24'!F7,'Short-Term Long-Term Debt 24'!F11)</f>
        <v>0</v>
      </c>
      <c r="I28" s="428"/>
      <c r="J28" s="428"/>
      <c r="K28" s="423">
        <f>TRUNC(100-((((H28/H29*100))*100)/100),2)</f>
        <v>100</v>
      </c>
      <c r="L28" s="429"/>
      <c r="M28" s="360" t="s">
        <v>1206</v>
      </c>
      <c r="N28" s="360"/>
      <c r="O28" s="430">
        <v>0.1</v>
      </c>
      <c r="P28" s="218"/>
    </row>
    <row r="29" spans="1:18" s="408" customFormat="1" ht="11.25" x14ac:dyDescent="0.2">
      <c r="A29" s="218"/>
      <c r="B29" s="401"/>
      <c r="C29" s="218" t="s">
        <v>829</v>
      </c>
      <c r="D29" s="218"/>
      <c r="E29" s="218"/>
      <c r="F29" s="218" t="s">
        <v>833</v>
      </c>
      <c r="G29" s="402"/>
      <c r="H29" s="431">
        <f>ROUND((0.85*'FP Info 3'!J7*'FP Info 3'!J10),5)</f>
        <v>3037882.76431</v>
      </c>
      <c r="I29" s="428"/>
      <c r="J29" s="428"/>
      <c r="K29" s="410"/>
      <c r="L29" s="218"/>
      <c r="M29" s="360" t="s">
        <v>1207</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583</v>
      </c>
      <c r="C31" s="398"/>
      <c r="D31" s="216"/>
      <c r="E31" s="216"/>
      <c r="F31" s="216"/>
      <c r="G31" s="414"/>
      <c r="H31" s="336" t="s">
        <v>158</v>
      </c>
      <c r="I31" s="336"/>
      <c r="J31" s="336"/>
      <c r="K31" s="399" t="s">
        <v>512</v>
      </c>
      <c r="L31" s="336"/>
      <c r="M31" s="336" t="s">
        <v>1205</v>
      </c>
      <c r="N31" s="336"/>
      <c r="O31" s="400">
        <f>IF(K32&gt;=75,"4",IF(K32&gt;=50,"3",IF(K32&gt;=25,"2",1)))</f>
        <v>1</v>
      </c>
      <c r="P31" s="216"/>
    </row>
    <row r="32" spans="1:18" s="408" customFormat="1" ht="11.25" x14ac:dyDescent="0.2">
      <c r="A32" s="218"/>
      <c r="B32" s="401"/>
      <c r="C32" s="218" t="s">
        <v>902</v>
      </c>
      <c r="D32" s="218"/>
      <c r="E32" s="218"/>
      <c r="F32" s="218"/>
      <c r="G32" s="402"/>
      <c r="H32" s="403">
        <f>'FP Info 3'!H37</f>
        <v>20320909</v>
      </c>
      <c r="I32" s="420"/>
      <c r="J32" s="420"/>
      <c r="K32" s="423">
        <f>TRUNC(100-((((H32/H33*100))*100)/100),2)</f>
        <v>-201.84</v>
      </c>
      <c r="L32" s="406"/>
      <c r="M32" s="360" t="s">
        <v>1206</v>
      </c>
      <c r="N32" s="360"/>
      <c r="O32" s="434">
        <v>0.1</v>
      </c>
    </row>
    <row r="33" spans="1:17" s="408" customFormat="1" ht="11.25" x14ac:dyDescent="0.2">
      <c r="A33" s="218"/>
      <c r="B33" s="401"/>
      <c r="C33" s="218" t="s">
        <v>832</v>
      </c>
      <c r="D33" s="218"/>
      <c r="E33" s="218"/>
      <c r="F33" s="218"/>
      <c r="G33" s="402"/>
      <c r="H33" s="403">
        <f>IF('FP Info 3'!H31="Enter X in a or b"," ",'FP Info 3'!H31)</f>
        <v>6732312.3360000001</v>
      </c>
      <c r="I33" s="420"/>
      <c r="J33" s="420"/>
      <c r="K33" s="403"/>
      <c r="L33" s="218"/>
      <c r="M33" s="435" t="s">
        <v>1207</v>
      </c>
      <c r="N33" s="435"/>
      <c r="O33" s="434">
        <f>(O31*O32)</f>
        <v>0.1</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313</v>
      </c>
      <c r="N35" s="414"/>
      <c r="O35" s="439">
        <f>(O13+O20+O25+O29+O33)</f>
        <v>3.6999999999999997</v>
      </c>
      <c r="P35" s="440" t="s">
        <v>205</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1691</v>
      </c>
      <c r="N37" s="414"/>
      <c r="O37" s="442" t="str">
        <f>IF(O35&gt;3.53,"RECOGNITION",IF(O35&gt;3.07,"REVIEW ",IF(O35&gt;2.61,"WARNING","WATCH")))</f>
        <v>RECOGNITION</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205</v>
      </c>
      <c r="H39" s="444" t="s">
        <v>1110</v>
      </c>
      <c r="I39" s="408"/>
      <c r="J39" s="408"/>
      <c r="K39" s="410"/>
      <c r="L39" s="408"/>
      <c r="M39" s="408"/>
      <c r="N39" s="408"/>
      <c r="O39" s="218"/>
      <c r="P39" s="216"/>
      <c r="Q39" s="216"/>
    </row>
    <row r="40" spans="1:17" x14ac:dyDescent="0.2">
      <c r="A40" s="216"/>
      <c r="B40" s="396"/>
      <c r="C40" s="216"/>
      <c r="D40" s="216"/>
      <c r="E40" s="216"/>
      <c r="F40" s="216"/>
      <c r="G40" s="445"/>
      <c r="H40" s="446" t="s">
        <v>1586</v>
      </c>
      <c r="I40" s="408"/>
      <c r="J40" s="408"/>
      <c r="K40" s="410"/>
      <c r="L40" s="408"/>
      <c r="M40" s="408"/>
      <c r="N40" s="408"/>
      <c r="O40" s="218"/>
      <c r="P40" s="216"/>
      <c r="Q40" s="216"/>
    </row>
    <row r="41" spans="1:17" x14ac:dyDescent="0.2">
      <c r="G41" s="448"/>
      <c r="H41" s="218" t="s">
        <v>1587</v>
      </c>
      <c r="M41" s="216"/>
      <c r="O41" s="216"/>
      <c r="P41" s="216"/>
      <c r="Q41" s="216"/>
    </row>
    <row r="42" spans="1:17" x14ac:dyDescent="0.2">
      <c r="A42" s="385" t="s">
        <v>1588</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algorithmName="SHA-512" hashValue="8Sakk34+j2sRA0XqiuTwGnhIHfDRJkzv9CvPsQfRMFBTcnGWLEB2DWTzwQGMfLu29uileI0eqjmMfMyTPVSngw==" saltValue="YZ6l0OMBgaX9Qy6V4eZBoQ==" spinCount="100000" sheet="1" objects="1" scenarios="1"/>
  <mergeCells count="8">
    <mergeCell ref="C24:D24"/>
    <mergeCell ref="A1:C1"/>
    <mergeCell ref="O1:Q1"/>
    <mergeCell ref="C18:D18"/>
    <mergeCell ref="C13:D13"/>
    <mergeCell ref="A2:R2"/>
    <mergeCell ref="A3:R3"/>
    <mergeCell ref="A4:R4"/>
  </mergeCells>
  <phoneticPr fontId="13" type="noConversion"/>
  <hyperlinks>
    <hyperlink ref="A4" r:id="rId1" display="www.isbe.net/sfms/p/profile.htm"/>
    <hyperlink ref="A4:R4" r:id="rId2" display="https://www.isbe.net/Pages/School-District-Financial-Profile.aspx"/>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N44"/>
  <sheetViews>
    <sheetView showGridLines="0" defaultGridColor="0" colorId="8" zoomScale="110" zoomScaleNormal="110" workbookViewId="0">
      <pane ySplit="2" topLeftCell="A9" activePane="bottomLeft" state="frozen"/>
      <selection pane="bottomLeft" sqref="A1:A2"/>
    </sheetView>
  </sheetViews>
  <sheetFormatPr defaultColWidth="9.140625" defaultRowHeight="12.75" x14ac:dyDescent="0.2"/>
  <cols>
    <col min="1" max="1" width="47.28515625" style="501" customWidth="1"/>
    <col min="2" max="2" width="4.5703125" style="502" customWidth="1"/>
    <col min="3" max="14" width="13.7109375" style="457" customWidth="1"/>
    <col min="15" max="16384" width="9.140625" style="457"/>
  </cols>
  <sheetData>
    <row r="1" spans="1:14" x14ac:dyDescent="0.2">
      <c r="A1" s="2125" t="s">
        <v>1574</v>
      </c>
      <c r="B1" s="452"/>
      <c r="C1" s="453" t="s">
        <v>445</v>
      </c>
      <c r="D1" s="453" t="s">
        <v>446</v>
      </c>
      <c r="E1" s="453" t="s">
        <v>447</v>
      </c>
      <c r="F1" s="453" t="s">
        <v>448</v>
      </c>
      <c r="G1" s="453" t="s">
        <v>449</v>
      </c>
      <c r="H1" s="453" t="s">
        <v>450</v>
      </c>
      <c r="I1" s="453" t="s">
        <v>451</v>
      </c>
      <c r="J1" s="453" t="s">
        <v>452</v>
      </c>
      <c r="K1" s="453" t="s">
        <v>780</v>
      </c>
      <c r="L1" s="454"/>
      <c r="M1" s="455" t="s">
        <v>592</v>
      </c>
      <c r="N1" s="456"/>
    </row>
    <row r="2" spans="1:14" s="347" customFormat="1" ht="33.75" x14ac:dyDescent="0.2">
      <c r="A2" s="2126"/>
      <c r="B2" s="458" t="s">
        <v>947</v>
      </c>
      <c r="C2" s="459" t="s">
        <v>1217</v>
      </c>
      <c r="D2" s="459" t="s">
        <v>925</v>
      </c>
      <c r="E2" s="459" t="s">
        <v>458</v>
      </c>
      <c r="F2" s="459" t="s">
        <v>157</v>
      </c>
      <c r="G2" s="459" t="s">
        <v>1007</v>
      </c>
      <c r="H2" s="459" t="s">
        <v>457</v>
      </c>
      <c r="I2" s="459" t="s">
        <v>427</v>
      </c>
      <c r="J2" s="459" t="s">
        <v>456</v>
      </c>
      <c r="K2" s="459" t="s">
        <v>159</v>
      </c>
      <c r="L2" s="460" t="s">
        <v>555</v>
      </c>
      <c r="M2" s="461" t="s">
        <v>606</v>
      </c>
      <c r="N2" s="462" t="s">
        <v>556</v>
      </c>
    </row>
    <row r="3" spans="1:14" s="347" customFormat="1" ht="18" customHeight="1" x14ac:dyDescent="0.2">
      <c r="A3" s="2127" t="s">
        <v>1030</v>
      </c>
      <c r="B3" s="2128"/>
      <c r="C3" s="1581"/>
      <c r="D3" s="1582"/>
      <c r="E3" s="1582"/>
      <c r="F3" s="1582"/>
      <c r="G3" s="1582"/>
      <c r="H3" s="1582"/>
      <c r="I3" s="1582"/>
      <c r="J3" s="1582"/>
      <c r="K3" s="1582"/>
      <c r="L3" s="1582"/>
      <c r="M3" s="1583"/>
      <c r="N3" s="1584"/>
    </row>
    <row r="4" spans="1:14" ht="13.5" customHeight="1" x14ac:dyDescent="0.2">
      <c r="A4" s="463" t="s">
        <v>1750</v>
      </c>
      <c r="B4" s="464"/>
      <c r="C4" s="465">
        <v>9146119</v>
      </c>
      <c r="D4" s="466">
        <v>684293</v>
      </c>
      <c r="E4" s="466">
        <v>345428</v>
      </c>
      <c r="F4" s="466">
        <v>392225</v>
      </c>
      <c r="G4" s="466">
        <v>285801</v>
      </c>
      <c r="H4" s="466">
        <v>1059694</v>
      </c>
      <c r="I4" s="466">
        <v>546423</v>
      </c>
      <c r="J4" s="467">
        <v>235748</v>
      </c>
      <c r="K4" s="466">
        <v>154507</v>
      </c>
      <c r="L4" s="466">
        <v>31441</v>
      </c>
      <c r="M4" s="468"/>
      <c r="N4" s="469"/>
    </row>
    <row r="5" spans="1:14" x14ac:dyDescent="0.2">
      <c r="A5" s="463" t="s">
        <v>1049</v>
      </c>
      <c r="B5" s="470">
        <v>120</v>
      </c>
      <c r="C5" s="465"/>
      <c r="D5" s="466"/>
      <c r="E5" s="466"/>
      <c r="F5" s="466"/>
      <c r="G5" s="466"/>
      <c r="H5" s="466">
        <v>1920677</v>
      </c>
      <c r="I5" s="466"/>
      <c r="J5" s="467"/>
      <c r="K5" s="471"/>
      <c r="L5" s="472"/>
      <c r="M5" s="468"/>
      <c r="N5" s="469"/>
    </row>
    <row r="6" spans="1:14" ht="13.5" customHeight="1" x14ac:dyDescent="0.2">
      <c r="A6" s="473" t="s">
        <v>437</v>
      </c>
      <c r="B6" s="470">
        <v>130</v>
      </c>
      <c r="C6" s="465"/>
      <c r="D6" s="466"/>
      <c r="E6" s="466"/>
      <c r="F6" s="466"/>
      <c r="G6" s="471"/>
      <c r="H6" s="471"/>
      <c r="I6" s="466"/>
      <c r="J6" s="474"/>
      <c r="K6" s="471"/>
      <c r="L6" s="475"/>
      <c r="M6" s="468"/>
      <c r="N6" s="469"/>
    </row>
    <row r="7" spans="1:14" ht="13.5" customHeight="1" x14ac:dyDescent="0.2">
      <c r="A7" s="473" t="s">
        <v>438</v>
      </c>
      <c r="B7" s="470">
        <v>140</v>
      </c>
      <c r="C7" s="476"/>
      <c r="D7" s="467"/>
      <c r="E7" s="467"/>
      <c r="F7" s="467"/>
      <c r="G7" s="467"/>
      <c r="H7" s="467"/>
      <c r="I7" s="467"/>
      <c r="J7" s="467"/>
      <c r="K7" s="467"/>
      <c r="L7" s="477"/>
      <c r="M7" s="468"/>
      <c r="N7" s="469"/>
    </row>
    <row r="8" spans="1:14" ht="13.5" customHeight="1" x14ac:dyDescent="0.2">
      <c r="A8" s="473" t="s">
        <v>287</v>
      </c>
      <c r="B8" s="470">
        <v>150</v>
      </c>
      <c r="C8" s="476"/>
      <c r="D8" s="467"/>
      <c r="E8" s="467"/>
      <c r="F8" s="467"/>
      <c r="G8" s="478"/>
      <c r="H8" s="467"/>
      <c r="I8" s="474"/>
      <c r="J8" s="474"/>
      <c r="K8" s="479"/>
      <c r="L8" s="480"/>
      <c r="M8" s="468"/>
      <c r="N8" s="469"/>
    </row>
    <row r="9" spans="1:14" ht="13.5" customHeight="1" x14ac:dyDescent="0.2">
      <c r="A9" s="473" t="s">
        <v>288</v>
      </c>
      <c r="B9" s="470">
        <v>160</v>
      </c>
      <c r="C9" s="476"/>
      <c r="D9" s="467"/>
      <c r="E9" s="467"/>
      <c r="F9" s="467"/>
      <c r="G9" s="467"/>
      <c r="H9" s="478"/>
      <c r="I9" s="467"/>
      <c r="J9" s="467"/>
      <c r="K9" s="467"/>
      <c r="L9" s="467"/>
      <c r="M9" s="468"/>
      <c r="N9" s="469"/>
    </row>
    <row r="10" spans="1:14" ht="13.5" customHeight="1" x14ac:dyDescent="0.2">
      <c r="A10" s="473" t="s">
        <v>1048</v>
      </c>
      <c r="B10" s="470">
        <v>170</v>
      </c>
      <c r="C10" s="465"/>
      <c r="D10" s="466"/>
      <c r="E10" s="467"/>
      <c r="F10" s="466"/>
      <c r="G10" s="478"/>
      <c r="H10" s="481"/>
      <c r="I10" s="467"/>
      <c r="J10" s="467"/>
      <c r="K10" s="481"/>
      <c r="L10" s="481"/>
      <c r="M10" s="469"/>
      <c r="N10" s="469"/>
    </row>
    <row r="11" spans="1:14" ht="13.5" customHeight="1" x14ac:dyDescent="0.2">
      <c r="A11" s="473" t="s">
        <v>289</v>
      </c>
      <c r="B11" s="470">
        <v>180</v>
      </c>
      <c r="C11" s="476"/>
      <c r="D11" s="467"/>
      <c r="E11" s="467"/>
      <c r="F11" s="467"/>
      <c r="G11" s="467"/>
      <c r="H11" s="467"/>
      <c r="I11" s="478"/>
      <c r="J11" s="478"/>
      <c r="K11" s="467"/>
      <c r="L11" s="467"/>
      <c r="M11" s="469"/>
      <c r="N11" s="469"/>
    </row>
    <row r="12" spans="1:14" ht="13.5" customHeight="1" x14ac:dyDescent="0.2">
      <c r="A12" s="473" t="s">
        <v>439</v>
      </c>
      <c r="B12" s="470">
        <v>190</v>
      </c>
      <c r="C12" s="465"/>
      <c r="D12" s="466"/>
      <c r="E12" s="466"/>
      <c r="F12" s="466"/>
      <c r="G12" s="466"/>
      <c r="H12" s="466"/>
      <c r="I12" s="466"/>
      <c r="J12" s="467"/>
      <c r="K12" s="466"/>
      <c r="L12" s="466"/>
      <c r="M12" s="469"/>
      <c r="N12" s="469"/>
    </row>
    <row r="13" spans="1:14" ht="13.5" customHeight="1" thickBot="1" x14ac:dyDescent="0.25">
      <c r="A13" s="1758" t="s">
        <v>665</v>
      </c>
      <c r="B13" s="1731"/>
      <c r="C13" s="1759">
        <f>SUM(C4:C12)</f>
        <v>9146119</v>
      </c>
      <c r="D13" s="1759">
        <f t="shared" ref="D13:L13" si="0">SUM(D4:D12)</f>
        <v>684293</v>
      </c>
      <c r="E13" s="1759">
        <f t="shared" si="0"/>
        <v>345428</v>
      </c>
      <c r="F13" s="1759">
        <f t="shared" si="0"/>
        <v>392225</v>
      </c>
      <c r="G13" s="1759">
        <f t="shared" si="0"/>
        <v>285801</v>
      </c>
      <c r="H13" s="1759">
        <f t="shared" si="0"/>
        <v>2980371</v>
      </c>
      <c r="I13" s="1759">
        <f t="shared" si="0"/>
        <v>546423</v>
      </c>
      <c r="J13" s="1759">
        <f t="shared" si="0"/>
        <v>235748</v>
      </c>
      <c r="K13" s="1759">
        <f t="shared" si="0"/>
        <v>154507</v>
      </c>
      <c r="L13" s="1759">
        <f t="shared" si="0"/>
        <v>31441</v>
      </c>
      <c r="M13" s="468"/>
      <c r="N13" s="469"/>
    </row>
    <row r="14" spans="1:14" ht="18" customHeight="1" thickTop="1" x14ac:dyDescent="0.2">
      <c r="A14" s="2129" t="s">
        <v>149</v>
      </c>
      <c r="B14" s="2130"/>
      <c r="C14" s="1585"/>
      <c r="D14" s="1586"/>
      <c r="E14" s="1586"/>
      <c r="F14" s="1586"/>
      <c r="G14" s="1586"/>
      <c r="H14" s="1586"/>
      <c r="I14" s="1586"/>
      <c r="J14" s="1586"/>
      <c r="K14" s="1586"/>
      <c r="L14" s="1586"/>
      <c r="M14" s="1587"/>
      <c r="N14" s="1588"/>
    </row>
    <row r="15" spans="1:14" s="485" customFormat="1" ht="12.75" customHeight="1" x14ac:dyDescent="0.2">
      <c r="A15" s="482" t="s">
        <v>1468</v>
      </c>
      <c r="B15" s="483">
        <v>210</v>
      </c>
      <c r="C15" s="477"/>
      <c r="D15" s="477"/>
      <c r="E15" s="477"/>
      <c r="F15" s="477"/>
      <c r="G15" s="477"/>
      <c r="H15" s="477"/>
      <c r="I15" s="477"/>
      <c r="J15" s="477"/>
      <c r="K15" s="477"/>
      <c r="L15" s="477"/>
      <c r="M15" s="478"/>
      <c r="N15" s="484"/>
    </row>
    <row r="16" spans="1:14" s="485" customFormat="1" ht="12.75" customHeight="1" x14ac:dyDescent="0.2">
      <c r="A16" s="482" t="s">
        <v>1469</v>
      </c>
      <c r="B16" s="483">
        <v>220</v>
      </c>
      <c r="C16" s="477"/>
      <c r="D16" s="477"/>
      <c r="E16" s="477"/>
      <c r="F16" s="477"/>
      <c r="G16" s="477"/>
      <c r="H16" s="477"/>
      <c r="I16" s="477"/>
      <c r="J16" s="477"/>
      <c r="K16" s="477"/>
      <c r="L16" s="477"/>
      <c r="M16" s="467">
        <v>100231</v>
      </c>
      <c r="N16" s="484"/>
    </row>
    <row r="17" spans="1:14" s="485" customFormat="1" ht="12.75" customHeight="1" x14ac:dyDescent="0.2">
      <c r="A17" s="482" t="s">
        <v>1470</v>
      </c>
      <c r="B17" s="483">
        <v>230</v>
      </c>
      <c r="C17" s="477"/>
      <c r="D17" s="477"/>
      <c r="E17" s="477"/>
      <c r="F17" s="477"/>
      <c r="G17" s="477"/>
      <c r="H17" s="477"/>
      <c r="I17" s="477"/>
      <c r="J17" s="477"/>
      <c r="K17" s="477"/>
      <c r="L17" s="477"/>
      <c r="M17" s="467">
        <v>32274982</v>
      </c>
      <c r="N17" s="484"/>
    </row>
    <row r="18" spans="1:14" s="485" customFormat="1" ht="12.75" customHeight="1" x14ac:dyDescent="0.2">
      <c r="A18" s="482" t="s">
        <v>1471</v>
      </c>
      <c r="B18" s="483">
        <v>240</v>
      </c>
      <c r="C18" s="477"/>
      <c r="D18" s="477"/>
      <c r="E18" s="477"/>
      <c r="F18" s="477"/>
      <c r="G18" s="477"/>
      <c r="H18" s="477"/>
      <c r="I18" s="477"/>
      <c r="J18" s="477"/>
      <c r="K18" s="477"/>
      <c r="L18" s="477"/>
      <c r="M18" s="467">
        <v>720198</v>
      </c>
      <c r="N18" s="484"/>
    </row>
    <row r="19" spans="1:14" s="485" customFormat="1" ht="12.75" customHeight="1" x14ac:dyDescent="0.2">
      <c r="A19" s="482" t="s">
        <v>1472</v>
      </c>
      <c r="B19" s="483">
        <v>250</v>
      </c>
      <c r="C19" s="477"/>
      <c r="D19" s="477"/>
      <c r="E19" s="477"/>
      <c r="F19" s="477"/>
      <c r="G19" s="477"/>
      <c r="H19" s="477"/>
      <c r="I19" s="477"/>
      <c r="J19" s="477"/>
      <c r="K19" s="477"/>
      <c r="L19" s="477"/>
      <c r="M19" s="467">
        <v>4134486</v>
      </c>
      <c r="N19" s="484"/>
    </row>
    <row r="20" spans="1:14" s="485" customFormat="1" ht="12.75" customHeight="1" x14ac:dyDescent="0.2">
      <c r="A20" s="482" t="s">
        <v>1473</v>
      </c>
      <c r="B20" s="483">
        <v>260</v>
      </c>
      <c r="C20" s="477"/>
      <c r="D20" s="477"/>
      <c r="E20" s="477"/>
      <c r="F20" s="477"/>
      <c r="G20" s="477"/>
      <c r="H20" s="477"/>
      <c r="I20" s="477"/>
      <c r="J20" s="477"/>
      <c r="K20" s="477"/>
      <c r="L20" s="477"/>
      <c r="M20" s="467"/>
      <c r="N20" s="484"/>
    </row>
    <row r="21" spans="1:14" s="485" customFormat="1" ht="12.75" customHeight="1" x14ac:dyDescent="0.2">
      <c r="A21" s="482" t="s">
        <v>1474</v>
      </c>
      <c r="B21" s="483">
        <v>340</v>
      </c>
      <c r="C21" s="477"/>
      <c r="D21" s="477"/>
      <c r="E21" s="477"/>
      <c r="F21" s="477"/>
      <c r="G21" s="477"/>
      <c r="H21" s="477"/>
      <c r="I21" s="477"/>
      <c r="J21" s="477"/>
      <c r="K21" s="477"/>
      <c r="L21" s="477"/>
      <c r="M21" s="486"/>
      <c r="N21" s="467">
        <v>345428</v>
      </c>
    </row>
    <row r="22" spans="1:14" s="485" customFormat="1" ht="12.75" customHeight="1" x14ac:dyDescent="0.2">
      <c r="A22" s="482" t="s">
        <v>1475</v>
      </c>
      <c r="B22" s="483">
        <v>350</v>
      </c>
      <c r="C22" s="477"/>
      <c r="D22" s="477"/>
      <c r="E22" s="477"/>
      <c r="F22" s="477"/>
      <c r="G22" s="477"/>
      <c r="H22" s="477"/>
      <c r="I22" s="477"/>
      <c r="J22" s="477"/>
      <c r="K22" s="477"/>
      <c r="L22" s="477"/>
      <c r="M22" s="486"/>
      <c r="N22" s="487">
        <f>'Short-Term Long-Term Debt 24'!J49</f>
        <v>19975481</v>
      </c>
    </row>
    <row r="23" spans="1:14" ht="13.5" customHeight="1" thickBot="1" x14ac:dyDescent="0.25">
      <c r="A23" s="1758" t="s">
        <v>664</v>
      </c>
      <c r="B23" s="1763"/>
      <c r="C23" s="468"/>
      <c r="D23" s="468"/>
      <c r="E23" s="468"/>
      <c r="F23" s="468"/>
      <c r="G23" s="468"/>
      <c r="H23" s="468"/>
      <c r="I23" s="468"/>
      <c r="J23" s="468"/>
      <c r="K23" s="468"/>
      <c r="L23" s="468"/>
      <c r="M23" s="1710">
        <f>SUM(M15:M22)</f>
        <v>37229897</v>
      </c>
      <c r="N23" s="1710">
        <f>SUM(N21:N22)</f>
        <v>20320909</v>
      </c>
    </row>
    <row r="24" spans="1:14" ht="18" customHeight="1" thickTop="1" x14ac:dyDescent="0.2">
      <c r="A24" s="2131" t="s">
        <v>619</v>
      </c>
      <c r="B24" s="2132"/>
      <c r="C24" s="1590"/>
      <c r="D24" s="1587"/>
      <c r="E24" s="1587"/>
      <c r="F24" s="1587"/>
      <c r="G24" s="1587"/>
      <c r="H24" s="1587"/>
      <c r="I24" s="1587"/>
      <c r="J24" s="1587"/>
      <c r="K24" s="1587"/>
      <c r="L24" s="1587"/>
      <c r="M24" s="1586"/>
      <c r="N24" s="1591"/>
    </row>
    <row r="25" spans="1:14" x14ac:dyDescent="0.2">
      <c r="A25" s="473" t="s">
        <v>666</v>
      </c>
      <c r="B25" s="470">
        <v>410</v>
      </c>
      <c r="C25" s="478"/>
      <c r="D25" s="478"/>
      <c r="E25" s="478"/>
      <c r="F25" s="478"/>
      <c r="G25" s="478"/>
      <c r="H25" s="479"/>
      <c r="I25" s="468"/>
      <c r="J25" s="478"/>
      <c r="K25" s="478"/>
      <c r="L25" s="468"/>
      <c r="M25" s="468"/>
      <c r="N25" s="468"/>
    </row>
    <row r="26" spans="1:14" x14ac:dyDescent="0.2">
      <c r="A26" s="473" t="s">
        <v>667</v>
      </c>
      <c r="B26" s="470">
        <v>420</v>
      </c>
      <c r="C26" s="467"/>
      <c r="D26" s="467"/>
      <c r="E26" s="467"/>
      <c r="F26" s="467"/>
      <c r="G26" s="467"/>
      <c r="H26" s="467"/>
      <c r="I26" s="467"/>
      <c r="J26" s="474"/>
      <c r="K26" s="467"/>
      <c r="L26" s="468"/>
      <c r="M26" s="468"/>
      <c r="N26" s="468"/>
    </row>
    <row r="27" spans="1:14" ht="13.5" customHeight="1" x14ac:dyDescent="0.2">
      <c r="A27" s="473" t="s">
        <v>668</v>
      </c>
      <c r="B27" s="470">
        <v>430</v>
      </c>
      <c r="C27" s="467"/>
      <c r="D27" s="467"/>
      <c r="E27" s="467"/>
      <c r="F27" s="467"/>
      <c r="G27" s="467"/>
      <c r="H27" s="467"/>
      <c r="I27" s="467"/>
      <c r="J27" s="467"/>
      <c r="K27" s="467"/>
      <c r="L27" s="468"/>
      <c r="M27" s="468"/>
      <c r="N27" s="468"/>
    </row>
    <row r="28" spans="1:14" ht="13.5" customHeight="1" x14ac:dyDescent="0.2">
      <c r="A28" s="473" t="s">
        <v>669</v>
      </c>
      <c r="B28" s="470">
        <v>440</v>
      </c>
      <c r="C28" s="467"/>
      <c r="D28" s="467"/>
      <c r="E28" s="474"/>
      <c r="F28" s="467"/>
      <c r="G28" s="474"/>
      <c r="H28" s="474"/>
      <c r="I28" s="467"/>
      <c r="J28" s="467"/>
      <c r="K28" s="479"/>
      <c r="L28" s="468"/>
      <c r="M28" s="468"/>
      <c r="N28" s="468"/>
    </row>
    <row r="29" spans="1:14" ht="13.5" customHeight="1" x14ac:dyDescent="0.2">
      <c r="A29" s="473" t="s">
        <v>670</v>
      </c>
      <c r="B29" s="470">
        <v>460</v>
      </c>
      <c r="C29" s="488"/>
      <c r="D29" s="489"/>
      <c r="E29" s="474"/>
      <c r="F29" s="467"/>
      <c r="G29" s="474"/>
      <c r="H29" s="474"/>
      <c r="I29" s="474"/>
      <c r="J29" s="474"/>
      <c r="K29" s="467"/>
      <c r="L29" s="468"/>
      <c r="M29" s="468"/>
      <c r="N29" s="468"/>
    </row>
    <row r="30" spans="1:14" ht="13.5" customHeight="1" x14ac:dyDescent="0.2">
      <c r="A30" s="473" t="s">
        <v>671</v>
      </c>
      <c r="B30" s="470">
        <v>470</v>
      </c>
      <c r="C30" s="467"/>
      <c r="D30" s="474"/>
      <c r="E30" s="467"/>
      <c r="F30" s="467"/>
      <c r="G30" s="467"/>
      <c r="H30" s="467"/>
      <c r="I30" s="467"/>
      <c r="J30" s="467"/>
      <c r="K30" s="478"/>
      <c r="L30" s="468"/>
      <c r="M30" s="468"/>
      <c r="N30" s="468"/>
    </row>
    <row r="31" spans="1:14" ht="13.5" customHeight="1" x14ac:dyDescent="0.2">
      <c r="A31" s="473" t="s">
        <v>672</v>
      </c>
      <c r="B31" s="470">
        <v>480</v>
      </c>
      <c r="C31" s="466">
        <v>20513</v>
      </c>
      <c r="D31" s="467"/>
      <c r="E31" s="467"/>
      <c r="F31" s="466"/>
      <c r="G31" s="467"/>
      <c r="H31" s="467"/>
      <c r="I31" s="467"/>
      <c r="J31" s="467"/>
      <c r="K31" s="467"/>
      <c r="L31" s="468"/>
      <c r="M31" s="468"/>
      <c r="N31" s="468"/>
    </row>
    <row r="32" spans="1:14" ht="13.5" customHeight="1" x14ac:dyDescent="0.2">
      <c r="A32" s="490" t="s">
        <v>673</v>
      </c>
      <c r="B32" s="491">
        <v>490</v>
      </c>
      <c r="C32" s="492"/>
      <c r="D32" s="492"/>
      <c r="E32" s="474"/>
      <c r="F32" s="474"/>
      <c r="G32" s="474"/>
      <c r="H32" s="474"/>
      <c r="I32" s="474"/>
      <c r="J32" s="474"/>
      <c r="K32" s="479"/>
      <c r="L32" s="468"/>
      <c r="M32" s="468"/>
      <c r="N32" s="468"/>
    </row>
    <row r="33" spans="1:14" ht="13.5" customHeight="1" x14ac:dyDescent="0.2">
      <c r="A33" s="493" t="s">
        <v>321</v>
      </c>
      <c r="B33" s="491">
        <v>493</v>
      </c>
      <c r="C33" s="467"/>
      <c r="D33" s="467"/>
      <c r="E33" s="467"/>
      <c r="F33" s="467"/>
      <c r="G33" s="467"/>
      <c r="H33" s="467"/>
      <c r="I33" s="467"/>
      <c r="J33" s="467"/>
      <c r="K33" s="467"/>
      <c r="L33" s="467">
        <v>31441</v>
      </c>
      <c r="M33" s="468"/>
      <c r="N33" s="469"/>
    </row>
    <row r="34" spans="1:14" ht="13.5" customHeight="1" thickBot="1" x14ac:dyDescent="0.25">
      <c r="A34" s="1760" t="s">
        <v>675</v>
      </c>
      <c r="B34" s="1761"/>
      <c r="C34" s="1762">
        <f>SUM(C25:C33)</f>
        <v>20513</v>
      </c>
      <c r="D34" s="1762">
        <f t="shared" ref="D34:K34" si="1">SUM(D25:D33)</f>
        <v>0</v>
      </c>
      <c r="E34" s="1762">
        <f t="shared" si="1"/>
        <v>0</v>
      </c>
      <c r="F34" s="1762">
        <f t="shared" si="1"/>
        <v>0</v>
      </c>
      <c r="G34" s="1762">
        <f t="shared" si="1"/>
        <v>0</v>
      </c>
      <c r="H34" s="1762">
        <f t="shared" si="1"/>
        <v>0</v>
      </c>
      <c r="I34" s="1762">
        <f t="shared" si="1"/>
        <v>0</v>
      </c>
      <c r="J34" s="1762">
        <f t="shared" si="1"/>
        <v>0</v>
      </c>
      <c r="K34" s="1762">
        <f t="shared" si="1"/>
        <v>0</v>
      </c>
      <c r="L34" s="1743">
        <f>SUM(L33)</f>
        <v>31441</v>
      </c>
      <c r="M34" s="468"/>
      <c r="N34" s="480"/>
    </row>
    <row r="35" spans="1:14" ht="18" customHeight="1" thickTop="1" x14ac:dyDescent="0.2">
      <c r="A35" s="2133" t="s">
        <v>550</v>
      </c>
      <c r="B35" s="2134"/>
      <c r="C35" s="1592"/>
      <c r="D35" s="1593"/>
      <c r="E35" s="1593"/>
      <c r="F35" s="1593"/>
      <c r="G35" s="1593"/>
      <c r="H35" s="1593"/>
      <c r="I35" s="1593"/>
      <c r="J35" s="1593"/>
      <c r="K35" s="1593"/>
      <c r="L35" s="1593"/>
      <c r="M35" s="1587"/>
      <c r="N35" s="1591"/>
    </row>
    <row r="36" spans="1:14" x14ac:dyDescent="0.2">
      <c r="A36" s="494" t="s">
        <v>1</v>
      </c>
      <c r="B36" s="470">
        <v>511</v>
      </c>
      <c r="C36" s="477"/>
      <c r="D36" s="477"/>
      <c r="E36" s="477"/>
      <c r="F36" s="477"/>
      <c r="G36" s="477"/>
      <c r="H36" s="477"/>
      <c r="I36" s="477"/>
      <c r="J36" s="477"/>
      <c r="K36" s="477"/>
      <c r="L36" s="468"/>
      <c r="M36" s="468"/>
      <c r="N36" s="495">
        <f>'Short-Term Long-Term Debt 24'!I49</f>
        <v>20320909</v>
      </c>
    </row>
    <row r="37" spans="1:14" ht="13.5" thickBot="1" x14ac:dyDescent="0.25">
      <c r="A37" s="1758" t="s">
        <v>674</v>
      </c>
      <c r="B37" s="1763"/>
      <c r="C37" s="477"/>
      <c r="D37" s="477"/>
      <c r="E37" s="477"/>
      <c r="F37" s="477"/>
      <c r="G37" s="477"/>
      <c r="H37" s="477"/>
      <c r="I37" s="477"/>
      <c r="J37" s="477"/>
      <c r="K37" s="477"/>
      <c r="L37" s="480"/>
      <c r="M37" s="468"/>
      <c r="N37" s="1710">
        <f>SUM(N36:N36)</f>
        <v>20320909</v>
      </c>
    </row>
    <row r="38" spans="1:14" s="329" customFormat="1" ht="13.5" customHeight="1" thickTop="1" x14ac:dyDescent="0.2">
      <c r="A38" s="496" t="s">
        <v>440</v>
      </c>
      <c r="B38" s="483">
        <v>714</v>
      </c>
      <c r="C38" s="466"/>
      <c r="D38" s="466"/>
      <c r="E38" s="466"/>
      <c r="F38" s="466"/>
      <c r="G38" s="466">
        <v>285801</v>
      </c>
      <c r="H38" s="466"/>
      <c r="I38" s="466"/>
      <c r="J38" s="467"/>
      <c r="K38" s="466"/>
      <c r="L38" s="481"/>
      <c r="M38" s="497"/>
      <c r="N38" s="497"/>
    </row>
    <row r="39" spans="1:14" s="329" customFormat="1" ht="13.5" customHeight="1" x14ac:dyDescent="0.2">
      <c r="A39" s="496" t="s">
        <v>360</v>
      </c>
      <c r="B39" s="483">
        <v>730</v>
      </c>
      <c r="C39" s="466">
        <v>9125606</v>
      </c>
      <c r="D39" s="466">
        <v>684293</v>
      </c>
      <c r="E39" s="466">
        <v>345428</v>
      </c>
      <c r="F39" s="466">
        <v>392225</v>
      </c>
      <c r="G39" s="466"/>
      <c r="H39" s="466">
        <v>2980371</v>
      </c>
      <c r="I39" s="466">
        <v>546423</v>
      </c>
      <c r="J39" s="467">
        <v>235748</v>
      </c>
      <c r="K39" s="466">
        <v>154507</v>
      </c>
      <c r="L39" s="466"/>
      <c r="M39" s="497"/>
      <c r="N39" s="497"/>
    </row>
    <row r="40" spans="1:14" s="329" customFormat="1" ht="13.5" customHeight="1" x14ac:dyDescent="0.2">
      <c r="A40" s="498" t="s">
        <v>150</v>
      </c>
      <c r="B40" s="499"/>
      <c r="C40" s="500"/>
      <c r="D40" s="500"/>
      <c r="E40" s="500"/>
      <c r="F40" s="500"/>
      <c r="G40" s="500"/>
      <c r="H40" s="500"/>
      <c r="I40" s="500"/>
      <c r="J40" s="500"/>
      <c r="K40" s="500"/>
      <c r="L40" s="500"/>
      <c r="M40" s="467">
        <v>37229897</v>
      </c>
      <c r="N40" s="497"/>
    </row>
    <row r="41" spans="1:14" ht="13.5" customHeight="1" thickBot="1" x14ac:dyDescent="0.25">
      <c r="A41" s="1758" t="s">
        <v>676</v>
      </c>
      <c r="B41" s="1728"/>
      <c r="C41" s="1710">
        <f>(SUM(C34,C37,C38,C39))</f>
        <v>9146119</v>
      </c>
      <c r="D41" s="1710">
        <f t="shared" ref="D41:L41" si="2">SUM(D34,D37,D38:D39)</f>
        <v>684293</v>
      </c>
      <c r="E41" s="1710">
        <f t="shared" si="2"/>
        <v>345428</v>
      </c>
      <c r="F41" s="1710">
        <f t="shared" si="2"/>
        <v>392225</v>
      </c>
      <c r="G41" s="1710">
        <f t="shared" si="2"/>
        <v>285801</v>
      </c>
      <c r="H41" s="1710">
        <f t="shared" si="2"/>
        <v>2980371</v>
      </c>
      <c r="I41" s="1710">
        <f t="shared" si="2"/>
        <v>546423</v>
      </c>
      <c r="J41" s="1710">
        <f t="shared" si="2"/>
        <v>235748</v>
      </c>
      <c r="K41" s="1710">
        <f t="shared" si="2"/>
        <v>154507</v>
      </c>
      <c r="L41" s="1710">
        <f t="shared" si="2"/>
        <v>31441</v>
      </c>
      <c r="M41" s="1710">
        <f>SUM(M40)</f>
        <v>37229897</v>
      </c>
      <c r="N41" s="1710">
        <f>SUM(N37)</f>
        <v>20320909</v>
      </c>
    </row>
    <row r="42" spans="1:14" ht="13.5" thickTop="1" x14ac:dyDescent="0.2"/>
    <row r="43" spans="1:14" x14ac:dyDescent="0.2">
      <c r="A43" s="247"/>
      <c r="C43" s="503"/>
    </row>
    <row r="44" spans="1:14" x14ac:dyDescent="0.2">
      <c r="A44" s="247"/>
      <c r="C44" s="503"/>
    </row>
  </sheetData>
  <sheetProtection algorithmName="SHA-512" hashValue="P9igaW4m2Wp/91LARx6a5w4w8ZREdEJNSYBm5RxsFjqeGLLwa8E5IawEXWF1aJ1HbbxTlne0thH5u/QqJ6fWwA==" saltValue="SNbrv1qH+aljEkIxGAL1yA==" spinCount="100000" sheet="1" objects="1" scenarios="1"/>
  <mergeCells count="5">
    <mergeCell ref="A1:A2"/>
    <mergeCell ref="A3:B3"/>
    <mergeCell ref="A14:B14"/>
    <mergeCell ref="A24:B24"/>
    <mergeCell ref="A35:B35"/>
  </mergeCells>
  <phoneticPr fontId="13"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2018&amp;R&amp;8Page &amp;P</oddHeader>
    <oddFooter>&amp;L&amp;8Print Date:  &amp;D
&amp;F</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M87"/>
  <sheetViews>
    <sheetView showGridLines="0" defaultGridColor="0" topLeftCell="B1" colorId="8" zoomScale="110" zoomScaleNormal="110" zoomScaleSheetLayoutView="100" workbookViewId="0">
      <pane ySplit="2" topLeftCell="A39" activePane="bottomLeft" state="frozenSplit"/>
      <selection pane="bottomLeft" sqref="A1:A2"/>
    </sheetView>
  </sheetViews>
  <sheetFormatPr defaultColWidth="9.140625" defaultRowHeight="12.75" x14ac:dyDescent="0.2"/>
  <cols>
    <col min="1" max="1" width="55.85546875" style="501" customWidth="1"/>
    <col min="2" max="2" width="4.7109375" style="502" customWidth="1"/>
    <col min="3" max="11" width="13.7109375" style="457" customWidth="1"/>
    <col min="12" max="12" width="2" style="457" customWidth="1"/>
    <col min="13" max="16384" width="9.140625" style="457"/>
  </cols>
  <sheetData>
    <row r="1" spans="1:13" ht="12.75" customHeight="1" x14ac:dyDescent="0.2">
      <c r="A1" s="2143" t="s">
        <v>1751</v>
      </c>
      <c r="B1" s="452"/>
      <c r="C1" s="504" t="s">
        <v>445</v>
      </c>
      <c r="D1" s="504" t="s">
        <v>446</v>
      </c>
      <c r="E1" s="504" t="s">
        <v>447</v>
      </c>
      <c r="F1" s="504" t="s">
        <v>448</v>
      </c>
      <c r="G1" s="504" t="s">
        <v>449</v>
      </c>
      <c r="H1" s="504" t="s">
        <v>450</v>
      </c>
      <c r="I1" s="504" t="s">
        <v>451</v>
      </c>
      <c r="J1" s="504" t="s">
        <v>452</v>
      </c>
      <c r="K1" s="504" t="s">
        <v>780</v>
      </c>
      <c r="L1" s="501"/>
    </row>
    <row r="2" spans="1:13" s="505" customFormat="1" ht="37.5" customHeight="1" x14ac:dyDescent="0.2">
      <c r="A2" s="2144"/>
      <c r="B2" s="458" t="s">
        <v>396</v>
      </c>
      <c r="C2" s="459" t="s">
        <v>1217</v>
      </c>
      <c r="D2" s="459" t="s">
        <v>925</v>
      </c>
      <c r="E2" s="459" t="s">
        <v>458</v>
      </c>
      <c r="F2" s="459" t="s">
        <v>157</v>
      </c>
      <c r="G2" s="459" t="s">
        <v>1046</v>
      </c>
      <c r="H2" s="459" t="s">
        <v>457</v>
      </c>
      <c r="I2" s="459" t="s">
        <v>427</v>
      </c>
      <c r="J2" s="459" t="s">
        <v>456</v>
      </c>
      <c r="K2" s="459" t="s">
        <v>159</v>
      </c>
      <c r="L2" s="502"/>
    </row>
    <row r="3" spans="1:13" s="507" customFormat="1" ht="16.7" customHeight="1" x14ac:dyDescent="0.2">
      <c r="A3" s="2155" t="s">
        <v>1237</v>
      </c>
      <c r="B3" s="2156"/>
      <c r="C3" s="1595"/>
      <c r="D3" s="1596"/>
      <c r="E3" s="1596"/>
      <c r="F3" s="1596"/>
      <c r="G3" s="1596"/>
      <c r="H3" s="1596"/>
      <c r="I3" s="1596"/>
      <c r="J3" s="1596"/>
      <c r="K3" s="1597"/>
      <c r="L3" s="506"/>
    </row>
    <row r="4" spans="1:13" ht="15.75" customHeight="1" x14ac:dyDescent="0.2">
      <c r="A4" s="1954" t="s">
        <v>1579</v>
      </c>
      <c r="B4" s="1955">
        <v>1000</v>
      </c>
      <c r="C4" s="1764">
        <f>'Revenues 9-14'!C109</f>
        <v>3614493</v>
      </c>
      <c r="D4" s="1764">
        <f>'Revenues 9-14'!D109</f>
        <v>573074</v>
      </c>
      <c r="E4" s="1764">
        <f>'Revenues 9-14'!E109</f>
        <v>1073604</v>
      </c>
      <c r="F4" s="1764">
        <f>'Revenues 9-14'!F109</f>
        <v>205007</v>
      </c>
      <c r="G4" s="1764">
        <f>'Revenues 9-14'!G109</f>
        <v>614908</v>
      </c>
      <c r="H4" s="1764">
        <f>'Revenues 9-14'!H109</f>
        <v>226262</v>
      </c>
      <c r="I4" s="1764">
        <f>'Revenues 9-14'!I109</f>
        <v>10573</v>
      </c>
      <c r="J4" s="1764">
        <f>'Revenues 9-14'!J109</f>
        <v>288131</v>
      </c>
      <c r="K4" s="1764">
        <f>'Revenues 9-14'!K109</f>
        <v>47490</v>
      </c>
      <c r="L4" s="347"/>
    </row>
    <row r="5" spans="1:13" ht="15.75" customHeight="1" x14ac:dyDescent="0.2">
      <c r="A5" s="1598" t="s">
        <v>1580</v>
      </c>
      <c r="B5" s="1599">
        <v>2000</v>
      </c>
      <c r="C5" s="1765">
        <f>'Revenues 9-14'!C114</f>
        <v>0</v>
      </c>
      <c r="D5" s="1765">
        <f>'Revenues 9-14'!D114</f>
        <v>0</v>
      </c>
      <c r="E5" s="508"/>
      <c r="F5" s="1765">
        <f>'Revenues 9-14'!F114</f>
        <v>0</v>
      </c>
      <c r="G5" s="1765">
        <f>'Revenues 9-14'!G114</f>
        <v>0</v>
      </c>
      <c r="H5" s="509" t="s">
        <v>1231</v>
      </c>
      <c r="I5" s="510" t="s">
        <v>1231</v>
      </c>
      <c r="J5" s="511" t="s">
        <v>1231</v>
      </c>
      <c r="K5" s="512" t="s">
        <v>1231</v>
      </c>
      <c r="L5" s="347"/>
    </row>
    <row r="6" spans="1:13" ht="15.75" customHeight="1" x14ac:dyDescent="0.2">
      <c r="A6" s="1598" t="s">
        <v>1581</v>
      </c>
      <c r="B6" s="1600">
        <v>3000</v>
      </c>
      <c r="C6" s="1765">
        <f>'Revenues 9-14'!C173</f>
        <v>10902447</v>
      </c>
      <c r="D6" s="1765">
        <f>'Revenues 9-14'!D173</f>
        <v>1100000</v>
      </c>
      <c r="E6" s="1765">
        <f>'Revenues 9-14'!E173</f>
        <v>0</v>
      </c>
      <c r="F6" s="1765">
        <f>'Revenues 9-14'!F173</f>
        <v>751660</v>
      </c>
      <c r="G6" s="1765">
        <f>'Revenues 9-14'!G173</f>
        <v>0</v>
      </c>
      <c r="H6" s="1765">
        <f>'Revenues 9-14'!H173</f>
        <v>0</v>
      </c>
      <c r="I6" s="1765">
        <f>'Revenues 9-14'!I173</f>
        <v>0</v>
      </c>
      <c r="J6" s="1765">
        <f>'Revenues 9-14'!J173</f>
        <v>0</v>
      </c>
      <c r="K6" s="1765">
        <f>'Revenues 9-14'!K173</f>
        <v>0</v>
      </c>
      <c r="L6" s="347"/>
      <c r="M6" s="513"/>
    </row>
    <row r="7" spans="1:13" ht="15.75" customHeight="1" x14ac:dyDescent="0.2">
      <c r="A7" s="1598" t="s">
        <v>1582</v>
      </c>
      <c r="B7" s="1600">
        <v>4000</v>
      </c>
      <c r="C7" s="1765">
        <f>'Revenues 9-14'!C274</f>
        <v>2985672</v>
      </c>
      <c r="D7" s="1765">
        <f>'Revenues 9-14'!D274</f>
        <v>0</v>
      </c>
      <c r="E7" s="1765">
        <f>'Revenues 9-14'!E274</f>
        <v>773693</v>
      </c>
      <c r="F7" s="1765">
        <f>'Revenues 9-14'!F274</f>
        <v>0</v>
      </c>
      <c r="G7" s="1765">
        <f>'Revenues 9-14'!G274</f>
        <v>0</v>
      </c>
      <c r="H7" s="1765">
        <f>'Revenues 9-14'!H274</f>
        <v>0</v>
      </c>
      <c r="I7" s="1765">
        <f>'Revenues 9-14'!I274</f>
        <v>0</v>
      </c>
      <c r="J7" s="1765">
        <f>'Revenues 9-14'!J274</f>
        <v>0</v>
      </c>
      <c r="K7" s="1765">
        <f>'Revenues 9-14'!K274</f>
        <v>0</v>
      </c>
      <c r="L7" s="347"/>
      <c r="M7" s="513"/>
    </row>
    <row r="8" spans="1:13" ht="13.5" thickBot="1" x14ac:dyDescent="0.25">
      <c r="A8" s="1758" t="s">
        <v>1234</v>
      </c>
      <c r="B8" s="1731"/>
      <c r="C8" s="1710">
        <f>SUM(C4:C7)</f>
        <v>17502612</v>
      </c>
      <c r="D8" s="1710">
        <f t="shared" ref="D8:K8" si="0">SUM(D4:D7)</f>
        <v>1673074</v>
      </c>
      <c r="E8" s="1710">
        <f t="shared" si="0"/>
        <v>1847297</v>
      </c>
      <c r="F8" s="1710">
        <f t="shared" si="0"/>
        <v>956667</v>
      </c>
      <c r="G8" s="1710">
        <f t="shared" si="0"/>
        <v>614908</v>
      </c>
      <c r="H8" s="1710">
        <f t="shared" si="0"/>
        <v>226262</v>
      </c>
      <c r="I8" s="1710">
        <f t="shared" si="0"/>
        <v>10573</v>
      </c>
      <c r="J8" s="1710">
        <f t="shared" si="0"/>
        <v>288131</v>
      </c>
      <c r="K8" s="1710">
        <f t="shared" si="0"/>
        <v>47490</v>
      </c>
      <c r="L8" s="347"/>
    </row>
    <row r="9" spans="1:13" ht="15.75" thickTop="1" x14ac:dyDescent="0.2">
      <c r="A9" s="514" t="s">
        <v>1752</v>
      </c>
      <c r="B9" s="515">
        <v>3998</v>
      </c>
      <c r="C9" s="481">
        <v>3564224</v>
      </c>
      <c r="D9" s="516"/>
      <c r="E9" s="481"/>
      <c r="F9" s="481"/>
      <c r="G9" s="517"/>
      <c r="H9" s="481"/>
      <c r="I9" s="509" t="s">
        <v>1231</v>
      </c>
      <c r="J9" s="478"/>
      <c r="K9" s="481"/>
      <c r="L9" s="347"/>
    </row>
    <row r="10" spans="1:13" s="519" customFormat="1" ht="13.5" thickBot="1" x14ac:dyDescent="0.25">
      <c r="A10" s="1758" t="s">
        <v>1235</v>
      </c>
      <c r="B10" s="1731"/>
      <c r="C10" s="1710">
        <f>SUM(C8:C9)</f>
        <v>21066836</v>
      </c>
      <c r="D10" s="1710">
        <f t="shared" ref="D10:K10" si="1">SUM(D8:D9)</f>
        <v>1673074</v>
      </c>
      <c r="E10" s="1710">
        <f t="shared" si="1"/>
        <v>1847297</v>
      </c>
      <c r="F10" s="1710">
        <f t="shared" si="1"/>
        <v>956667</v>
      </c>
      <c r="G10" s="1710">
        <f t="shared" si="1"/>
        <v>614908</v>
      </c>
      <c r="H10" s="1710">
        <f t="shared" si="1"/>
        <v>226262</v>
      </c>
      <c r="I10" s="1710">
        <f t="shared" si="1"/>
        <v>10573</v>
      </c>
      <c r="J10" s="1710">
        <f t="shared" si="1"/>
        <v>288131</v>
      </c>
      <c r="K10" s="1710">
        <f t="shared" si="1"/>
        <v>47490</v>
      </c>
      <c r="L10" s="518"/>
    </row>
    <row r="11" spans="1:13" s="519" customFormat="1" ht="16.7" customHeight="1" thickTop="1" x14ac:dyDescent="0.2">
      <c r="A11" s="2129" t="s">
        <v>1238</v>
      </c>
      <c r="B11" s="2130"/>
      <c r="C11" s="1592"/>
      <c r="D11" s="1593"/>
      <c r="E11" s="1593"/>
      <c r="F11" s="1593"/>
      <c r="G11" s="1593"/>
      <c r="H11" s="1593"/>
      <c r="I11" s="1593"/>
      <c r="J11" s="1593"/>
      <c r="K11" s="1594"/>
      <c r="L11" s="518"/>
    </row>
    <row r="12" spans="1:13" ht="15.75" customHeight="1" x14ac:dyDescent="0.2">
      <c r="A12" s="1598" t="s">
        <v>476</v>
      </c>
      <c r="B12" s="1600">
        <v>1000</v>
      </c>
      <c r="C12" s="1764">
        <f>'Expenditures 15-22'!K33</f>
        <v>11057791</v>
      </c>
      <c r="D12" s="520" t="s">
        <v>1231</v>
      </c>
      <c r="E12" s="468" t="s">
        <v>1231</v>
      </c>
      <c r="F12" s="468" t="s">
        <v>1231</v>
      </c>
      <c r="G12" s="1764">
        <f>'Expenditures 15-22'!K229</f>
        <v>304723</v>
      </c>
      <c r="H12" s="521"/>
      <c r="I12" s="468" t="s">
        <v>1231</v>
      </c>
      <c r="J12" s="468" t="s">
        <v>1231</v>
      </c>
      <c r="K12" s="521" t="s">
        <v>1231</v>
      </c>
      <c r="L12" s="347"/>
    </row>
    <row r="13" spans="1:13" ht="15.75" customHeight="1" x14ac:dyDescent="0.2">
      <c r="A13" s="1598" t="s">
        <v>477</v>
      </c>
      <c r="B13" s="1600">
        <v>2000</v>
      </c>
      <c r="C13" s="1765">
        <f>'Expenditures 15-22'!K74</f>
        <v>5153230</v>
      </c>
      <c r="D13" s="1765">
        <f>'Expenditures 15-22'!K129</f>
        <v>1248253</v>
      </c>
      <c r="E13" s="469" t="s">
        <v>1231</v>
      </c>
      <c r="F13" s="1765">
        <f>'Expenditures 15-22'!K184</f>
        <v>720351</v>
      </c>
      <c r="G13" s="1765">
        <f>'Expenditures 15-22'!K279</f>
        <v>278220</v>
      </c>
      <c r="H13" s="1765">
        <f>'Expenditures 15-22'!K303</f>
        <v>3519928</v>
      </c>
      <c r="I13" s="468" t="s">
        <v>1231</v>
      </c>
      <c r="J13" s="1765">
        <f>'Expenditures 15-22'!K330</f>
        <v>311755</v>
      </c>
      <c r="K13" s="1769">
        <f>'Expenditures 15-22'!K352</f>
        <v>0</v>
      </c>
      <c r="L13" s="347"/>
    </row>
    <row r="14" spans="1:13" ht="15.75" customHeight="1" x14ac:dyDescent="0.2">
      <c r="A14" s="1598" t="s">
        <v>469</v>
      </c>
      <c r="B14" s="1600">
        <v>3000</v>
      </c>
      <c r="C14" s="1765">
        <f>'Expenditures 15-22'!K75</f>
        <v>39186</v>
      </c>
      <c r="D14" s="1765">
        <f>'Expenditures 15-22'!K130</f>
        <v>0</v>
      </c>
      <c r="E14" s="520" t="s">
        <v>1231</v>
      </c>
      <c r="F14" s="1765">
        <f>'Expenditures 15-22'!K185</f>
        <v>0</v>
      </c>
      <c r="G14" s="1765">
        <f>'Expenditures 15-22'!K280</f>
        <v>0</v>
      </c>
      <c r="H14" s="512"/>
      <c r="I14" s="468" t="s">
        <v>1231</v>
      </c>
      <c r="J14" s="468" t="s">
        <v>1231</v>
      </c>
      <c r="K14" s="512" t="s">
        <v>1231</v>
      </c>
      <c r="L14" s="347"/>
    </row>
    <row r="15" spans="1:13" ht="15.75" customHeight="1" x14ac:dyDescent="0.2">
      <c r="A15" s="1598" t="s">
        <v>109</v>
      </c>
      <c r="B15" s="1600">
        <v>4000</v>
      </c>
      <c r="C15" s="1765">
        <f>'Expenditures 15-22'!K102</f>
        <v>507297</v>
      </c>
      <c r="D15" s="1765">
        <f>'Expenditures 15-22'!K139</f>
        <v>0</v>
      </c>
      <c r="E15" s="1765">
        <f>'Expenditures 15-22'!K160</f>
        <v>0</v>
      </c>
      <c r="F15" s="1765">
        <f>'Expenditures 15-22'!K196</f>
        <v>0</v>
      </c>
      <c r="G15" s="1765">
        <f>'Expenditures 15-22'!K285</f>
        <v>0</v>
      </c>
      <c r="H15" s="1765">
        <f>'Expenditures 15-22'!K310</f>
        <v>0</v>
      </c>
      <c r="I15" s="468" t="s">
        <v>1231</v>
      </c>
      <c r="J15" s="1858">
        <f>'Expenditures 15-22'!K334</f>
        <v>0</v>
      </c>
      <c r="K15" s="1765">
        <f>'Expenditures 15-22'!K357</f>
        <v>0</v>
      </c>
      <c r="L15" s="347"/>
    </row>
    <row r="16" spans="1:13" ht="15.75" customHeight="1" x14ac:dyDescent="0.2">
      <c r="A16" s="1598" t="s">
        <v>470</v>
      </c>
      <c r="B16" s="1600">
        <v>5000</v>
      </c>
      <c r="C16" s="1765">
        <f>'Expenditures 15-22'!K112</f>
        <v>0</v>
      </c>
      <c r="D16" s="1765">
        <f>'Expenditures 15-22'!K149</f>
        <v>0</v>
      </c>
      <c r="E16" s="1765">
        <f>'Expenditures 15-22'!K172</f>
        <v>1904666</v>
      </c>
      <c r="F16" s="1765">
        <f>'Expenditures 15-22'!K208</f>
        <v>0</v>
      </c>
      <c r="G16" s="1765">
        <f>'Expenditures 15-22'!K293</f>
        <v>0</v>
      </c>
      <c r="H16" s="523"/>
      <c r="I16" s="468" t="s">
        <v>1231</v>
      </c>
      <c r="J16" s="1770">
        <f>'Expenditures 15-22'!K340</f>
        <v>0</v>
      </c>
      <c r="K16" s="1765">
        <f>'Expenditures 15-22'!K365</f>
        <v>0</v>
      </c>
      <c r="L16" s="347"/>
    </row>
    <row r="17" spans="1:12" ht="13.5" thickBot="1" x14ac:dyDescent="0.25">
      <c r="A17" s="1730" t="s">
        <v>50</v>
      </c>
      <c r="B17" s="1731"/>
      <c r="C17" s="1710">
        <f t="shared" ref="C17:H17" si="2">SUM(C12:C16)</f>
        <v>16757504</v>
      </c>
      <c r="D17" s="1710">
        <f t="shared" si="2"/>
        <v>1248253</v>
      </c>
      <c r="E17" s="1710">
        <f t="shared" si="2"/>
        <v>1904666</v>
      </c>
      <c r="F17" s="1710">
        <f t="shared" si="2"/>
        <v>720351</v>
      </c>
      <c r="G17" s="1710">
        <f t="shared" si="2"/>
        <v>582943</v>
      </c>
      <c r="H17" s="1710">
        <f t="shared" si="2"/>
        <v>3519928</v>
      </c>
      <c r="I17" s="468"/>
      <c r="J17" s="1710">
        <f>SUM(J12:J16)</f>
        <v>311755</v>
      </c>
      <c r="K17" s="1710">
        <f>SUM(K12:K16)</f>
        <v>0</v>
      </c>
      <c r="L17" s="347"/>
    </row>
    <row r="18" spans="1:12" ht="15" customHeight="1" thickTop="1" x14ac:dyDescent="0.2">
      <c r="A18" s="1766" t="s">
        <v>1753</v>
      </c>
      <c r="B18" s="1767">
        <v>4180</v>
      </c>
      <c r="C18" s="1764">
        <f t="shared" ref="C18:H18" si="3">C9</f>
        <v>3564224</v>
      </c>
      <c r="D18" s="1764">
        <f t="shared" si="3"/>
        <v>0</v>
      </c>
      <c r="E18" s="1764">
        <f t="shared" si="3"/>
        <v>0</v>
      </c>
      <c r="F18" s="1764">
        <f t="shared" si="3"/>
        <v>0</v>
      </c>
      <c r="G18" s="1764">
        <f t="shared" si="3"/>
        <v>0</v>
      </c>
      <c r="H18" s="1764">
        <f t="shared" si="3"/>
        <v>0</v>
      </c>
      <c r="I18" s="468"/>
      <c r="J18" s="1764">
        <f>J9</f>
        <v>0</v>
      </c>
      <c r="K18" s="1764">
        <f>K9</f>
        <v>0</v>
      </c>
      <c r="L18" s="347"/>
    </row>
    <row r="19" spans="1:12" ht="13.5" thickBot="1" x14ac:dyDescent="0.25">
      <c r="A19" s="1730" t="s">
        <v>526</v>
      </c>
      <c r="B19" s="1731"/>
      <c r="C19" s="1710">
        <f t="shared" ref="C19:H19" si="4">SUM(C17:C18)</f>
        <v>20321728</v>
      </c>
      <c r="D19" s="1710">
        <f t="shared" si="4"/>
        <v>1248253</v>
      </c>
      <c r="E19" s="1710">
        <f t="shared" si="4"/>
        <v>1904666</v>
      </c>
      <c r="F19" s="1710">
        <f t="shared" si="4"/>
        <v>720351</v>
      </c>
      <c r="G19" s="1710">
        <f t="shared" si="4"/>
        <v>582943</v>
      </c>
      <c r="H19" s="1710">
        <f t="shared" si="4"/>
        <v>3519928</v>
      </c>
      <c r="I19" s="468"/>
      <c r="J19" s="1710">
        <f>SUM(J17:J18)</f>
        <v>311755</v>
      </c>
      <c r="K19" s="1710">
        <f>SUM(K17:K18)</f>
        <v>0</v>
      </c>
      <c r="L19" s="347"/>
    </row>
    <row r="20" spans="1:12" ht="16.5" thickTop="1" thickBot="1" x14ac:dyDescent="0.25">
      <c r="A20" s="2145" t="s">
        <v>1754</v>
      </c>
      <c r="B20" s="2146"/>
      <c r="C20" s="1768">
        <f>C8-C17</f>
        <v>745108</v>
      </c>
      <c r="D20" s="1768">
        <f t="shared" ref="D20:K20" si="5">D8-D17</f>
        <v>424821</v>
      </c>
      <c r="E20" s="1768">
        <f t="shared" si="5"/>
        <v>-57369</v>
      </c>
      <c r="F20" s="1768">
        <f t="shared" si="5"/>
        <v>236316</v>
      </c>
      <c r="G20" s="1768">
        <f t="shared" si="5"/>
        <v>31965</v>
      </c>
      <c r="H20" s="1768">
        <f t="shared" si="5"/>
        <v>-3293666</v>
      </c>
      <c r="I20" s="1768">
        <f t="shared" si="5"/>
        <v>10573</v>
      </c>
      <c r="J20" s="1768">
        <f t="shared" si="5"/>
        <v>-23624</v>
      </c>
      <c r="K20" s="1768">
        <f t="shared" si="5"/>
        <v>47490</v>
      </c>
      <c r="L20" s="347"/>
    </row>
    <row r="21" spans="1:12" ht="16.7" customHeight="1" thickTop="1" x14ac:dyDescent="0.2">
      <c r="A21" s="2157" t="s">
        <v>616</v>
      </c>
      <c r="B21" s="2158"/>
      <c r="C21" s="1592"/>
      <c r="D21" s="1593"/>
      <c r="E21" s="1593"/>
      <c r="F21" s="1593"/>
      <c r="G21" s="1593"/>
      <c r="H21" s="1593"/>
      <c r="I21" s="1593"/>
      <c r="J21" s="1593"/>
      <c r="K21" s="1594"/>
      <c r="L21" s="524"/>
    </row>
    <row r="22" spans="1:12" ht="15.75" customHeight="1" collapsed="1" x14ac:dyDescent="0.2">
      <c r="A22" s="2153" t="s">
        <v>617</v>
      </c>
      <c r="B22" s="2154"/>
      <c r="C22" s="477"/>
      <c r="D22" s="477"/>
      <c r="E22" s="477"/>
      <c r="F22" s="477"/>
      <c r="G22" s="477"/>
      <c r="H22" s="477"/>
      <c r="I22" s="477"/>
      <c r="J22" s="477"/>
      <c r="K22" s="477"/>
      <c r="L22" s="347"/>
    </row>
    <row r="23" spans="1:12" s="485" customFormat="1" ht="15.75" customHeight="1" x14ac:dyDescent="0.2">
      <c r="A23" s="2149" t="s">
        <v>311</v>
      </c>
      <c r="B23" s="2150"/>
      <c r="C23" s="480"/>
      <c r="D23" s="477"/>
      <c r="E23" s="477"/>
      <c r="F23" s="477"/>
      <c r="G23" s="477"/>
      <c r="H23" s="477"/>
      <c r="I23" s="477"/>
      <c r="J23" s="477"/>
      <c r="K23" s="477"/>
      <c r="L23" s="524"/>
    </row>
    <row r="24" spans="1:12" s="485" customFormat="1" ht="13.5" customHeight="1" x14ac:dyDescent="0.2">
      <c r="A24" s="1511" t="s">
        <v>1755</v>
      </c>
      <c r="B24" s="525">
        <v>7110</v>
      </c>
      <c r="C24" s="467"/>
      <c r="D24" s="477"/>
      <c r="E24" s="477"/>
      <c r="F24" s="477"/>
      <c r="G24" s="477"/>
      <c r="H24" s="477"/>
      <c r="I24" s="477"/>
      <c r="J24" s="477"/>
      <c r="K24" s="477"/>
      <c r="L24" s="524"/>
    </row>
    <row r="25" spans="1:12" s="485" customFormat="1" ht="13.5" customHeight="1" x14ac:dyDescent="0.2">
      <c r="A25" s="1511" t="s">
        <v>1756</v>
      </c>
      <c r="B25" s="525">
        <v>7110</v>
      </c>
      <c r="C25" s="467"/>
      <c r="D25" s="467"/>
      <c r="E25" s="467"/>
      <c r="F25" s="467"/>
      <c r="G25" s="467"/>
      <c r="H25" s="467"/>
      <c r="I25" s="477"/>
      <c r="J25" s="467"/>
      <c r="K25" s="467"/>
      <c r="L25" s="524"/>
    </row>
    <row r="26" spans="1:12" s="485" customFormat="1" ht="13.5" customHeight="1" x14ac:dyDescent="0.2">
      <c r="A26" s="1511" t="s">
        <v>193</v>
      </c>
      <c r="B26" s="483">
        <v>7120</v>
      </c>
      <c r="C26" s="467"/>
      <c r="D26" s="467"/>
      <c r="E26" s="467"/>
      <c r="F26" s="467"/>
      <c r="G26" s="467"/>
      <c r="H26" s="467"/>
      <c r="I26" s="477"/>
      <c r="J26" s="467"/>
      <c r="K26" s="467"/>
      <c r="L26" s="524"/>
    </row>
    <row r="27" spans="1:12" s="485" customFormat="1" ht="13.5" customHeight="1" x14ac:dyDescent="0.2">
      <c r="A27" s="1511" t="s">
        <v>194</v>
      </c>
      <c r="B27" s="483">
        <v>7130</v>
      </c>
      <c r="C27" s="467"/>
      <c r="D27" s="467"/>
      <c r="E27" s="526"/>
      <c r="F27" s="467"/>
      <c r="G27" s="480"/>
      <c r="H27" s="480"/>
      <c r="I27" s="480"/>
      <c r="J27" s="480"/>
      <c r="K27" s="480"/>
      <c r="L27" s="524"/>
    </row>
    <row r="28" spans="1:12" s="485" customFormat="1" ht="13.5" customHeight="1" x14ac:dyDescent="0.2">
      <c r="A28" s="1511" t="s">
        <v>1465</v>
      </c>
      <c r="B28" s="483">
        <v>7140</v>
      </c>
      <c r="C28" s="467"/>
      <c r="D28" s="467"/>
      <c r="E28" s="467"/>
      <c r="F28" s="467"/>
      <c r="G28" s="467"/>
      <c r="H28" s="467"/>
      <c r="I28" s="467"/>
      <c r="J28" s="467"/>
      <c r="K28" s="467"/>
      <c r="L28" s="524"/>
    </row>
    <row r="29" spans="1:12" s="485" customFormat="1" ht="13.5" customHeight="1" x14ac:dyDescent="0.2">
      <c r="A29" s="1511" t="s">
        <v>312</v>
      </c>
      <c r="B29" s="483">
        <v>7150</v>
      </c>
      <c r="C29" s="475"/>
      <c r="D29" s="467"/>
      <c r="E29" s="475"/>
      <c r="F29" s="475"/>
      <c r="G29" s="475"/>
      <c r="H29" s="475"/>
      <c r="I29" s="475"/>
      <c r="J29" s="475"/>
      <c r="K29" s="475"/>
      <c r="L29" s="524"/>
    </row>
    <row r="30" spans="1:12" s="485" customFormat="1" ht="26.25" x14ac:dyDescent="0.2">
      <c r="A30" s="1511" t="s">
        <v>1895</v>
      </c>
      <c r="B30" s="527">
        <v>7160</v>
      </c>
      <c r="C30" s="477"/>
      <c r="D30" s="467"/>
      <c r="E30" s="477"/>
      <c r="F30" s="477"/>
      <c r="G30" s="477"/>
      <c r="H30" s="477"/>
      <c r="I30" s="477"/>
      <c r="J30" s="477"/>
      <c r="K30" s="477"/>
      <c r="L30" s="524"/>
    </row>
    <row r="31" spans="1:12" s="485" customFormat="1" ht="26.25" x14ac:dyDescent="0.2">
      <c r="A31" s="1511" t="s">
        <v>1899</v>
      </c>
      <c r="B31" s="527">
        <v>7170</v>
      </c>
      <c r="C31" s="477"/>
      <c r="D31" s="477"/>
      <c r="E31" s="474"/>
      <c r="F31" s="477"/>
      <c r="G31" s="477"/>
      <c r="H31" s="477"/>
      <c r="I31" s="477"/>
      <c r="J31" s="477"/>
      <c r="K31" s="477"/>
      <c r="L31" s="524"/>
    </row>
    <row r="32" spans="1:12" s="485" customFormat="1" ht="15.75" customHeight="1" x14ac:dyDescent="0.2">
      <c r="A32" s="2151" t="s">
        <v>1038</v>
      </c>
      <c r="B32" s="2152"/>
      <c r="C32" s="477"/>
      <c r="D32" s="477"/>
      <c r="E32" s="475"/>
      <c r="F32" s="477"/>
      <c r="G32" s="477"/>
      <c r="H32" s="477"/>
      <c r="I32" s="477"/>
      <c r="J32" s="477"/>
      <c r="K32" s="477"/>
      <c r="L32" s="524"/>
    </row>
    <row r="33" spans="1:12" s="485" customFormat="1" x14ac:dyDescent="0.2">
      <c r="A33" s="1511" t="s">
        <v>432</v>
      </c>
      <c r="B33" s="525">
        <v>7210</v>
      </c>
      <c r="C33" s="467"/>
      <c r="D33" s="467"/>
      <c r="E33" s="467"/>
      <c r="F33" s="467"/>
      <c r="G33" s="477"/>
      <c r="H33" s="467"/>
      <c r="I33" s="467"/>
      <c r="J33" s="467"/>
      <c r="K33" s="467"/>
      <c r="L33" s="524"/>
    </row>
    <row r="34" spans="1:12" s="485" customFormat="1" x14ac:dyDescent="0.2">
      <c r="A34" s="1511" t="s">
        <v>1058</v>
      </c>
      <c r="B34" s="525">
        <v>7220</v>
      </c>
      <c r="C34" s="467"/>
      <c r="D34" s="467"/>
      <c r="E34" s="467"/>
      <c r="F34" s="467"/>
      <c r="G34" s="477"/>
      <c r="H34" s="478"/>
      <c r="I34" s="478"/>
      <c r="J34" s="478"/>
      <c r="K34" s="478"/>
      <c r="L34" s="524"/>
    </row>
    <row r="35" spans="1:12" s="485" customFormat="1" x14ac:dyDescent="0.2">
      <c r="A35" s="1511" t="s">
        <v>1047</v>
      </c>
      <c r="B35" s="525">
        <v>7230</v>
      </c>
      <c r="C35" s="467"/>
      <c r="D35" s="467"/>
      <c r="E35" s="467"/>
      <c r="F35" s="467"/>
      <c r="G35" s="480"/>
      <c r="H35" s="467"/>
      <c r="I35" s="467"/>
      <c r="J35" s="467"/>
      <c r="K35" s="467"/>
      <c r="L35" s="524"/>
    </row>
    <row r="36" spans="1:12" s="485" customFormat="1" ht="15" x14ac:dyDescent="0.2">
      <c r="A36" s="1511" t="s">
        <v>1757</v>
      </c>
      <c r="B36" s="525">
        <v>7300</v>
      </c>
      <c r="C36" s="467"/>
      <c r="D36" s="467"/>
      <c r="E36" s="467"/>
      <c r="F36" s="467"/>
      <c r="G36" s="467"/>
      <c r="H36" s="467"/>
      <c r="I36" s="475"/>
      <c r="J36" s="467"/>
      <c r="K36" s="467"/>
      <c r="L36" s="524"/>
    </row>
    <row r="37" spans="1:12" s="485" customFormat="1" x14ac:dyDescent="0.2">
      <c r="A37" s="1511" t="s">
        <v>461</v>
      </c>
      <c r="B37" s="525">
        <v>7400</v>
      </c>
      <c r="C37" s="475"/>
      <c r="D37" s="475"/>
      <c r="E37" s="1765">
        <f>SUM(C54:D57,H54:H57)</f>
        <v>0</v>
      </c>
      <c r="F37" s="475"/>
      <c r="G37" s="475"/>
      <c r="H37" s="475"/>
      <c r="I37" s="477"/>
      <c r="J37" s="475"/>
      <c r="K37" s="475"/>
      <c r="L37" s="524"/>
    </row>
    <row r="38" spans="1:12" s="485" customFormat="1" x14ac:dyDescent="0.2">
      <c r="A38" s="1511" t="s">
        <v>462</v>
      </c>
      <c r="B38" s="525">
        <v>7500</v>
      </c>
      <c r="C38" s="477"/>
      <c r="D38" s="477"/>
      <c r="E38" s="1765">
        <f>SUM(C58:D61,H58:H61)</f>
        <v>0</v>
      </c>
      <c r="F38" s="477"/>
      <c r="G38" s="477"/>
      <c r="H38" s="477"/>
      <c r="I38" s="477"/>
      <c r="J38" s="477"/>
      <c r="K38" s="477"/>
      <c r="L38" s="524"/>
    </row>
    <row r="39" spans="1:12" s="485" customFormat="1" x14ac:dyDescent="0.2">
      <c r="A39" s="1511" t="s">
        <v>463</v>
      </c>
      <c r="B39" s="525">
        <v>7600</v>
      </c>
      <c r="C39" s="477"/>
      <c r="D39" s="477"/>
      <c r="E39" s="1765">
        <f>SUM(C62:D65)</f>
        <v>0</v>
      </c>
      <c r="F39" s="477"/>
      <c r="G39" s="477"/>
      <c r="H39" s="477"/>
      <c r="I39" s="477"/>
      <c r="J39" s="477"/>
      <c r="K39" s="477"/>
      <c r="L39" s="524"/>
    </row>
    <row r="40" spans="1:12" s="485" customFormat="1" ht="13.5" customHeight="1" x14ac:dyDescent="0.2">
      <c r="A40" s="1511" t="s">
        <v>663</v>
      </c>
      <c r="B40" s="483">
        <v>7700</v>
      </c>
      <c r="C40" s="477"/>
      <c r="D40" s="477"/>
      <c r="E40" s="1765">
        <f>SUM(C66:D69)</f>
        <v>0</v>
      </c>
      <c r="F40" s="477"/>
      <c r="G40" s="477"/>
      <c r="H40" s="480"/>
      <c r="I40" s="477"/>
      <c r="J40" s="477"/>
      <c r="K40" s="477"/>
      <c r="L40" s="524"/>
    </row>
    <row r="41" spans="1:12" s="485" customFormat="1" ht="13.5" customHeight="1" x14ac:dyDescent="0.2">
      <c r="A41" s="1511" t="s">
        <v>661</v>
      </c>
      <c r="B41" s="483">
        <v>7800</v>
      </c>
      <c r="C41" s="480"/>
      <c r="D41" s="480"/>
      <c r="E41" s="526"/>
      <c r="F41" s="480"/>
      <c r="G41" s="480"/>
      <c r="H41" s="1765">
        <f>SUM(C70:D73)</f>
        <v>0</v>
      </c>
      <c r="I41" s="477"/>
      <c r="J41" s="477"/>
      <c r="K41" s="480"/>
      <c r="L41" s="524"/>
    </row>
    <row r="42" spans="1:12" s="485" customFormat="1" ht="13.5" customHeight="1" x14ac:dyDescent="0.2">
      <c r="A42" s="1511" t="s">
        <v>662</v>
      </c>
      <c r="B42" s="483">
        <v>7900</v>
      </c>
      <c r="C42" s="467"/>
      <c r="D42" s="467"/>
      <c r="E42" s="467"/>
      <c r="F42" s="467"/>
      <c r="G42" s="467"/>
      <c r="H42" s="467"/>
      <c r="I42" s="480"/>
      <c r="J42" s="480"/>
      <c r="K42" s="467"/>
      <c r="L42" s="524"/>
    </row>
    <row r="43" spans="1:12" s="485" customFormat="1" ht="13.5" customHeight="1" x14ac:dyDescent="0.2">
      <c r="A43" s="1511" t="s">
        <v>391</v>
      </c>
      <c r="B43" s="483">
        <v>7990</v>
      </c>
      <c r="C43" s="467"/>
      <c r="D43" s="467"/>
      <c r="E43" s="467"/>
      <c r="F43" s="467"/>
      <c r="G43" s="467"/>
      <c r="H43" s="467"/>
      <c r="I43" s="467"/>
      <c r="J43" s="467"/>
      <c r="K43" s="467"/>
      <c r="L43" s="524"/>
    </row>
    <row r="44" spans="1:12" s="485" customFormat="1" ht="13.5" customHeight="1" thickBot="1" x14ac:dyDescent="0.25">
      <c r="A44" s="2159" t="s">
        <v>392</v>
      </c>
      <c r="B44" s="2160"/>
      <c r="C44" s="1725">
        <f>SUM(C24:C43)</f>
        <v>0</v>
      </c>
      <c r="D44" s="1725">
        <f t="shared" ref="D44:K44" si="6">SUM(D24:D43)</f>
        <v>0</v>
      </c>
      <c r="E44" s="1725">
        <f t="shared" si="6"/>
        <v>0</v>
      </c>
      <c r="F44" s="1725">
        <f t="shared" si="6"/>
        <v>0</v>
      </c>
      <c r="G44" s="1725">
        <f t="shared" si="6"/>
        <v>0</v>
      </c>
      <c r="H44" s="1725">
        <f t="shared" si="6"/>
        <v>0</v>
      </c>
      <c r="I44" s="1725">
        <f t="shared" si="6"/>
        <v>0</v>
      </c>
      <c r="J44" s="1725">
        <f t="shared" si="6"/>
        <v>0</v>
      </c>
      <c r="K44" s="1725">
        <f t="shared" si="6"/>
        <v>0</v>
      </c>
      <c r="L44" s="524"/>
    </row>
    <row r="45" spans="1:12" ht="15.75" customHeight="1" thickTop="1" x14ac:dyDescent="0.2">
      <c r="A45" s="2153" t="s">
        <v>110</v>
      </c>
      <c r="B45" s="2154"/>
      <c r="C45" s="528"/>
      <c r="D45" s="528"/>
      <c r="E45" s="528"/>
      <c r="F45" s="528"/>
      <c r="G45" s="528"/>
      <c r="H45" s="528"/>
      <c r="I45" s="528"/>
      <c r="J45" s="528"/>
      <c r="K45" s="528"/>
      <c r="L45" s="347"/>
    </row>
    <row r="46" spans="1:12" s="485" customFormat="1" ht="15.75" customHeight="1" x14ac:dyDescent="0.2">
      <c r="A46" s="2161" t="s">
        <v>111</v>
      </c>
      <c r="B46" s="2162"/>
      <c r="C46" s="477"/>
      <c r="D46" s="477"/>
      <c r="E46" s="477"/>
      <c r="F46" s="477"/>
      <c r="G46" s="477"/>
      <c r="H46" s="477"/>
      <c r="I46" s="480"/>
      <c r="J46" s="477"/>
      <c r="K46" s="477"/>
      <c r="L46" s="529"/>
    </row>
    <row r="47" spans="1:12" s="485" customFormat="1" ht="15" x14ac:dyDescent="0.2">
      <c r="A47" s="1512" t="s">
        <v>1758</v>
      </c>
      <c r="B47" s="483">
        <v>8110</v>
      </c>
      <c r="C47" s="477"/>
      <c r="D47" s="477"/>
      <c r="E47" s="477"/>
      <c r="F47" s="477"/>
      <c r="G47" s="477"/>
      <c r="H47" s="477"/>
      <c r="I47" s="1765">
        <f>SUM(C24,C25:H25,J25:K25)</f>
        <v>0</v>
      </c>
      <c r="J47" s="477"/>
      <c r="K47" s="477"/>
      <c r="L47" s="529"/>
    </row>
    <row r="48" spans="1:12" s="485" customFormat="1" ht="15" x14ac:dyDescent="0.2">
      <c r="A48" s="1512" t="s">
        <v>1759</v>
      </c>
      <c r="B48" s="483">
        <v>8120</v>
      </c>
      <c r="C48" s="480"/>
      <c r="D48" s="480"/>
      <c r="E48" s="477"/>
      <c r="F48" s="480"/>
      <c r="G48" s="477"/>
      <c r="H48" s="477"/>
      <c r="I48" s="1765">
        <f>SUM(C26:H26,J26,K26)</f>
        <v>0</v>
      </c>
      <c r="J48" s="477"/>
      <c r="K48" s="477"/>
      <c r="L48" s="529"/>
    </row>
    <row r="49" spans="1:12" s="485" customFormat="1" x14ac:dyDescent="0.2">
      <c r="A49" s="1512" t="s">
        <v>194</v>
      </c>
      <c r="B49" s="483">
        <v>8130</v>
      </c>
      <c r="C49" s="467"/>
      <c r="D49" s="467"/>
      <c r="E49" s="480"/>
      <c r="F49" s="467"/>
      <c r="G49" s="480"/>
      <c r="H49" s="480"/>
      <c r="I49" s="477"/>
      <c r="J49" s="480"/>
      <c r="K49" s="477"/>
      <c r="L49" s="524"/>
    </row>
    <row r="50" spans="1:12" s="485" customFormat="1" x14ac:dyDescent="0.2">
      <c r="A50" s="1512" t="s">
        <v>1465</v>
      </c>
      <c r="B50" s="483">
        <v>8140</v>
      </c>
      <c r="C50" s="467"/>
      <c r="D50" s="467"/>
      <c r="E50" s="467"/>
      <c r="F50" s="467"/>
      <c r="G50" s="467"/>
      <c r="H50" s="467"/>
      <c r="I50" s="477"/>
      <c r="J50" s="467"/>
      <c r="K50" s="477"/>
      <c r="L50" s="524"/>
    </row>
    <row r="51" spans="1:12" s="485" customFormat="1" x14ac:dyDescent="0.2">
      <c r="A51" s="1512" t="s">
        <v>312</v>
      </c>
      <c r="B51" s="483">
        <v>8150</v>
      </c>
      <c r="C51" s="475"/>
      <c r="D51" s="475"/>
      <c r="E51" s="475"/>
      <c r="F51" s="475"/>
      <c r="G51" s="475"/>
      <c r="H51" s="1765">
        <f>SUM(D29)</f>
        <v>0</v>
      </c>
      <c r="I51" s="477"/>
      <c r="J51" s="475"/>
      <c r="K51" s="480"/>
      <c r="L51" s="524"/>
    </row>
    <row r="52" spans="1:12" s="485" customFormat="1" ht="26.25" x14ac:dyDescent="0.2">
      <c r="A52" s="1512" t="s">
        <v>1898</v>
      </c>
      <c r="B52" s="483">
        <v>8160</v>
      </c>
      <c r="C52" s="477"/>
      <c r="D52" s="477"/>
      <c r="E52" s="477"/>
      <c r="F52" s="477"/>
      <c r="G52" s="477"/>
      <c r="H52" s="477"/>
      <c r="I52" s="477"/>
      <c r="J52" s="477"/>
      <c r="K52" s="1765">
        <f>D30</f>
        <v>0</v>
      </c>
      <c r="L52" s="524"/>
    </row>
    <row r="53" spans="1:12" s="485" customFormat="1" ht="26.25" x14ac:dyDescent="0.2">
      <c r="A53" s="1512" t="s">
        <v>1897</v>
      </c>
      <c r="B53" s="483">
        <v>8170</v>
      </c>
      <c r="C53" s="480"/>
      <c r="D53" s="480"/>
      <c r="E53" s="477"/>
      <c r="F53" s="477"/>
      <c r="G53" s="477"/>
      <c r="H53" s="480"/>
      <c r="I53" s="477"/>
      <c r="J53" s="477"/>
      <c r="K53" s="1765">
        <f>E31</f>
        <v>0</v>
      </c>
      <c r="L53" s="524"/>
    </row>
    <row r="54" spans="1:12" s="485" customFormat="1" ht="13.5" thickBot="1" x14ac:dyDescent="0.25">
      <c r="A54" s="1512" t="s">
        <v>716</v>
      </c>
      <c r="B54" s="483">
        <v>8410</v>
      </c>
      <c r="C54" s="530"/>
      <c r="D54" s="530"/>
      <c r="E54" s="477"/>
      <c r="F54" s="477"/>
      <c r="G54" s="477"/>
      <c r="H54" s="530"/>
      <c r="I54" s="477"/>
      <c r="J54" s="477"/>
      <c r="K54" s="475"/>
      <c r="L54" s="524"/>
    </row>
    <row r="55" spans="1:12" s="485" customFormat="1" ht="14.25" thickTop="1" thickBot="1" x14ac:dyDescent="0.25">
      <c r="A55" s="1513" t="s">
        <v>717</v>
      </c>
      <c r="B55" s="483">
        <v>8420</v>
      </c>
      <c r="C55" s="531"/>
      <c r="D55" s="531"/>
      <c r="E55" s="477"/>
      <c r="F55" s="477"/>
      <c r="G55" s="477"/>
      <c r="H55" s="530"/>
      <c r="I55" s="477"/>
      <c r="J55" s="477"/>
      <c r="K55" s="477"/>
      <c r="L55" s="524"/>
    </row>
    <row r="56" spans="1:12" s="485" customFormat="1" ht="14.25" thickTop="1" thickBot="1" x14ac:dyDescent="0.25">
      <c r="A56" s="1512" t="s">
        <v>602</v>
      </c>
      <c r="B56" s="483">
        <v>8430</v>
      </c>
      <c r="C56" s="531"/>
      <c r="D56" s="531"/>
      <c r="E56" s="477"/>
      <c r="F56" s="477"/>
      <c r="G56" s="477"/>
      <c r="H56" s="530"/>
      <c r="I56" s="477"/>
      <c r="J56" s="477"/>
      <c r="K56" s="477"/>
      <c r="L56" s="524"/>
    </row>
    <row r="57" spans="1:12" s="485" customFormat="1" ht="14.25" thickTop="1" thickBot="1" x14ac:dyDescent="0.25">
      <c r="A57" s="1513" t="s">
        <v>599</v>
      </c>
      <c r="B57" s="483">
        <v>8440</v>
      </c>
      <c r="C57" s="531"/>
      <c r="D57" s="531"/>
      <c r="E57" s="477"/>
      <c r="F57" s="477"/>
      <c r="G57" s="477"/>
      <c r="H57" s="530"/>
      <c r="I57" s="477"/>
      <c r="J57" s="477"/>
      <c r="K57" s="477"/>
      <c r="L57" s="524"/>
    </row>
    <row r="58" spans="1:12" s="485" customFormat="1" ht="14.25" thickTop="1" thickBot="1" x14ac:dyDescent="0.25">
      <c r="A58" s="1512" t="s">
        <v>600</v>
      </c>
      <c r="B58" s="483">
        <v>8510</v>
      </c>
      <c r="C58" s="531"/>
      <c r="D58" s="531"/>
      <c r="E58" s="477"/>
      <c r="F58" s="477"/>
      <c r="G58" s="477"/>
      <c r="H58" s="530"/>
      <c r="I58" s="477"/>
      <c r="J58" s="477"/>
      <c r="K58" s="477"/>
      <c r="L58" s="524"/>
    </row>
    <row r="59" spans="1:12" s="485" customFormat="1" ht="14.25" thickTop="1" thickBot="1" x14ac:dyDescent="0.25">
      <c r="A59" s="1514" t="s">
        <v>718</v>
      </c>
      <c r="B59" s="483">
        <v>8520</v>
      </c>
      <c r="C59" s="531"/>
      <c r="D59" s="531"/>
      <c r="E59" s="477"/>
      <c r="F59" s="477"/>
      <c r="G59" s="477"/>
      <c r="H59" s="530"/>
      <c r="I59" s="477"/>
      <c r="J59" s="477"/>
      <c r="K59" s="477"/>
      <c r="L59" s="524"/>
    </row>
    <row r="60" spans="1:12" s="485" customFormat="1" ht="14.25" thickTop="1" thickBot="1" x14ac:dyDescent="0.25">
      <c r="A60" s="1512" t="s">
        <v>601</v>
      </c>
      <c r="B60" s="483">
        <v>8530</v>
      </c>
      <c r="C60" s="531"/>
      <c r="D60" s="531"/>
      <c r="E60" s="477"/>
      <c r="F60" s="477"/>
      <c r="G60" s="477"/>
      <c r="H60" s="530"/>
      <c r="I60" s="477"/>
      <c r="J60" s="477"/>
      <c r="K60" s="477"/>
      <c r="L60" s="524"/>
    </row>
    <row r="61" spans="1:12" s="485" customFormat="1" ht="14.25" thickTop="1" thickBot="1" x14ac:dyDescent="0.25">
      <c r="A61" s="1513" t="s">
        <v>767</v>
      </c>
      <c r="B61" s="483">
        <v>8540</v>
      </c>
      <c r="C61" s="531"/>
      <c r="D61" s="531"/>
      <c r="E61" s="477"/>
      <c r="F61" s="477"/>
      <c r="G61" s="477"/>
      <c r="H61" s="530"/>
      <c r="I61" s="477"/>
      <c r="J61" s="477"/>
      <c r="K61" s="477"/>
      <c r="L61" s="524"/>
    </row>
    <row r="62" spans="1:12" s="485" customFormat="1" ht="13.5" customHeight="1" thickTop="1" thickBot="1" x14ac:dyDescent="0.25">
      <c r="A62" s="1512" t="s">
        <v>768</v>
      </c>
      <c r="B62" s="483">
        <v>8610</v>
      </c>
      <c r="C62" s="531"/>
      <c r="D62" s="531"/>
      <c r="E62" s="477"/>
      <c r="F62" s="477"/>
      <c r="G62" s="477"/>
      <c r="H62" s="477"/>
      <c r="I62" s="477"/>
      <c r="J62" s="477"/>
      <c r="K62" s="477"/>
      <c r="L62" s="524"/>
    </row>
    <row r="63" spans="1:12" s="485" customFormat="1" ht="14.25" thickTop="1" thickBot="1" x14ac:dyDescent="0.25">
      <c r="A63" s="1513" t="s">
        <v>719</v>
      </c>
      <c r="B63" s="483">
        <v>8620</v>
      </c>
      <c r="C63" s="531"/>
      <c r="D63" s="531"/>
      <c r="E63" s="477"/>
      <c r="F63" s="477"/>
      <c r="G63" s="477"/>
      <c r="H63" s="477"/>
      <c r="I63" s="477"/>
      <c r="J63" s="477"/>
      <c r="K63" s="477"/>
      <c r="L63" s="524"/>
    </row>
    <row r="64" spans="1:12" s="485" customFormat="1" ht="13.5" customHeight="1" thickTop="1" thickBot="1" x14ac:dyDescent="0.25">
      <c r="A64" s="1512" t="s">
        <v>769</v>
      </c>
      <c r="B64" s="483">
        <v>8630</v>
      </c>
      <c r="C64" s="531"/>
      <c r="D64" s="531"/>
      <c r="E64" s="477"/>
      <c r="F64" s="477"/>
      <c r="G64" s="477"/>
      <c r="H64" s="477"/>
      <c r="I64" s="477"/>
      <c r="J64" s="477"/>
      <c r="K64" s="477"/>
      <c r="L64" s="524"/>
    </row>
    <row r="65" spans="1:12" s="485" customFormat="1" ht="14.25" thickTop="1" thickBot="1" x14ac:dyDescent="0.25">
      <c r="A65" s="1513" t="s">
        <v>770</v>
      </c>
      <c r="B65" s="483">
        <v>8640</v>
      </c>
      <c r="C65" s="531"/>
      <c r="D65" s="531"/>
      <c r="E65" s="477"/>
      <c r="F65" s="477"/>
      <c r="G65" s="477"/>
      <c r="H65" s="477"/>
      <c r="I65" s="477"/>
      <c r="J65" s="477"/>
      <c r="K65" s="477"/>
      <c r="L65" s="524"/>
    </row>
    <row r="66" spans="1:12" s="485" customFormat="1" ht="14.25" thickTop="1" thickBot="1" x14ac:dyDescent="0.25">
      <c r="A66" s="1512" t="s">
        <v>771</v>
      </c>
      <c r="B66" s="483">
        <v>8710</v>
      </c>
      <c r="C66" s="531"/>
      <c r="D66" s="531"/>
      <c r="E66" s="477"/>
      <c r="F66" s="477"/>
      <c r="G66" s="477"/>
      <c r="H66" s="477"/>
      <c r="I66" s="477"/>
      <c r="J66" s="477"/>
      <c r="K66" s="477"/>
      <c r="L66" s="524"/>
    </row>
    <row r="67" spans="1:12" s="485" customFormat="1" ht="14.25" thickTop="1" thickBot="1" x14ac:dyDescent="0.25">
      <c r="A67" s="1513" t="s">
        <v>720</v>
      </c>
      <c r="B67" s="483">
        <v>8720</v>
      </c>
      <c r="C67" s="531"/>
      <c r="D67" s="531"/>
      <c r="E67" s="477"/>
      <c r="F67" s="477"/>
      <c r="G67" s="477"/>
      <c r="H67" s="477"/>
      <c r="I67" s="477"/>
      <c r="J67" s="477"/>
      <c r="K67" s="477"/>
      <c r="L67" s="524"/>
    </row>
    <row r="68" spans="1:12" s="485" customFormat="1" ht="14.25" thickTop="1" thickBot="1" x14ac:dyDescent="0.25">
      <c r="A68" s="1514" t="s">
        <v>772</v>
      </c>
      <c r="B68" s="483">
        <v>8730</v>
      </c>
      <c r="C68" s="531"/>
      <c r="D68" s="531"/>
      <c r="E68" s="477"/>
      <c r="F68" s="477"/>
      <c r="G68" s="477"/>
      <c r="H68" s="477"/>
      <c r="I68" s="477"/>
      <c r="J68" s="477"/>
      <c r="K68" s="477"/>
      <c r="L68" s="524"/>
    </row>
    <row r="69" spans="1:12" s="485" customFormat="1" ht="14.25" thickTop="1" thickBot="1" x14ac:dyDescent="0.25">
      <c r="A69" s="1513" t="s">
        <v>773</v>
      </c>
      <c r="B69" s="483">
        <v>8740</v>
      </c>
      <c r="C69" s="531"/>
      <c r="D69" s="531"/>
      <c r="E69" s="477"/>
      <c r="F69" s="477"/>
      <c r="G69" s="477"/>
      <c r="H69" s="477"/>
      <c r="I69" s="477"/>
      <c r="J69" s="477"/>
      <c r="K69" s="477"/>
      <c r="L69" s="524"/>
    </row>
    <row r="70" spans="1:12" s="485" customFormat="1" ht="14.25" thickTop="1" thickBot="1" x14ac:dyDescent="0.25">
      <c r="A70" s="1512" t="s">
        <v>774</v>
      </c>
      <c r="B70" s="483">
        <v>8810</v>
      </c>
      <c r="C70" s="531"/>
      <c r="D70" s="531"/>
      <c r="E70" s="477"/>
      <c r="F70" s="477"/>
      <c r="G70" s="477"/>
      <c r="H70" s="477"/>
      <c r="I70" s="477"/>
      <c r="J70" s="477"/>
      <c r="K70" s="477"/>
      <c r="L70" s="524"/>
    </row>
    <row r="71" spans="1:12" s="485" customFormat="1" ht="14.25" thickTop="1" thickBot="1" x14ac:dyDescent="0.25">
      <c r="A71" s="1512" t="s">
        <v>778</v>
      </c>
      <c r="B71" s="483">
        <v>8820</v>
      </c>
      <c r="C71" s="531"/>
      <c r="D71" s="531"/>
      <c r="E71" s="477"/>
      <c r="F71" s="477"/>
      <c r="G71" s="477"/>
      <c r="H71" s="477"/>
      <c r="I71" s="477"/>
      <c r="J71" s="477"/>
      <c r="K71" s="477"/>
      <c r="L71" s="524"/>
    </row>
    <row r="72" spans="1:12" s="485" customFormat="1" ht="14.25" thickTop="1" thickBot="1" x14ac:dyDescent="0.25">
      <c r="A72" s="1512" t="s">
        <v>775</v>
      </c>
      <c r="B72" s="483">
        <v>8830</v>
      </c>
      <c r="C72" s="531"/>
      <c r="D72" s="531"/>
      <c r="E72" s="477"/>
      <c r="F72" s="477"/>
      <c r="G72" s="477"/>
      <c r="H72" s="477"/>
      <c r="I72" s="477"/>
      <c r="J72" s="477"/>
      <c r="K72" s="477"/>
      <c r="L72" s="524"/>
    </row>
    <row r="73" spans="1:12" s="485" customFormat="1" ht="14.25" thickTop="1" thickBot="1" x14ac:dyDescent="0.25">
      <c r="A73" s="1512" t="s">
        <v>776</v>
      </c>
      <c r="B73" s="483">
        <v>8840</v>
      </c>
      <c r="C73" s="531"/>
      <c r="D73" s="531"/>
      <c r="E73" s="477"/>
      <c r="F73" s="477"/>
      <c r="G73" s="477"/>
      <c r="H73" s="477"/>
      <c r="I73" s="477"/>
      <c r="J73" s="477"/>
      <c r="K73" s="480"/>
      <c r="L73" s="524"/>
    </row>
    <row r="74" spans="1:12" s="485" customFormat="1" ht="14.25" thickTop="1" thickBot="1" x14ac:dyDescent="0.25">
      <c r="A74" s="1512" t="s">
        <v>393</v>
      </c>
      <c r="B74" s="483">
        <v>8910</v>
      </c>
      <c r="C74" s="531"/>
      <c r="D74" s="531"/>
      <c r="E74" s="480"/>
      <c r="F74" s="530"/>
      <c r="G74" s="530"/>
      <c r="H74" s="530"/>
      <c r="I74" s="480"/>
      <c r="J74" s="480"/>
      <c r="K74" s="530"/>
      <c r="L74" s="524"/>
    </row>
    <row r="75" spans="1:12" s="485" customFormat="1" ht="14.25" thickTop="1" thickBot="1" x14ac:dyDescent="0.25">
      <c r="A75" s="1515" t="s">
        <v>459</v>
      </c>
      <c r="B75" s="483">
        <v>8990</v>
      </c>
      <c r="C75" s="531"/>
      <c r="D75" s="531"/>
      <c r="E75" s="530"/>
      <c r="F75" s="532"/>
      <c r="G75" s="532"/>
      <c r="H75" s="532"/>
      <c r="I75" s="530"/>
      <c r="J75" s="530"/>
      <c r="K75" s="532"/>
      <c r="L75" s="524"/>
    </row>
    <row r="76" spans="1:12" s="485" customFormat="1" ht="14.25" thickTop="1" thickBot="1" x14ac:dyDescent="0.25">
      <c r="A76" s="2135" t="s">
        <v>460</v>
      </c>
      <c r="B76" s="2136"/>
      <c r="C76" s="1725">
        <f t="shared" ref="C76:K76" si="7">SUM(C47:C75)</f>
        <v>0</v>
      </c>
      <c r="D76" s="1725">
        <f t="shared" si="7"/>
        <v>0</v>
      </c>
      <c r="E76" s="1725">
        <f t="shared" si="7"/>
        <v>0</v>
      </c>
      <c r="F76" s="1725">
        <f t="shared" si="7"/>
        <v>0</v>
      </c>
      <c r="G76" s="1725">
        <f t="shared" si="7"/>
        <v>0</v>
      </c>
      <c r="H76" s="1725">
        <f t="shared" si="7"/>
        <v>0</v>
      </c>
      <c r="I76" s="1725">
        <f t="shared" si="7"/>
        <v>0</v>
      </c>
      <c r="J76" s="1725">
        <f t="shared" si="7"/>
        <v>0</v>
      </c>
      <c r="K76" s="1725">
        <f t="shared" si="7"/>
        <v>0</v>
      </c>
      <c r="L76" s="524"/>
    </row>
    <row r="77" spans="1:12" ht="14.25" thickTop="1" thickBot="1" x14ac:dyDescent="0.25">
      <c r="A77" s="2137" t="s">
        <v>1239</v>
      </c>
      <c r="B77" s="2138"/>
      <c r="C77" s="1725">
        <f t="shared" ref="C77:K77" si="8">C44-C76</f>
        <v>0</v>
      </c>
      <c r="D77" s="1725">
        <f t="shared" si="8"/>
        <v>0</v>
      </c>
      <c r="E77" s="1725">
        <f t="shared" si="8"/>
        <v>0</v>
      </c>
      <c r="F77" s="1725">
        <f t="shared" si="8"/>
        <v>0</v>
      </c>
      <c r="G77" s="1725">
        <f t="shared" si="8"/>
        <v>0</v>
      </c>
      <c r="H77" s="1725">
        <f t="shared" si="8"/>
        <v>0</v>
      </c>
      <c r="I77" s="1725">
        <f t="shared" si="8"/>
        <v>0</v>
      </c>
      <c r="J77" s="1725">
        <f t="shared" si="8"/>
        <v>0</v>
      </c>
      <c r="K77" s="1725">
        <f t="shared" si="8"/>
        <v>0</v>
      </c>
      <c r="L77" s="347"/>
    </row>
    <row r="78" spans="1:12" ht="21.75" customHeight="1" thickTop="1" thickBot="1" x14ac:dyDescent="0.25">
      <c r="A78" s="2141" t="s">
        <v>618</v>
      </c>
      <c r="B78" s="2142"/>
      <c r="C78" s="1724">
        <f t="shared" ref="C78:K78" si="9">C20+C77</f>
        <v>745108</v>
      </c>
      <c r="D78" s="1724">
        <f t="shared" si="9"/>
        <v>424821</v>
      </c>
      <c r="E78" s="1724">
        <f t="shared" si="9"/>
        <v>-57369</v>
      </c>
      <c r="F78" s="1724">
        <f t="shared" si="9"/>
        <v>236316</v>
      </c>
      <c r="G78" s="1724">
        <f t="shared" si="9"/>
        <v>31965</v>
      </c>
      <c r="H78" s="1724">
        <f t="shared" si="9"/>
        <v>-3293666</v>
      </c>
      <c r="I78" s="1724">
        <f t="shared" si="9"/>
        <v>10573</v>
      </c>
      <c r="J78" s="1724">
        <f t="shared" si="9"/>
        <v>-23624</v>
      </c>
      <c r="K78" s="1724">
        <f t="shared" si="9"/>
        <v>47490</v>
      </c>
      <c r="L78" s="533"/>
    </row>
    <row r="79" spans="1:12" ht="13.5" thickTop="1" x14ac:dyDescent="0.2">
      <c r="A79" s="1516" t="s">
        <v>2069</v>
      </c>
      <c r="B79" s="534"/>
      <c r="C79" s="478">
        <v>8380498</v>
      </c>
      <c r="D79" s="535">
        <v>259472</v>
      </c>
      <c r="E79" s="535">
        <v>402797</v>
      </c>
      <c r="F79" s="535">
        <v>155909</v>
      </c>
      <c r="G79" s="535">
        <v>253836</v>
      </c>
      <c r="H79" s="535">
        <v>6274037</v>
      </c>
      <c r="I79" s="535">
        <v>535850</v>
      </c>
      <c r="J79" s="535">
        <v>259372</v>
      </c>
      <c r="K79" s="535">
        <v>107017</v>
      </c>
      <c r="L79" s="347"/>
    </row>
    <row r="80" spans="1:12" x14ac:dyDescent="0.2">
      <c r="A80" s="2147" t="s">
        <v>1896</v>
      </c>
      <c r="B80" s="2148"/>
      <c r="C80" s="467"/>
      <c r="D80" s="467"/>
      <c r="E80" s="467"/>
      <c r="F80" s="467"/>
      <c r="G80" s="467"/>
      <c r="H80" s="467"/>
      <c r="I80" s="467"/>
      <c r="J80" s="467"/>
      <c r="K80" s="467"/>
      <c r="L80" s="347"/>
    </row>
    <row r="81" spans="1:12" ht="13.5" thickBot="1" x14ac:dyDescent="0.25">
      <c r="A81" s="2139" t="s">
        <v>2070</v>
      </c>
      <c r="B81" s="2140"/>
      <c r="C81" s="1710">
        <f>(SUM(C78:C80))</f>
        <v>9125606</v>
      </c>
      <c r="D81" s="1710">
        <f>SUM(D78:D80)</f>
        <v>684293</v>
      </c>
      <c r="E81" s="1710">
        <f t="shared" ref="E81:K81" si="10">SUM(E78:E80)</f>
        <v>345428</v>
      </c>
      <c r="F81" s="1710">
        <f t="shared" si="10"/>
        <v>392225</v>
      </c>
      <c r="G81" s="1710">
        <f t="shared" si="10"/>
        <v>285801</v>
      </c>
      <c r="H81" s="1710">
        <f t="shared" si="10"/>
        <v>2980371</v>
      </c>
      <c r="I81" s="1710">
        <f t="shared" si="10"/>
        <v>546423</v>
      </c>
      <c r="J81" s="1710">
        <f t="shared" si="10"/>
        <v>235748</v>
      </c>
      <c r="K81" s="1710">
        <f t="shared" si="10"/>
        <v>154507</v>
      </c>
      <c r="L81" s="347"/>
    </row>
    <row r="82" spans="1:12" ht="0.75" customHeight="1" thickTop="1" thickBot="1" x14ac:dyDescent="0.25">
      <c r="A82" s="536" t="s">
        <v>361</v>
      </c>
      <c r="B82" s="537"/>
      <c r="C82" s="538">
        <f>(C81-C79)</f>
        <v>745108</v>
      </c>
      <c r="D82" s="538">
        <f t="shared" ref="D82:K82" si="11">(D81-D79)</f>
        <v>424821</v>
      </c>
      <c r="E82" s="538">
        <f t="shared" si="11"/>
        <v>-57369</v>
      </c>
      <c r="F82" s="538">
        <f t="shared" si="11"/>
        <v>236316</v>
      </c>
      <c r="G82" s="538">
        <f t="shared" si="11"/>
        <v>31965</v>
      </c>
      <c r="H82" s="538">
        <f t="shared" si="11"/>
        <v>-3293666</v>
      </c>
      <c r="I82" s="538">
        <f t="shared" si="11"/>
        <v>10573</v>
      </c>
      <c r="J82" s="538">
        <f t="shared" si="11"/>
        <v>-23624</v>
      </c>
      <c r="K82" s="538">
        <f t="shared" si="11"/>
        <v>47490</v>
      </c>
    </row>
    <row r="83" spans="1:12" ht="14.25" hidden="1" thickTop="1" thickBot="1" x14ac:dyDescent="0.25">
      <c r="A83" s="539" t="s">
        <v>362</v>
      </c>
      <c r="B83" s="464"/>
      <c r="C83" s="540">
        <f>C82/C81</f>
        <v>8.1650248761561697E-2</v>
      </c>
      <c r="D83" s="540">
        <f t="shared" ref="D83:K83" si="12">D82/D81</f>
        <v>0.62081739839513195</v>
      </c>
      <c r="E83" s="540">
        <f t="shared" si="12"/>
        <v>-0.16608091990226617</v>
      </c>
      <c r="F83" s="540">
        <f t="shared" si="12"/>
        <v>0.60250111543119378</v>
      </c>
      <c r="G83" s="540">
        <f t="shared" si="12"/>
        <v>0.11184355548091154</v>
      </c>
      <c r="H83" s="540">
        <f t="shared" si="12"/>
        <v>-1.1051194633151376</v>
      </c>
      <c r="I83" s="540">
        <f t="shared" si="12"/>
        <v>1.9349478334550339E-2</v>
      </c>
      <c r="J83" s="540">
        <f t="shared" si="12"/>
        <v>-0.10020869742267166</v>
      </c>
      <c r="K83" s="540">
        <f t="shared" si="12"/>
        <v>0.30736471486728756</v>
      </c>
    </row>
    <row r="84" spans="1:12" ht="13.5" thickTop="1" x14ac:dyDescent="0.2"/>
    <row r="86" spans="1:12" x14ac:dyDescent="0.2">
      <c r="C86" s="503"/>
      <c r="D86" s="503"/>
      <c r="E86" s="503"/>
      <c r="F86" s="503"/>
      <c r="G86" s="503"/>
      <c r="H86" s="503"/>
      <c r="I86" s="503"/>
      <c r="J86" s="503"/>
    </row>
    <row r="87" spans="1:12" x14ac:dyDescent="0.2">
      <c r="C87" s="503"/>
    </row>
  </sheetData>
  <sheetProtection algorithmName="SHA-512" hashValue="MZhXzpYGL5qx5Rq/FfVtdSY7RPO67m536gYIL0oK0W2+pow2NaSFCJMG9EqZRUXEsjaaHIp0Z8V60iOVkHciiw==" saltValue="AyaTF3xk7BYbWIIDl/GI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3"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2018
 &amp;R&amp;8Page &amp;P</oddHeader>
    <oddFooter>&amp;L&amp;8Print Date: &amp;D
&amp;F</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L286"/>
  <sheetViews>
    <sheetView showGridLines="0" defaultGridColor="0" topLeftCell="B1" colorId="8" zoomScale="110" zoomScaleNormal="110" zoomScaleSheetLayoutView="75" workbookViewId="0">
      <pane ySplit="2" topLeftCell="A267" activePane="bottomLeft" state="frozen"/>
      <selection pane="bottomLeft" activeCell="C272" sqref="C272"/>
    </sheetView>
  </sheetViews>
  <sheetFormatPr defaultColWidth="9.140625" defaultRowHeight="12.75" x14ac:dyDescent="0.2"/>
  <cols>
    <col min="1" max="1" width="54.140625" style="595" customWidth="1"/>
    <col min="2" max="2" width="4.7109375" style="596" customWidth="1"/>
    <col min="3" max="11" width="13.7109375" style="384" customWidth="1"/>
    <col min="12" max="16384" width="9.140625" style="384"/>
  </cols>
  <sheetData>
    <row r="1" spans="1:12" x14ac:dyDescent="0.2">
      <c r="A1" s="2143" t="s">
        <v>1903</v>
      </c>
      <c r="B1" s="452"/>
      <c r="C1" s="453" t="s">
        <v>445</v>
      </c>
      <c r="D1" s="453" t="s">
        <v>446</v>
      </c>
      <c r="E1" s="453" t="s">
        <v>447</v>
      </c>
      <c r="F1" s="453" t="s">
        <v>448</v>
      </c>
      <c r="G1" s="453" t="s">
        <v>449</v>
      </c>
      <c r="H1" s="453" t="s">
        <v>450</v>
      </c>
      <c r="I1" s="453" t="s">
        <v>451</v>
      </c>
      <c r="J1" s="453" t="s">
        <v>452</v>
      </c>
      <c r="K1" s="453" t="s">
        <v>780</v>
      </c>
    </row>
    <row r="2" spans="1:12" ht="36" x14ac:dyDescent="0.2">
      <c r="A2" s="2144"/>
      <c r="B2" s="541" t="s">
        <v>396</v>
      </c>
      <c r="C2" s="542" t="s">
        <v>1217</v>
      </c>
      <c r="D2" s="542" t="s">
        <v>925</v>
      </c>
      <c r="E2" s="542" t="s">
        <v>458</v>
      </c>
      <c r="F2" s="542" t="s">
        <v>157</v>
      </c>
      <c r="G2" s="542" t="s">
        <v>1046</v>
      </c>
      <c r="H2" s="542" t="s">
        <v>457</v>
      </c>
      <c r="I2" s="542" t="s">
        <v>427</v>
      </c>
      <c r="J2" s="542" t="s">
        <v>456</v>
      </c>
      <c r="K2" s="542" t="s">
        <v>159</v>
      </c>
    </row>
    <row r="3" spans="1:12" ht="16.7" customHeight="1" x14ac:dyDescent="0.2">
      <c r="A3" s="1601" t="s">
        <v>115</v>
      </c>
      <c r="B3" s="1602"/>
      <c r="C3" s="1603"/>
      <c r="D3" s="1603"/>
      <c r="E3" s="1603"/>
      <c r="F3" s="1604"/>
      <c r="G3" s="1605"/>
      <c r="H3" s="1604"/>
      <c r="I3" s="1604"/>
      <c r="J3" s="1604"/>
      <c r="K3" s="1606"/>
    </row>
    <row r="4" spans="1:12" ht="15.75" customHeight="1" x14ac:dyDescent="0.2">
      <c r="A4" s="1612" t="s">
        <v>397</v>
      </c>
      <c r="B4" s="1613">
        <v>1100</v>
      </c>
      <c r="C4" s="543"/>
      <c r="D4" s="543"/>
      <c r="E4" s="543"/>
      <c r="F4" s="544"/>
      <c r="G4" s="545"/>
      <c r="H4" s="546"/>
      <c r="I4" s="546"/>
      <c r="J4" s="546"/>
      <c r="K4" s="546"/>
    </row>
    <row r="5" spans="1:12" ht="15" x14ac:dyDescent="0.2">
      <c r="A5" s="493" t="s">
        <v>1760</v>
      </c>
      <c r="B5" s="547"/>
      <c r="C5" s="481">
        <v>2920733</v>
      </c>
      <c r="D5" s="481">
        <v>277169</v>
      </c>
      <c r="E5" s="466"/>
      <c r="F5" s="548">
        <v>203930</v>
      </c>
      <c r="G5" s="466">
        <v>280435</v>
      </c>
      <c r="H5" s="466"/>
      <c r="I5" s="466">
        <v>9973</v>
      </c>
      <c r="J5" s="467">
        <v>282057</v>
      </c>
      <c r="K5" s="466">
        <v>47128</v>
      </c>
    </row>
    <row r="6" spans="1:12" ht="15" x14ac:dyDescent="0.2">
      <c r="A6" s="463" t="s">
        <v>1761</v>
      </c>
      <c r="B6" s="470">
        <v>1130</v>
      </c>
      <c r="C6" s="466"/>
      <c r="D6" s="466"/>
      <c r="E6" s="475"/>
      <c r="F6" s="475"/>
      <c r="G6" s="468"/>
      <c r="H6" s="468"/>
      <c r="I6" s="468"/>
      <c r="J6" s="468"/>
      <c r="K6" s="468"/>
    </row>
    <row r="7" spans="1:12" x14ac:dyDescent="0.2">
      <c r="A7" s="463" t="s">
        <v>112</v>
      </c>
      <c r="B7" s="549">
        <v>1140</v>
      </c>
      <c r="C7" s="466">
        <v>300151</v>
      </c>
      <c r="D7" s="466"/>
      <c r="E7" s="468"/>
      <c r="F7" s="467"/>
      <c r="G7" s="467"/>
      <c r="H7" s="467"/>
      <c r="I7" s="468"/>
      <c r="J7" s="468"/>
      <c r="K7" s="468"/>
    </row>
    <row r="8" spans="1:12" x14ac:dyDescent="0.2">
      <c r="A8" s="463" t="s">
        <v>433</v>
      </c>
      <c r="B8" s="470">
        <v>1150</v>
      </c>
      <c r="C8" s="475"/>
      <c r="D8" s="475"/>
      <c r="E8" s="477"/>
      <c r="F8" s="477"/>
      <c r="G8" s="481">
        <v>322988</v>
      </c>
      <c r="H8" s="468"/>
      <c r="I8" s="468"/>
      <c r="J8" s="468"/>
      <c r="K8" s="468"/>
    </row>
    <row r="9" spans="1:12" x14ac:dyDescent="0.2">
      <c r="A9" s="473" t="s">
        <v>113</v>
      </c>
      <c r="B9" s="470">
        <v>1160</v>
      </c>
      <c r="C9" s="468"/>
      <c r="D9" s="467"/>
      <c r="E9" s="467"/>
      <c r="F9" s="469"/>
      <c r="G9" s="475"/>
      <c r="H9" s="467"/>
      <c r="I9" s="468"/>
      <c r="J9" s="468"/>
      <c r="K9" s="468"/>
    </row>
    <row r="10" spans="1:12" x14ac:dyDescent="0.2">
      <c r="A10" s="473" t="s">
        <v>114</v>
      </c>
      <c r="B10" s="470">
        <v>1170</v>
      </c>
      <c r="C10" s="467"/>
      <c r="D10" s="526"/>
      <c r="E10" s="526"/>
      <c r="F10" s="469"/>
      <c r="G10" s="468"/>
      <c r="H10" s="468"/>
      <c r="I10" s="468"/>
      <c r="J10" s="468"/>
      <c r="K10" s="468"/>
    </row>
    <row r="11" spans="1:12" x14ac:dyDescent="0.2">
      <c r="A11" s="473" t="s">
        <v>434</v>
      </c>
      <c r="B11" s="550">
        <v>1190</v>
      </c>
      <c r="C11" s="551"/>
      <c r="D11" s="466"/>
      <c r="E11" s="466"/>
      <c r="F11" s="466"/>
      <c r="G11" s="466"/>
      <c r="H11" s="466"/>
      <c r="I11" s="466"/>
      <c r="J11" s="467"/>
      <c r="K11" s="466"/>
      <c r="L11" s="552"/>
    </row>
    <row r="12" spans="1:12" ht="12.75" customHeight="1" thickBot="1" x14ac:dyDescent="0.25">
      <c r="A12" s="1727" t="s">
        <v>29</v>
      </c>
      <c r="B12" s="1728"/>
      <c r="C12" s="1729">
        <f t="shared" ref="C12:K12" si="0">SUM(C5:C11)</f>
        <v>3220884</v>
      </c>
      <c r="D12" s="1729">
        <f t="shared" si="0"/>
        <v>277169</v>
      </c>
      <c r="E12" s="1729">
        <f t="shared" si="0"/>
        <v>0</v>
      </c>
      <c r="F12" s="1729">
        <f t="shared" si="0"/>
        <v>203930</v>
      </c>
      <c r="G12" s="1729">
        <f t="shared" si="0"/>
        <v>603423</v>
      </c>
      <c r="H12" s="1729">
        <f t="shared" si="0"/>
        <v>0</v>
      </c>
      <c r="I12" s="1729">
        <f t="shared" si="0"/>
        <v>9973</v>
      </c>
      <c r="J12" s="1729">
        <f t="shared" si="0"/>
        <v>282057</v>
      </c>
      <c r="K12" s="1710">
        <f t="shared" si="0"/>
        <v>47128</v>
      </c>
    </row>
    <row r="13" spans="1:12" ht="15.75" customHeight="1" thickTop="1" x14ac:dyDescent="0.2">
      <c r="A13" s="1614" t="s">
        <v>471</v>
      </c>
      <c r="B13" s="1615">
        <v>1200</v>
      </c>
      <c r="C13" s="553"/>
      <c r="D13" s="553"/>
      <c r="E13" s="553"/>
      <c r="F13" s="553"/>
      <c r="G13" s="553"/>
      <c r="H13" s="553"/>
      <c r="I13" s="553"/>
      <c r="J13" s="553"/>
      <c r="K13" s="468"/>
    </row>
    <row r="14" spans="1:12" x14ac:dyDescent="0.2">
      <c r="A14" s="463" t="s">
        <v>3</v>
      </c>
      <c r="B14" s="470">
        <v>1210</v>
      </c>
      <c r="C14" s="551">
        <v>6816</v>
      </c>
      <c r="D14" s="466">
        <v>600</v>
      </c>
      <c r="E14" s="466"/>
      <c r="F14" s="466">
        <v>360</v>
      </c>
      <c r="G14" s="466">
        <v>1320</v>
      </c>
      <c r="H14" s="466"/>
      <c r="I14" s="466">
        <v>21</v>
      </c>
      <c r="J14" s="467">
        <v>600</v>
      </c>
      <c r="K14" s="466">
        <v>100</v>
      </c>
    </row>
    <row r="15" spans="1:12" ht="12.75" customHeight="1" x14ac:dyDescent="0.2">
      <c r="A15" s="463" t="s">
        <v>97</v>
      </c>
      <c r="B15" s="470">
        <v>1220</v>
      </c>
      <c r="C15" s="551">
        <v>8966</v>
      </c>
      <c r="D15" s="466">
        <v>789</v>
      </c>
      <c r="E15" s="466"/>
      <c r="F15" s="466">
        <v>474</v>
      </c>
      <c r="G15" s="466">
        <v>1735</v>
      </c>
      <c r="H15" s="466"/>
      <c r="I15" s="466">
        <v>28</v>
      </c>
      <c r="J15" s="467">
        <v>789</v>
      </c>
      <c r="K15" s="466">
        <v>132</v>
      </c>
    </row>
    <row r="16" spans="1:12" ht="15" customHeight="1" x14ac:dyDescent="0.2">
      <c r="A16" s="463" t="s">
        <v>1762</v>
      </c>
      <c r="B16" s="549">
        <v>1230</v>
      </c>
      <c r="C16" s="551">
        <v>191236</v>
      </c>
      <c r="D16" s="466"/>
      <c r="E16" s="466"/>
      <c r="F16" s="466"/>
      <c r="G16" s="466">
        <v>8189</v>
      </c>
      <c r="H16" s="466"/>
      <c r="I16" s="466"/>
      <c r="J16" s="467"/>
      <c r="K16" s="466"/>
    </row>
    <row r="17" spans="1:11" ht="12.75" customHeight="1" x14ac:dyDescent="0.2">
      <c r="A17" s="463" t="s">
        <v>840</v>
      </c>
      <c r="B17" s="470">
        <v>1290</v>
      </c>
      <c r="C17" s="551"/>
      <c r="D17" s="466"/>
      <c r="E17" s="466"/>
      <c r="F17" s="466"/>
      <c r="G17" s="466"/>
      <c r="H17" s="466"/>
      <c r="I17" s="466"/>
      <c r="J17" s="467"/>
      <c r="K17" s="466"/>
    </row>
    <row r="18" spans="1:11" ht="12.75" customHeight="1" thickBot="1" x14ac:dyDescent="0.25">
      <c r="A18" s="1730" t="s">
        <v>558</v>
      </c>
      <c r="B18" s="1731"/>
      <c r="C18" s="1732">
        <f>SUM(C14:C17)</f>
        <v>207018</v>
      </c>
      <c r="D18" s="1732">
        <f t="shared" ref="D18:K18" si="1">SUM(D14:D17)</f>
        <v>1389</v>
      </c>
      <c r="E18" s="1732">
        <f t="shared" si="1"/>
        <v>0</v>
      </c>
      <c r="F18" s="1732">
        <f t="shared" si="1"/>
        <v>834</v>
      </c>
      <c r="G18" s="1732">
        <f t="shared" si="1"/>
        <v>11244</v>
      </c>
      <c r="H18" s="1732">
        <f t="shared" si="1"/>
        <v>0</v>
      </c>
      <c r="I18" s="1732">
        <f t="shared" si="1"/>
        <v>49</v>
      </c>
      <c r="J18" s="1732">
        <f t="shared" si="1"/>
        <v>1389</v>
      </c>
      <c r="K18" s="1733">
        <f t="shared" si="1"/>
        <v>232</v>
      </c>
    </row>
    <row r="19" spans="1:11" ht="15.75" customHeight="1" thickTop="1" x14ac:dyDescent="0.2">
      <c r="A19" s="1614" t="s">
        <v>472</v>
      </c>
      <c r="B19" s="1615">
        <v>1300</v>
      </c>
      <c r="C19" s="554"/>
      <c r="D19" s="554"/>
      <c r="E19" s="554"/>
      <c r="F19" s="554"/>
      <c r="G19" s="553"/>
      <c r="H19" s="554"/>
      <c r="I19" s="554"/>
      <c r="J19" s="554"/>
      <c r="K19" s="555"/>
    </row>
    <row r="20" spans="1:11" x14ac:dyDescent="0.2">
      <c r="A20" s="463" t="s">
        <v>1133</v>
      </c>
      <c r="B20" s="470">
        <v>1311</v>
      </c>
      <c r="C20" s="466"/>
      <c r="D20" s="468"/>
      <c r="E20" s="468"/>
      <c r="F20" s="468"/>
      <c r="G20" s="468"/>
      <c r="H20" s="468"/>
      <c r="I20" s="468"/>
      <c r="J20" s="468"/>
      <c r="K20" s="468"/>
    </row>
    <row r="21" spans="1:11" ht="12.75" customHeight="1" x14ac:dyDescent="0.2">
      <c r="A21" s="463" t="s">
        <v>887</v>
      </c>
      <c r="B21" s="470">
        <v>1312</v>
      </c>
      <c r="C21" s="551">
        <v>42877</v>
      </c>
      <c r="D21" s="468"/>
      <c r="E21" s="468"/>
      <c r="F21" s="468"/>
      <c r="G21" s="468"/>
      <c r="H21" s="468"/>
      <c r="I21" s="468"/>
      <c r="J21" s="468"/>
      <c r="K21" s="468"/>
    </row>
    <row r="22" spans="1:11" ht="12.75" customHeight="1" x14ac:dyDescent="0.2">
      <c r="A22" s="463" t="s">
        <v>1134</v>
      </c>
      <c r="B22" s="470">
        <v>1313</v>
      </c>
      <c r="C22" s="551"/>
      <c r="D22" s="468"/>
      <c r="E22" s="468"/>
      <c r="F22" s="468"/>
      <c r="G22" s="468"/>
      <c r="H22" s="468"/>
      <c r="I22" s="468"/>
      <c r="J22" s="468"/>
      <c r="K22" s="468"/>
    </row>
    <row r="23" spans="1:11" ht="12.75" customHeight="1" x14ac:dyDescent="0.2">
      <c r="A23" s="463" t="s">
        <v>1135</v>
      </c>
      <c r="B23" s="470">
        <v>1314</v>
      </c>
      <c r="C23" s="489"/>
      <c r="D23" s="468"/>
      <c r="E23" s="468"/>
      <c r="F23" s="468"/>
      <c r="G23" s="468"/>
      <c r="H23" s="468"/>
      <c r="I23" s="468"/>
      <c r="J23" s="468"/>
      <c r="K23" s="468"/>
    </row>
    <row r="24" spans="1:11" ht="12.75" customHeight="1" x14ac:dyDescent="0.2">
      <c r="A24" s="463" t="s">
        <v>1085</v>
      </c>
      <c r="B24" s="470">
        <v>1321</v>
      </c>
      <c r="C24" s="551"/>
      <c r="D24" s="468"/>
      <c r="E24" s="468"/>
      <c r="F24" s="468"/>
      <c r="G24" s="468"/>
      <c r="H24" s="468"/>
      <c r="I24" s="468"/>
      <c r="J24" s="468"/>
      <c r="K24" s="468"/>
    </row>
    <row r="25" spans="1:11" ht="12.75" customHeight="1" x14ac:dyDescent="0.2">
      <c r="A25" s="463" t="s">
        <v>888</v>
      </c>
      <c r="B25" s="470">
        <v>1322</v>
      </c>
      <c r="C25" s="551"/>
      <c r="D25" s="468"/>
      <c r="E25" s="468"/>
      <c r="F25" s="468"/>
      <c r="G25" s="468"/>
      <c r="H25" s="468"/>
      <c r="I25" s="468"/>
      <c r="J25" s="468"/>
      <c r="K25" s="468"/>
    </row>
    <row r="26" spans="1:11" ht="12.75" customHeight="1" x14ac:dyDescent="0.2">
      <c r="A26" s="463" t="s">
        <v>1163</v>
      </c>
      <c r="B26" s="470">
        <v>1323</v>
      </c>
      <c r="C26" s="551"/>
      <c r="D26" s="468"/>
      <c r="E26" s="468"/>
      <c r="F26" s="468"/>
      <c r="G26" s="468"/>
      <c r="H26" s="468"/>
      <c r="I26" s="468"/>
      <c r="J26" s="468"/>
      <c r="K26" s="468"/>
    </row>
    <row r="27" spans="1:11" ht="12.75" customHeight="1" x14ac:dyDescent="0.2">
      <c r="A27" s="463" t="s">
        <v>1081</v>
      </c>
      <c r="B27" s="470">
        <v>1324</v>
      </c>
      <c r="C27" s="489"/>
      <c r="D27" s="468"/>
      <c r="E27" s="468"/>
      <c r="F27" s="468"/>
      <c r="G27" s="468"/>
      <c r="H27" s="468"/>
      <c r="I27" s="468"/>
      <c r="J27" s="468"/>
      <c r="K27" s="468"/>
    </row>
    <row r="28" spans="1:11" ht="12.75" customHeight="1" x14ac:dyDescent="0.2">
      <c r="A28" s="463" t="s">
        <v>1082</v>
      </c>
      <c r="B28" s="470">
        <v>1331</v>
      </c>
      <c r="C28" s="551"/>
      <c r="D28" s="468"/>
      <c r="E28" s="468"/>
      <c r="F28" s="468"/>
      <c r="G28" s="468"/>
      <c r="H28" s="468"/>
      <c r="I28" s="468"/>
      <c r="J28" s="468"/>
      <c r="K28" s="468"/>
    </row>
    <row r="29" spans="1:11" ht="12.75" customHeight="1" x14ac:dyDescent="0.2">
      <c r="A29" s="463" t="s">
        <v>889</v>
      </c>
      <c r="B29" s="470">
        <v>1332</v>
      </c>
      <c r="C29" s="551"/>
      <c r="D29" s="468"/>
      <c r="E29" s="468"/>
      <c r="F29" s="468"/>
      <c r="G29" s="468"/>
      <c r="H29" s="468"/>
      <c r="I29" s="468"/>
      <c r="J29" s="468"/>
      <c r="K29" s="468"/>
    </row>
    <row r="30" spans="1:11" ht="12.75" customHeight="1" x14ac:dyDescent="0.2">
      <c r="A30" s="463" t="s">
        <v>1084</v>
      </c>
      <c r="B30" s="470">
        <v>1333</v>
      </c>
      <c r="C30" s="551"/>
      <c r="D30" s="468"/>
      <c r="E30" s="468"/>
      <c r="F30" s="468"/>
      <c r="G30" s="468"/>
      <c r="H30" s="468"/>
      <c r="I30" s="468"/>
      <c r="J30" s="468"/>
      <c r="K30" s="468"/>
    </row>
    <row r="31" spans="1:11" ht="12.75" customHeight="1" x14ac:dyDescent="0.2">
      <c r="A31" s="463" t="s">
        <v>1083</v>
      </c>
      <c r="B31" s="470">
        <v>1334</v>
      </c>
      <c r="C31" s="489"/>
      <c r="D31" s="468"/>
      <c r="E31" s="468"/>
      <c r="F31" s="468"/>
      <c r="G31" s="468"/>
      <c r="H31" s="468"/>
      <c r="I31" s="468"/>
      <c r="J31" s="468"/>
      <c r="K31" s="468"/>
    </row>
    <row r="32" spans="1:11" ht="12.75" customHeight="1" x14ac:dyDescent="0.2">
      <c r="A32" s="463" t="s">
        <v>515</v>
      </c>
      <c r="B32" s="470">
        <v>1341</v>
      </c>
      <c r="C32" s="551"/>
      <c r="D32" s="468"/>
      <c r="E32" s="468"/>
      <c r="F32" s="468"/>
      <c r="G32" s="468"/>
      <c r="H32" s="468"/>
      <c r="I32" s="468"/>
      <c r="J32" s="468"/>
      <c r="K32" s="468"/>
    </row>
    <row r="33" spans="1:11" ht="12.75" customHeight="1" x14ac:dyDescent="0.2">
      <c r="A33" s="463" t="s">
        <v>890</v>
      </c>
      <c r="B33" s="470">
        <v>1342</v>
      </c>
      <c r="C33" s="551"/>
      <c r="D33" s="468"/>
      <c r="E33" s="468"/>
      <c r="F33" s="468"/>
      <c r="G33" s="468"/>
      <c r="H33" s="468"/>
      <c r="I33" s="468"/>
      <c r="J33" s="468"/>
      <c r="K33" s="468"/>
    </row>
    <row r="34" spans="1:11" ht="12.75" customHeight="1" x14ac:dyDescent="0.2">
      <c r="A34" s="463" t="s">
        <v>516</v>
      </c>
      <c r="B34" s="470">
        <v>1343</v>
      </c>
      <c r="C34" s="551"/>
      <c r="D34" s="468"/>
      <c r="E34" s="468"/>
      <c r="F34" s="468"/>
      <c r="G34" s="468"/>
      <c r="H34" s="468"/>
      <c r="I34" s="468"/>
      <c r="J34" s="468"/>
      <c r="K34" s="468"/>
    </row>
    <row r="35" spans="1:11" ht="12.75" customHeight="1" x14ac:dyDescent="0.2">
      <c r="A35" s="463" t="s">
        <v>514</v>
      </c>
      <c r="B35" s="470">
        <v>1344</v>
      </c>
      <c r="C35" s="489"/>
      <c r="D35" s="468"/>
      <c r="E35" s="468"/>
      <c r="F35" s="468"/>
      <c r="G35" s="468"/>
      <c r="H35" s="468"/>
      <c r="I35" s="468"/>
      <c r="J35" s="468"/>
      <c r="K35" s="468"/>
    </row>
    <row r="36" spans="1:11" ht="12.75" customHeight="1" x14ac:dyDescent="0.2">
      <c r="A36" s="463" t="s">
        <v>886</v>
      </c>
      <c r="B36" s="470">
        <v>1351</v>
      </c>
      <c r="C36" s="551"/>
      <c r="D36" s="468"/>
      <c r="E36" s="468"/>
      <c r="F36" s="468"/>
      <c r="G36" s="468"/>
      <c r="H36" s="468"/>
      <c r="I36" s="468"/>
      <c r="J36" s="468"/>
      <c r="K36" s="468"/>
    </row>
    <row r="37" spans="1:11" ht="12.75" customHeight="1" x14ac:dyDescent="0.2">
      <c r="A37" s="463" t="s">
        <v>891</v>
      </c>
      <c r="B37" s="470">
        <v>1352</v>
      </c>
      <c r="C37" s="551"/>
      <c r="D37" s="468"/>
      <c r="E37" s="468"/>
      <c r="F37" s="468"/>
      <c r="G37" s="468"/>
      <c r="H37" s="468"/>
      <c r="I37" s="468"/>
      <c r="J37" s="468"/>
      <c r="K37" s="468"/>
    </row>
    <row r="38" spans="1:11" ht="12.75" customHeight="1" x14ac:dyDescent="0.2">
      <c r="A38" s="463" t="s">
        <v>614</v>
      </c>
      <c r="B38" s="470">
        <v>1353</v>
      </c>
      <c r="C38" s="551"/>
      <c r="D38" s="468"/>
      <c r="E38" s="468"/>
      <c r="F38" s="468"/>
      <c r="G38" s="468"/>
      <c r="H38" s="468"/>
      <c r="I38" s="468"/>
      <c r="J38" s="468"/>
      <c r="K38" s="468"/>
    </row>
    <row r="39" spans="1:11" ht="12.75" customHeight="1" x14ac:dyDescent="0.2">
      <c r="A39" s="1517" t="s">
        <v>615</v>
      </c>
      <c r="B39" s="556">
        <v>1354</v>
      </c>
      <c r="C39" s="489"/>
      <c r="D39" s="468"/>
      <c r="E39" s="468"/>
      <c r="F39" s="468"/>
      <c r="G39" s="468"/>
      <c r="H39" s="468"/>
      <c r="I39" s="468"/>
      <c r="J39" s="468"/>
      <c r="K39" s="468"/>
    </row>
    <row r="40" spans="1:11" ht="12.75" customHeight="1" thickBot="1" x14ac:dyDescent="0.25">
      <c r="A40" s="1730" t="s">
        <v>559</v>
      </c>
      <c r="B40" s="1731"/>
      <c r="C40" s="1710">
        <f>SUM(C20:C39)</f>
        <v>42877</v>
      </c>
      <c r="D40" s="468"/>
      <c r="E40" s="468"/>
      <c r="F40" s="468"/>
      <c r="G40" s="468"/>
      <c r="H40" s="468"/>
      <c r="I40" s="468"/>
      <c r="J40" s="468"/>
      <c r="K40" s="468"/>
    </row>
    <row r="41" spans="1:11" ht="15.75" customHeight="1" thickTop="1" x14ac:dyDescent="0.2">
      <c r="A41" s="1614" t="s">
        <v>292</v>
      </c>
      <c r="B41" s="1615">
        <v>1400</v>
      </c>
      <c r="C41" s="468"/>
      <c r="D41" s="468"/>
      <c r="E41" s="468"/>
      <c r="F41" s="521"/>
      <c r="G41" s="468"/>
      <c r="H41" s="468"/>
      <c r="I41" s="468"/>
      <c r="J41" s="468"/>
      <c r="K41" s="468"/>
    </row>
    <row r="42" spans="1:11" ht="12.75" customHeight="1" x14ac:dyDescent="0.2">
      <c r="A42" s="463" t="s">
        <v>1136</v>
      </c>
      <c r="B42" s="470">
        <v>1411</v>
      </c>
      <c r="C42" s="468"/>
      <c r="D42" s="468"/>
      <c r="E42" s="468"/>
      <c r="F42" s="481"/>
      <c r="G42" s="468"/>
      <c r="H42" s="468"/>
      <c r="I42" s="468"/>
      <c r="J42" s="468"/>
      <c r="K42" s="468"/>
    </row>
    <row r="43" spans="1:11" ht="12.75" customHeight="1" x14ac:dyDescent="0.2">
      <c r="A43" s="463" t="s">
        <v>892</v>
      </c>
      <c r="B43" s="470">
        <v>1412</v>
      </c>
      <c r="C43" s="468"/>
      <c r="D43" s="468"/>
      <c r="E43" s="468"/>
      <c r="F43" s="466"/>
      <c r="G43" s="468"/>
      <c r="H43" s="468"/>
      <c r="I43" s="468"/>
      <c r="J43" s="468"/>
      <c r="K43" s="468"/>
    </row>
    <row r="44" spans="1:11" ht="12.75" customHeight="1" x14ac:dyDescent="0.2">
      <c r="A44" s="463" t="s">
        <v>402</v>
      </c>
      <c r="B44" s="470">
        <v>1413</v>
      </c>
      <c r="C44" s="468"/>
      <c r="D44" s="468"/>
      <c r="E44" s="468"/>
      <c r="F44" s="466"/>
      <c r="G44" s="468"/>
      <c r="H44" s="468"/>
      <c r="I44" s="468"/>
      <c r="J44" s="468"/>
      <c r="K44" s="468"/>
    </row>
    <row r="45" spans="1:11" ht="12.75" customHeight="1" x14ac:dyDescent="0.2">
      <c r="A45" s="463" t="s">
        <v>258</v>
      </c>
      <c r="B45" s="470">
        <v>1415</v>
      </c>
      <c r="C45" s="468"/>
      <c r="D45" s="468"/>
      <c r="E45" s="468"/>
      <c r="F45" s="466"/>
      <c r="G45" s="468"/>
      <c r="H45" s="468"/>
      <c r="I45" s="468"/>
      <c r="J45" s="468"/>
      <c r="K45" s="468"/>
    </row>
    <row r="46" spans="1:11" ht="12.75" customHeight="1" x14ac:dyDescent="0.2">
      <c r="A46" s="463" t="s">
        <v>1236</v>
      </c>
      <c r="B46" s="470">
        <v>1416</v>
      </c>
      <c r="C46" s="468"/>
      <c r="D46" s="468"/>
      <c r="E46" s="468"/>
      <c r="F46" s="467"/>
      <c r="G46" s="468"/>
      <c r="H46" s="468"/>
      <c r="I46" s="468"/>
      <c r="J46" s="468"/>
      <c r="K46" s="468"/>
    </row>
    <row r="47" spans="1:11" ht="12.75" customHeight="1" x14ac:dyDescent="0.2">
      <c r="A47" s="463" t="s">
        <v>59</v>
      </c>
      <c r="B47" s="470">
        <v>1421</v>
      </c>
      <c r="C47" s="468"/>
      <c r="D47" s="468"/>
      <c r="E47" s="468"/>
      <c r="F47" s="466"/>
      <c r="G47" s="468"/>
      <c r="H47" s="468"/>
      <c r="I47" s="468"/>
      <c r="J47" s="468"/>
      <c r="K47" s="468"/>
    </row>
    <row r="48" spans="1:11" ht="12.75" customHeight="1" x14ac:dyDescent="0.2">
      <c r="A48" s="463" t="s">
        <v>893</v>
      </c>
      <c r="B48" s="470">
        <v>1422</v>
      </c>
      <c r="C48" s="468"/>
      <c r="D48" s="468"/>
      <c r="E48" s="468"/>
      <c r="F48" s="466"/>
      <c r="G48" s="468"/>
      <c r="H48" s="468"/>
      <c r="I48" s="468"/>
      <c r="J48" s="468"/>
      <c r="K48" s="468"/>
    </row>
    <row r="49" spans="1:11" ht="12.75" customHeight="1" x14ac:dyDescent="0.2">
      <c r="A49" s="463" t="s">
        <v>60</v>
      </c>
      <c r="B49" s="470">
        <v>1423</v>
      </c>
      <c r="C49" s="468"/>
      <c r="D49" s="468"/>
      <c r="E49" s="468"/>
      <c r="F49" s="466"/>
      <c r="G49" s="468"/>
      <c r="H49" s="468"/>
      <c r="I49" s="468"/>
      <c r="J49" s="468"/>
      <c r="K49" s="468"/>
    </row>
    <row r="50" spans="1:11" ht="12.75" customHeight="1" x14ac:dyDescent="0.2">
      <c r="A50" s="463" t="s">
        <v>61</v>
      </c>
      <c r="B50" s="470">
        <v>1424</v>
      </c>
      <c r="C50" s="468"/>
      <c r="D50" s="468"/>
      <c r="E50" s="468"/>
      <c r="F50" s="467"/>
      <c r="G50" s="468"/>
      <c r="H50" s="468"/>
      <c r="I50" s="468"/>
      <c r="J50" s="468"/>
      <c r="K50" s="468"/>
    </row>
    <row r="51" spans="1:11" ht="12.75" customHeight="1" x14ac:dyDescent="0.2">
      <c r="A51" s="1518" t="s">
        <v>62</v>
      </c>
      <c r="B51" s="557">
        <v>1431</v>
      </c>
      <c r="C51" s="468"/>
      <c r="D51" s="468"/>
      <c r="E51" s="468"/>
      <c r="F51" s="466"/>
      <c r="G51" s="468"/>
      <c r="H51" s="468"/>
      <c r="I51" s="468"/>
      <c r="J51" s="468"/>
      <c r="K51" s="468"/>
    </row>
    <row r="52" spans="1:11" ht="12.75" customHeight="1" x14ac:dyDescent="0.2">
      <c r="A52" s="1518" t="s">
        <v>1168</v>
      </c>
      <c r="B52" s="557">
        <v>1432</v>
      </c>
      <c r="C52" s="468"/>
      <c r="D52" s="468"/>
      <c r="E52" s="468"/>
      <c r="F52" s="466"/>
      <c r="G52" s="468"/>
      <c r="H52" s="468"/>
      <c r="I52" s="468"/>
      <c r="J52" s="468"/>
      <c r="K52" s="468"/>
    </row>
    <row r="53" spans="1:11" ht="12.75" customHeight="1" x14ac:dyDescent="0.2">
      <c r="A53" s="1518" t="s">
        <v>63</v>
      </c>
      <c r="B53" s="557">
        <v>1433</v>
      </c>
      <c r="C53" s="468"/>
      <c r="D53" s="468"/>
      <c r="E53" s="468"/>
      <c r="F53" s="466"/>
      <c r="G53" s="468"/>
      <c r="H53" s="468"/>
      <c r="I53" s="468"/>
      <c r="J53" s="468"/>
      <c r="K53" s="468"/>
    </row>
    <row r="54" spans="1:11" ht="12.75" customHeight="1" x14ac:dyDescent="0.2">
      <c r="A54" s="1518" t="s">
        <v>64</v>
      </c>
      <c r="B54" s="557">
        <v>1434</v>
      </c>
      <c r="C54" s="468"/>
      <c r="D54" s="468"/>
      <c r="E54" s="468"/>
      <c r="F54" s="467"/>
      <c r="G54" s="468"/>
      <c r="H54" s="468"/>
      <c r="I54" s="468"/>
      <c r="J54" s="468"/>
      <c r="K54" s="468"/>
    </row>
    <row r="55" spans="1:11" ht="12.75" customHeight="1" x14ac:dyDescent="0.2">
      <c r="A55" s="1518" t="s">
        <v>65</v>
      </c>
      <c r="B55" s="557">
        <v>1441</v>
      </c>
      <c r="C55" s="468"/>
      <c r="D55" s="468"/>
      <c r="E55" s="468"/>
      <c r="F55" s="466"/>
      <c r="G55" s="468"/>
      <c r="H55" s="468"/>
      <c r="I55" s="468"/>
      <c r="J55" s="468"/>
      <c r="K55" s="468"/>
    </row>
    <row r="56" spans="1:11" ht="12.75" customHeight="1" x14ac:dyDescent="0.2">
      <c r="A56" s="1518" t="s">
        <v>1169</v>
      </c>
      <c r="B56" s="557">
        <v>1442</v>
      </c>
      <c r="C56" s="468"/>
      <c r="D56" s="468"/>
      <c r="E56" s="468"/>
      <c r="F56" s="466"/>
      <c r="G56" s="468"/>
      <c r="H56" s="468"/>
      <c r="I56" s="468"/>
      <c r="J56" s="468"/>
      <c r="K56" s="468"/>
    </row>
    <row r="57" spans="1:11" ht="12.75" customHeight="1" x14ac:dyDescent="0.2">
      <c r="A57" s="1518" t="s">
        <v>510</v>
      </c>
      <c r="B57" s="557">
        <v>1443</v>
      </c>
      <c r="C57" s="468"/>
      <c r="D57" s="468"/>
      <c r="E57" s="468"/>
      <c r="F57" s="466"/>
      <c r="G57" s="468"/>
      <c r="H57" s="468"/>
      <c r="I57" s="468"/>
      <c r="J57" s="468"/>
      <c r="K57" s="468"/>
    </row>
    <row r="58" spans="1:11" ht="12.75" customHeight="1" x14ac:dyDescent="0.2">
      <c r="A58" s="1518" t="s">
        <v>67</v>
      </c>
      <c r="B58" s="557">
        <v>1444</v>
      </c>
      <c r="C58" s="468"/>
      <c r="D58" s="468"/>
      <c r="E58" s="468"/>
      <c r="F58" s="466"/>
      <c r="G58" s="468"/>
      <c r="H58" s="468"/>
      <c r="I58" s="468"/>
      <c r="J58" s="468"/>
      <c r="K58" s="468"/>
    </row>
    <row r="59" spans="1:11" ht="12.75" customHeight="1" x14ac:dyDescent="0.2">
      <c r="A59" s="1518" t="s">
        <v>933</v>
      </c>
      <c r="B59" s="557">
        <v>1451</v>
      </c>
      <c r="C59" s="468"/>
      <c r="D59" s="468"/>
      <c r="E59" s="468"/>
      <c r="F59" s="466"/>
      <c r="G59" s="468"/>
      <c r="H59" s="468"/>
      <c r="I59" s="468"/>
      <c r="J59" s="468"/>
      <c r="K59" s="468"/>
    </row>
    <row r="60" spans="1:11" ht="12.75" customHeight="1" x14ac:dyDescent="0.2">
      <c r="A60" s="1518" t="s">
        <v>1170</v>
      </c>
      <c r="B60" s="557">
        <v>1452</v>
      </c>
      <c r="C60" s="468"/>
      <c r="D60" s="468"/>
      <c r="E60" s="468"/>
      <c r="F60" s="466"/>
      <c r="G60" s="468"/>
      <c r="H60" s="468"/>
      <c r="I60" s="468"/>
      <c r="J60" s="468"/>
      <c r="K60" s="468"/>
    </row>
    <row r="61" spans="1:11" ht="12.75" customHeight="1" x14ac:dyDescent="0.2">
      <c r="A61" s="563" t="s">
        <v>934</v>
      </c>
      <c r="B61" s="557">
        <v>1453</v>
      </c>
      <c r="C61" s="468"/>
      <c r="D61" s="468"/>
      <c r="E61" s="468"/>
      <c r="F61" s="466"/>
      <c r="G61" s="468"/>
      <c r="H61" s="468"/>
      <c r="I61" s="468"/>
      <c r="J61" s="468"/>
      <c r="K61" s="468"/>
    </row>
    <row r="62" spans="1:11" ht="12.75" customHeight="1" x14ac:dyDescent="0.2">
      <c r="A62" s="1519" t="s">
        <v>935</v>
      </c>
      <c r="B62" s="558">
        <v>1454</v>
      </c>
      <c r="C62" s="468"/>
      <c r="D62" s="468"/>
      <c r="E62" s="468"/>
      <c r="F62" s="467"/>
      <c r="G62" s="468"/>
      <c r="H62" s="468"/>
      <c r="I62" s="468"/>
      <c r="J62" s="468"/>
      <c r="K62" s="468"/>
    </row>
    <row r="63" spans="1:11" ht="12.75" customHeight="1" thickBot="1" x14ac:dyDescent="0.25">
      <c r="A63" s="1730" t="s">
        <v>506</v>
      </c>
      <c r="B63" s="1731"/>
      <c r="C63" s="468"/>
      <c r="D63" s="468"/>
      <c r="E63" s="468"/>
      <c r="F63" s="1710">
        <f>SUM(F42:F62)</f>
        <v>0</v>
      </c>
      <c r="G63" s="468"/>
      <c r="H63" s="468"/>
      <c r="I63" s="468"/>
      <c r="J63" s="468"/>
      <c r="K63" s="468"/>
    </row>
    <row r="64" spans="1:11" ht="15.75" customHeight="1" thickTop="1" x14ac:dyDescent="0.2">
      <c r="A64" s="1614" t="s">
        <v>474</v>
      </c>
      <c r="B64" s="1615">
        <v>1500</v>
      </c>
      <c r="C64" s="468"/>
      <c r="D64" s="468"/>
      <c r="E64" s="468"/>
      <c r="F64" s="468"/>
      <c r="G64" s="468"/>
      <c r="H64" s="468"/>
      <c r="I64" s="468"/>
      <c r="J64" s="468"/>
      <c r="K64" s="468"/>
    </row>
    <row r="65" spans="1:11" ht="12.75" customHeight="1" x14ac:dyDescent="0.2">
      <c r="A65" s="463" t="s">
        <v>568</v>
      </c>
      <c r="B65" s="470">
        <v>1510</v>
      </c>
      <c r="C65" s="466">
        <v>8294</v>
      </c>
      <c r="D65" s="466">
        <v>327</v>
      </c>
      <c r="E65" s="466">
        <v>635</v>
      </c>
      <c r="F65" s="467">
        <v>243</v>
      </c>
      <c r="G65" s="466">
        <v>241</v>
      </c>
      <c r="H65" s="466">
        <v>25488</v>
      </c>
      <c r="I65" s="466">
        <v>551</v>
      </c>
      <c r="J65" s="467">
        <v>124</v>
      </c>
      <c r="K65" s="466">
        <v>130</v>
      </c>
    </row>
    <row r="66" spans="1:11" ht="12.75" customHeight="1" x14ac:dyDescent="0.2">
      <c r="A66" s="463" t="s">
        <v>700</v>
      </c>
      <c r="B66" s="470">
        <v>1520</v>
      </c>
      <c r="C66" s="466"/>
      <c r="D66" s="466"/>
      <c r="E66" s="466"/>
      <c r="F66" s="466"/>
      <c r="G66" s="466"/>
      <c r="H66" s="466"/>
      <c r="I66" s="466"/>
      <c r="J66" s="467"/>
      <c r="K66" s="466"/>
    </row>
    <row r="67" spans="1:11" ht="12.75" customHeight="1" thickBot="1" x14ac:dyDescent="0.25">
      <c r="A67" s="1730" t="s">
        <v>507</v>
      </c>
      <c r="B67" s="1731"/>
      <c r="C67" s="1710">
        <f>SUM(C65:C66)</f>
        <v>8294</v>
      </c>
      <c r="D67" s="1710">
        <f t="shared" ref="D67:K67" si="2">SUM(D65:D66)</f>
        <v>327</v>
      </c>
      <c r="E67" s="1710">
        <f t="shared" si="2"/>
        <v>635</v>
      </c>
      <c r="F67" s="1710">
        <f t="shared" si="2"/>
        <v>243</v>
      </c>
      <c r="G67" s="1710">
        <f t="shared" si="2"/>
        <v>241</v>
      </c>
      <c r="H67" s="1710">
        <f t="shared" si="2"/>
        <v>25488</v>
      </c>
      <c r="I67" s="1710">
        <f t="shared" si="2"/>
        <v>551</v>
      </c>
      <c r="J67" s="1710">
        <f t="shared" si="2"/>
        <v>124</v>
      </c>
      <c r="K67" s="1710">
        <f t="shared" si="2"/>
        <v>130</v>
      </c>
    </row>
    <row r="68" spans="1:11" ht="15.75" customHeight="1" thickTop="1" x14ac:dyDescent="0.2">
      <c r="A68" s="1614" t="s">
        <v>475</v>
      </c>
      <c r="B68" s="1616">
        <v>1600</v>
      </c>
      <c r="C68" s="553"/>
      <c r="D68" s="468"/>
      <c r="E68" s="468"/>
      <c r="F68" s="468"/>
      <c r="G68" s="468"/>
      <c r="H68" s="468"/>
      <c r="I68" s="468"/>
      <c r="J68" s="468"/>
      <c r="K68" s="468"/>
    </row>
    <row r="69" spans="1:11" ht="12.75" customHeight="1" x14ac:dyDescent="0.2">
      <c r="A69" s="463" t="s">
        <v>687</v>
      </c>
      <c r="B69" s="470">
        <v>1611</v>
      </c>
      <c r="C69" s="466"/>
      <c r="D69" s="468"/>
      <c r="E69" s="468"/>
      <c r="F69" s="468"/>
      <c r="G69" s="468"/>
      <c r="H69" s="468"/>
      <c r="I69" s="468"/>
      <c r="J69" s="468"/>
      <c r="K69" s="468"/>
    </row>
    <row r="70" spans="1:11" ht="12.75" customHeight="1" x14ac:dyDescent="0.2">
      <c r="A70" s="463" t="s">
        <v>1054</v>
      </c>
      <c r="B70" s="470">
        <v>1612</v>
      </c>
      <c r="C70" s="551"/>
      <c r="D70" s="468"/>
      <c r="E70" s="468"/>
      <c r="F70" s="468"/>
      <c r="G70" s="468"/>
      <c r="H70" s="468"/>
      <c r="I70" s="468"/>
      <c r="J70" s="468"/>
      <c r="K70" s="468"/>
    </row>
    <row r="71" spans="1:11" ht="12.75" customHeight="1" x14ac:dyDescent="0.2">
      <c r="A71" s="463" t="s">
        <v>291</v>
      </c>
      <c r="B71" s="470">
        <v>1613</v>
      </c>
      <c r="C71" s="551">
        <v>213</v>
      </c>
      <c r="D71" s="468"/>
      <c r="E71" s="468"/>
      <c r="F71" s="468"/>
      <c r="G71" s="468"/>
      <c r="H71" s="468"/>
      <c r="I71" s="468"/>
      <c r="J71" s="468"/>
      <c r="K71" s="468"/>
    </row>
    <row r="72" spans="1:11" ht="12.75" customHeight="1" x14ac:dyDescent="0.2">
      <c r="A72" s="463" t="s">
        <v>24</v>
      </c>
      <c r="B72" s="470">
        <v>1614</v>
      </c>
      <c r="C72" s="551"/>
      <c r="D72" s="468"/>
      <c r="E72" s="468"/>
      <c r="F72" s="468"/>
      <c r="G72" s="468"/>
      <c r="H72" s="468"/>
      <c r="I72" s="468"/>
      <c r="J72" s="468"/>
      <c r="K72" s="468"/>
    </row>
    <row r="73" spans="1:11" ht="12.75" customHeight="1" x14ac:dyDescent="0.2">
      <c r="A73" s="463" t="s">
        <v>1055</v>
      </c>
      <c r="B73" s="470">
        <v>1620</v>
      </c>
      <c r="C73" s="551">
        <v>2093</v>
      </c>
      <c r="D73" s="468"/>
      <c r="E73" s="468"/>
      <c r="F73" s="468"/>
      <c r="G73" s="468"/>
      <c r="H73" s="468"/>
      <c r="I73" s="468"/>
      <c r="J73" s="468"/>
      <c r="K73" s="468"/>
    </row>
    <row r="74" spans="1:11" ht="12.75" customHeight="1" x14ac:dyDescent="0.2">
      <c r="A74" s="463" t="s">
        <v>25</v>
      </c>
      <c r="B74" s="470">
        <v>1690</v>
      </c>
      <c r="C74" s="551">
        <v>1860</v>
      </c>
      <c r="D74" s="468"/>
      <c r="E74" s="468"/>
      <c r="F74" s="468"/>
      <c r="G74" s="468"/>
      <c r="H74" s="468"/>
      <c r="I74" s="468"/>
      <c r="J74" s="468"/>
      <c r="K74" s="468"/>
    </row>
    <row r="75" spans="1:11" ht="12.75" customHeight="1" thickBot="1" x14ac:dyDescent="0.25">
      <c r="A75" s="1730" t="s">
        <v>569</v>
      </c>
      <c r="B75" s="1731"/>
      <c r="C75" s="1710">
        <f>SUM(C69:C74)</f>
        <v>4166</v>
      </c>
      <c r="D75" s="468"/>
      <c r="E75" s="468"/>
      <c r="F75" s="468"/>
      <c r="G75" s="468"/>
      <c r="H75" s="468"/>
      <c r="I75" s="468"/>
      <c r="J75" s="468"/>
      <c r="K75" s="468"/>
    </row>
    <row r="76" spans="1:11" ht="15.75" customHeight="1" thickTop="1" x14ac:dyDescent="0.2">
      <c r="A76" s="1614" t="s">
        <v>936</v>
      </c>
      <c r="B76" s="1616">
        <v>1700</v>
      </c>
      <c r="C76" s="553"/>
      <c r="D76" s="468"/>
      <c r="E76" s="468"/>
      <c r="F76" s="468"/>
      <c r="G76" s="468"/>
      <c r="H76" s="468"/>
      <c r="I76" s="468"/>
      <c r="J76" s="468"/>
      <c r="K76" s="468"/>
    </row>
    <row r="77" spans="1:11" ht="12.75" customHeight="1" x14ac:dyDescent="0.2">
      <c r="A77" s="463" t="s">
        <v>570</v>
      </c>
      <c r="B77" s="470">
        <v>1711</v>
      </c>
      <c r="C77" s="516">
        <v>14196</v>
      </c>
      <c r="D77" s="466"/>
      <c r="E77" s="468"/>
      <c r="F77" s="468"/>
      <c r="G77" s="468"/>
      <c r="H77" s="468"/>
      <c r="I77" s="468"/>
      <c r="J77" s="468"/>
      <c r="K77" s="468"/>
    </row>
    <row r="78" spans="1:11" ht="12.75" customHeight="1" x14ac:dyDescent="0.2">
      <c r="A78" s="463" t="s">
        <v>78</v>
      </c>
      <c r="B78" s="470">
        <v>1719</v>
      </c>
      <c r="C78" s="551">
        <v>472</v>
      </c>
      <c r="D78" s="466"/>
      <c r="E78" s="468"/>
      <c r="F78" s="468"/>
      <c r="G78" s="468"/>
      <c r="H78" s="468"/>
      <c r="I78" s="468"/>
      <c r="J78" s="468"/>
      <c r="K78" s="468"/>
    </row>
    <row r="79" spans="1:11" ht="12.75" customHeight="1" x14ac:dyDescent="0.2">
      <c r="A79" s="463" t="s">
        <v>571</v>
      </c>
      <c r="B79" s="470">
        <v>1720</v>
      </c>
      <c r="C79" s="551">
        <v>2848</v>
      </c>
      <c r="D79" s="466"/>
      <c r="E79" s="468"/>
      <c r="F79" s="468"/>
      <c r="G79" s="468"/>
      <c r="H79" s="468"/>
      <c r="I79" s="468"/>
      <c r="J79" s="468"/>
      <c r="K79" s="468"/>
    </row>
    <row r="80" spans="1:11" ht="12.75" customHeight="1" x14ac:dyDescent="0.2">
      <c r="A80" s="463" t="s">
        <v>572</v>
      </c>
      <c r="B80" s="470">
        <v>1730</v>
      </c>
      <c r="C80" s="551"/>
      <c r="D80" s="466"/>
      <c r="E80" s="468"/>
      <c r="F80" s="468"/>
      <c r="G80" s="468"/>
      <c r="H80" s="468"/>
      <c r="I80" s="468"/>
      <c r="J80" s="468"/>
      <c r="K80" s="468"/>
    </row>
    <row r="81" spans="1:11" ht="12.75" customHeight="1" x14ac:dyDescent="0.2">
      <c r="A81" s="463" t="s">
        <v>26</v>
      </c>
      <c r="B81" s="470">
        <v>1790</v>
      </c>
      <c r="C81" s="551"/>
      <c r="D81" s="466"/>
      <c r="E81" s="468"/>
      <c r="F81" s="468"/>
      <c r="G81" s="468"/>
      <c r="H81" s="468"/>
      <c r="I81" s="468"/>
      <c r="J81" s="468"/>
      <c r="K81" s="468"/>
    </row>
    <row r="82" spans="1:11" ht="12.75" customHeight="1" thickBot="1" x14ac:dyDescent="0.25">
      <c r="A82" s="1730" t="s">
        <v>259</v>
      </c>
      <c r="B82" s="1731"/>
      <c r="C82" s="1729">
        <f>SUM(C77:C81)</f>
        <v>17516</v>
      </c>
      <c r="D82" s="1710">
        <f>SUM(D77:D81)</f>
        <v>0</v>
      </c>
      <c r="E82" s="468"/>
      <c r="F82" s="468"/>
      <c r="G82" s="468"/>
      <c r="H82" s="468"/>
      <c r="I82" s="468"/>
      <c r="J82" s="468"/>
      <c r="K82" s="468"/>
    </row>
    <row r="83" spans="1:11" ht="15.75" customHeight="1" thickTop="1" x14ac:dyDescent="0.2">
      <c r="A83" s="1614" t="s">
        <v>260</v>
      </c>
      <c r="B83" s="1616">
        <v>1800</v>
      </c>
      <c r="C83" s="553"/>
      <c r="D83" s="468"/>
      <c r="E83" s="468"/>
      <c r="F83" s="468"/>
      <c r="G83" s="468"/>
      <c r="H83" s="468"/>
      <c r="I83" s="468"/>
      <c r="J83" s="468"/>
      <c r="K83" s="468"/>
    </row>
    <row r="84" spans="1:11" ht="12.75" customHeight="1" x14ac:dyDescent="0.2">
      <c r="A84" s="463" t="s">
        <v>573</v>
      </c>
      <c r="B84" s="470">
        <v>1811</v>
      </c>
      <c r="C84" s="466">
        <v>13016</v>
      </c>
      <c r="D84" s="468"/>
      <c r="E84" s="468"/>
      <c r="F84" s="468"/>
      <c r="G84" s="468"/>
      <c r="H84" s="468"/>
      <c r="I84" s="468"/>
      <c r="J84" s="468"/>
      <c r="K84" s="468"/>
    </row>
    <row r="85" spans="1:11" ht="12.75" customHeight="1" x14ac:dyDescent="0.2">
      <c r="A85" s="463" t="s">
        <v>574</v>
      </c>
      <c r="B85" s="470">
        <v>1812</v>
      </c>
      <c r="C85" s="551"/>
      <c r="D85" s="468"/>
      <c r="E85" s="468"/>
      <c r="F85" s="468"/>
      <c r="G85" s="468"/>
      <c r="H85" s="468"/>
      <c r="I85" s="468"/>
      <c r="J85" s="468"/>
      <c r="K85" s="468"/>
    </row>
    <row r="86" spans="1:11" ht="12.75" customHeight="1" x14ac:dyDescent="0.2">
      <c r="A86" s="463" t="s">
        <v>1056</v>
      </c>
      <c r="B86" s="470">
        <v>1813</v>
      </c>
      <c r="C86" s="551"/>
      <c r="D86" s="468"/>
      <c r="E86" s="468"/>
      <c r="F86" s="468"/>
      <c r="G86" s="468"/>
      <c r="H86" s="468"/>
      <c r="I86" s="468"/>
      <c r="J86" s="468"/>
      <c r="K86" s="468"/>
    </row>
    <row r="87" spans="1:11" ht="12.75" customHeight="1" x14ac:dyDescent="0.2">
      <c r="A87" s="463" t="s">
        <v>79</v>
      </c>
      <c r="B87" s="470">
        <v>1819</v>
      </c>
      <c r="C87" s="551"/>
      <c r="D87" s="468"/>
      <c r="E87" s="468"/>
      <c r="F87" s="468"/>
      <c r="G87" s="468"/>
      <c r="H87" s="468"/>
      <c r="I87" s="468"/>
      <c r="J87" s="468"/>
      <c r="K87" s="468"/>
    </row>
    <row r="88" spans="1:11" ht="12.75" customHeight="1" x14ac:dyDescent="0.2">
      <c r="A88" s="463" t="s">
        <v>575</v>
      </c>
      <c r="B88" s="470">
        <v>1821</v>
      </c>
      <c r="C88" s="551"/>
      <c r="D88" s="468"/>
      <c r="E88" s="468"/>
      <c r="F88" s="468"/>
      <c r="G88" s="468"/>
      <c r="H88" s="468"/>
      <c r="I88" s="468"/>
      <c r="J88" s="468"/>
      <c r="K88" s="468"/>
    </row>
    <row r="89" spans="1:11" ht="12.75" customHeight="1" x14ac:dyDescent="0.2">
      <c r="A89" s="463" t="s">
        <v>738</v>
      </c>
      <c r="B89" s="470">
        <v>1822</v>
      </c>
      <c r="C89" s="551"/>
      <c r="D89" s="468"/>
      <c r="E89" s="468"/>
      <c r="F89" s="468"/>
      <c r="G89" s="468"/>
      <c r="H89" s="468"/>
      <c r="I89" s="468"/>
      <c r="J89" s="468"/>
      <c r="K89" s="468"/>
    </row>
    <row r="90" spans="1:11" ht="12.75" customHeight="1" x14ac:dyDescent="0.2">
      <c r="A90" s="463" t="s">
        <v>141</v>
      </c>
      <c r="B90" s="470">
        <v>1823</v>
      </c>
      <c r="C90" s="551"/>
      <c r="D90" s="468"/>
      <c r="E90" s="468"/>
      <c r="F90" s="468"/>
      <c r="G90" s="468"/>
      <c r="H90" s="468"/>
      <c r="I90" s="468"/>
      <c r="J90" s="468"/>
      <c r="K90" s="468"/>
    </row>
    <row r="91" spans="1:11" ht="12.75" customHeight="1" x14ac:dyDescent="0.2">
      <c r="A91" s="463" t="s">
        <v>27</v>
      </c>
      <c r="B91" s="470">
        <v>1829</v>
      </c>
      <c r="C91" s="551"/>
      <c r="D91" s="468"/>
      <c r="E91" s="468"/>
      <c r="F91" s="468"/>
      <c r="G91" s="468"/>
      <c r="H91" s="468"/>
      <c r="I91" s="468"/>
      <c r="J91" s="468"/>
      <c r="K91" s="468"/>
    </row>
    <row r="92" spans="1:11" ht="12.75" customHeight="1" x14ac:dyDescent="0.2">
      <c r="A92" s="463" t="s">
        <v>786</v>
      </c>
      <c r="B92" s="470">
        <v>1890</v>
      </c>
      <c r="C92" s="551"/>
      <c r="D92" s="468"/>
      <c r="E92" s="468"/>
      <c r="F92" s="468"/>
      <c r="G92" s="468"/>
      <c r="H92" s="468"/>
      <c r="I92" s="468"/>
      <c r="J92" s="468"/>
      <c r="K92" s="468"/>
    </row>
    <row r="93" spans="1:11" ht="12.75" customHeight="1" thickBot="1" x14ac:dyDescent="0.25">
      <c r="A93" s="1730" t="s">
        <v>261</v>
      </c>
      <c r="B93" s="1731"/>
      <c r="C93" s="1710">
        <f>SUM(C84:C92)</f>
        <v>13016</v>
      </c>
      <c r="D93" s="468"/>
      <c r="E93" s="468"/>
      <c r="F93" s="468"/>
      <c r="G93" s="468"/>
      <c r="H93" s="468"/>
      <c r="I93" s="468"/>
      <c r="J93" s="468"/>
      <c r="K93" s="468"/>
    </row>
    <row r="94" spans="1:11" ht="15.75" customHeight="1" thickTop="1" x14ac:dyDescent="0.2">
      <c r="A94" s="1614" t="s">
        <v>1199</v>
      </c>
      <c r="B94" s="1616">
        <v>1900</v>
      </c>
      <c r="C94" s="553"/>
      <c r="D94" s="521"/>
      <c r="E94" s="468"/>
      <c r="F94" s="468"/>
      <c r="G94" s="468"/>
      <c r="H94" s="468"/>
      <c r="I94" s="468"/>
      <c r="J94" s="468"/>
      <c r="K94" s="468"/>
    </row>
    <row r="95" spans="1:11" ht="12.75" customHeight="1" x14ac:dyDescent="0.2">
      <c r="A95" s="463" t="s">
        <v>1124</v>
      </c>
      <c r="B95" s="470">
        <v>1910</v>
      </c>
      <c r="C95" s="466">
        <v>730</v>
      </c>
      <c r="D95" s="551"/>
      <c r="E95" s="521"/>
      <c r="F95" s="521"/>
      <c r="G95" s="521"/>
      <c r="H95" s="521"/>
      <c r="I95" s="521"/>
      <c r="J95" s="521"/>
      <c r="K95" s="521"/>
    </row>
    <row r="96" spans="1:11" ht="12.75" customHeight="1" x14ac:dyDescent="0.2">
      <c r="A96" s="463" t="s">
        <v>409</v>
      </c>
      <c r="B96" s="470">
        <v>1920</v>
      </c>
      <c r="C96" s="551">
        <v>8743</v>
      </c>
      <c r="D96" s="551">
        <v>545</v>
      </c>
      <c r="E96" s="479"/>
      <c r="F96" s="478"/>
      <c r="G96" s="478"/>
      <c r="H96" s="478"/>
      <c r="I96" s="478"/>
      <c r="J96" s="478"/>
      <c r="K96" s="478"/>
    </row>
    <row r="97" spans="1:12" ht="12.75" customHeight="1" x14ac:dyDescent="0.2">
      <c r="A97" s="1517" t="s">
        <v>262</v>
      </c>
      <c r="B97" s="559">
        <v>1930</v>
      </c>
      <c r="C97" s="489"/>
      <c r="D97" s="467"/>
      <c r="E97" s="474"/>
      <c r="F97" s="467"/>
      <c r="G97" s="467"/>
      <c r="H97" s="467"/>
      <c r="I97" s="467"/>
      <c r="J97" s="467"/>
      <c r="K97" s="467"/>
    </row>
    <row r="98" spans="1:12" ht="12.75" customHeight="1" x14ac:dyDescent="0.2">
      <c r="A98" s="463" t="s">
        <v>198</v>
      </c>
      <c r="B98" s="470">
        <v>1940</v>
      </c>
      <c r="C98" s="489"/>
      <c r="D98" s="466"/>
      <c r="E98" s="512"/>
      <c r="F98" s="466"/>
      <c r="G98" s="512"/>
      <c r="H98" s="512"/>
      <c r="I98" s="510"/>
      <c r="J98" s="512"/>
      <c r="K98" s="512"/>
    </row>
    <row r="99" spans="1:12" ht="12.75" customHeight="1" x14ac:dyDescent="0.2">
      <c r="A99" s="463" t="s">
        <v>875</v>
      </c>
      <c r="B99" s="470">
        <v>1950</v>
      </c>
      <c r="C99" s="489">
        <v>18888</v>
      </c>
      <c r="D99" s="466"/>
      <c r="E99" s="466"/>
      <c r="F99" s="466"/>
      <c r="G99" s="466"/>
      <c r="H99" s="466"/>
      <c r="I99" s="468"/>
      <c r="J99" s="467"/>
      <c r="K99" s="466"/>
    </row>
    <row r="100" spans="1:12" ht="12.75" customHeight="1" x14ac:dyDescent="0.2">
      <c r="A100" s="463" t="s">
        <v>263</v>
      </c>
      <c r="B100" s="470">
        <v>1960</v>
      </c>
      <c r="C100" s="489"/>
      <c r="D100" s="489">
        <v>293294</v>
      </c>
      <c r="E100" s="489"/>
      <c r="F100" s="489"/>
      <c r="G100" s="489"/>
      <c r="H100" s="489"/>
      <c r="I100" s="467"/>
      <c r="J100" s="489"/>
      <c r="K100" s="467"/>
    </row>
    <row r="101" spans="1:12" ht="12.75" customHeight="1" x14ac:dyDescent="0.2">
      <c r="A101" s="463" t="s">
        <v>264</v>
      </c>
      <c r="B101" s="470">
        <v>1970</v>
      </c>
      <c r="C101" s="489"/>
      <c r="D101" s="526"/>
      <c r="E101" s="480"/>
      <c r="F101" s="526"/>
      <c r="G101" s="475"/>
      <c r="H101" s="526"/>
      <c r="I101" s="468"/>
      <c r="J101" s="475"/>
      <c r="K101" s="475"/>
    </row>
    <row r="102" spans="1:12" ht="12.75" customHeight="1" x14ac:dyDescent="0.2">
      <c r="A102" s="463" t="s">
        <v>265</v>
      </c>
      <c r="B102" s="470">
        <v>1980</v>
      </c>
      <c r="C102" s="489"/>
      <c r="D102" s="489"/>
      <c r="E102" s="489"/>
      <c r="F102" s="489"/>
      <c r="G102" s="489"/>
      <c r="H102" s="489"/>
      <c r="I102" s="467"/>
      <c r="J102" s="489"/>
      <c r="K102" s="467"/>
    </row>
    <row r="103" spans="1:12" ht="12.75" customHeight="1" x14ac:dyDescent="0.2">
      <c r="A103" s="463" t="s">
        <v>363</v>
      </c>
      <c r="B103" s="470">
        <v>1983</v>
      </c>
      <c r="C103" s="468"/>
      <c r="D103" s="468"/>
      <c r="E103" s="560">
        <v>1072969</v>
      </c>
      <c r="F103" s="468"/>
      <c r="G103" s="468"/>
      <c r="H103" s="489">
        <v>200774</v>
      </c>
      <c r="I103" s="468"/>
      <c r="J103" s="510"/>
      <c r="K103" s="510"/>
    </row>
    <row r="104" spans="1:12" ht="12.75" customHeight="1" x14ac:dyDescent="0.2">
      <c r="A104" s="463" t="s">
        <v>885</v>
      </c>
      <c r="B104" s="470">
        <v>1991</v>
      </c>
      <c r="C104" s="489"/>
      <c r="D104" s="466"/>
      <c r="E104" s="481"/>
      <c r="F104" s="467"/>
      <c r="G104" s="467"/>
      <c r="H104" s="466"/>
      <c r="I104" s="468"/>
      <c r="J104" s="468"/>
      <c r="K104" s="468"/>
    </row>
    <row r="105" spans="1:12" ht="12.75" customHeight="1" x14ac:dyDescent="0.2">
      <c r="A105" s="463" t="s">
        <v>876</v>
      </c>
      <c r="B105" s="470">
        <v>1992</v>
      </c>
      <c r="C105" s="466"/>
      <c r="D105" s="561"/>
      <c r="E105" s="468"/>
      <c r="F105" s="468"/>
      <c r="G105" s="468"/>
      <c r="H105" s="510"/>
      <c r="I105" s="468"/>
      <c r="J105" s="468"/>
      <c r="K105" s="468"/>
    </row>
    <row r="106" spans="1:12" ht="12.75" customHeight="1" x14ac:dyDescent="0.2">
      <c r="A106" s="463" t="s">
        <v>1505</v>
      </c>
      <c r="B106" s="470">
        <v>1993</v>
      </c>
      <c r="C106" s="466"/>
      <c r="D106" s="489"/>
      <c r="E106" s="467"/>
      <c r="F106" s="467"/>
      <c r="G106" s="467"/>
      <c r="H106" s="467"/>
      <c r="I106" s="521"/>
      <c r="J106" s="467"/>
      <c r="K106" s="467"/>
    </row>
    <row r="107" spans="1:12" ht="12.75" customHeight="1" x14ac:dyDescent="0.2">
      <c r="A107" s="463" t="s">
        <v>80</v>
      </c>
      <c r="B107" s="470">
        <v>1999</v>
      </c>
      <c r="C107" s="551">
        <v>72361</v>
      </c>
      <c r="D107" s="466">
        <v>350</v>
      </c>
      <c r="E107" s="466"/>
      <c r="F107" s="466"/>
      <c r="G107" s="466"/>
      <c r="H107" s="466"/>
      <c r="I107" s="466"/>
      <c r="J107" s="467">
        <v>4561</v>
      </c>
      <c r="K107" s="466"/>
    </row>
    <row r="108" spans="1:12" ht="12.75" customHeight="1" thickBot="1" x14ac:dyDescent="0.25">
      <c r="A108" s="1730" t="s">
        <v>508</v>
      </c>
      <c r="B108" s="1734"/>
      <c r="C108" s="1729">
        <f>SUM(C95:C107)</f>
        <v>100722</v>
      </c>
      <c r="D108" s="1729">
        <f t="shared" ref="D108:K108" si="3">SUM(D95:D107)</f>
        <v>294189</v>
      </c>
      <c r="E108" s="1729">
        <f t="shared" si="3"/>
        <v>1072969</v>
      </c>
      <c r="F108" s="1729">
        <f t="shared" si="3"/>
        <v>0</v>
      </c>
      <c r="G108" s="1729">
        <f t="shared" si="3"/>
        <v>0</v>
      </c>
      <c r="H108" s="1729">
        <f t="shared" si="3"/>
        <v>200774</v>
      </c>
      <c r="I108" s="1729">
        <f t="shared" si="3"/>
        <v>0</v>
      </c>
      <c r="J108" s="1729">
        <f t="shared" si="3"/>
        <v>4561</v>
      </c>
      <c r="K108" s="1710">
        <f t="shared" si="3"/>
        <v>0</v>
      </c>
    </row>
    <row r="109" spans="1:12" ht="14.25" thickTop="1" thickBot="1" x14ac:dyDescent="0.25">
      <c r="A109" s="1735" t="s">
        <v>266</v>
      </c>
      <c r="B109" s="1736" t="s">
        <v>591</v>
      </c>
      <c r="C109" s="1737">
        <f t="shared" ref="C109:K109" si="4">SUM(C12,C18,C40,C63,C67,C75,C82,C93,C108,)</f>
        <v>3614493</v>
      </c>
      <c r="D109" s="1737">
        <f t="shared" si="4"/>
        <v>573074</v>
      </c>
      <c r="E109" s="1737">
        <f t="shared" si="4"/>
        <v>1073604</v>
      </c>
      <c r="F109" s="1737">
        <f t="shared" si="4"/>
        <v>205007</v>
      </c>
      <c r="G109" s="1737">
        <f t="shared" si="4"/>
        <v>614908</v>
      </c>
      <c r="H109" s="1737">
        <f t="shared" si="4"/>
        <v>226262</v>
      </c>
      <c r="I109" s="1737">
        <f t="shared" si="4"/>
        <v>10573</v>
      </c>
      <c r="J109" s="1737">
        <f t="shared" si="4"/>
        <v>288131</v>
      </c>
      <c r="K109" s="1724">
        <f t="shared" si="4"/>
        <v>47490</v>
      </c>
    </row>
    <row r="110" spans="1:12" ht="30" customHeight="1" thickTop="1" x14ac:dyDescent="0.2">
      <c r="A110" s="1607" t="s">
        <v>364</v>
      </c>
      <c r="B110" s="1608"/>
      <c r="C110" s="1593"/>
      <c r="D110" s="1593"/>
      <c r="E110" s="1593"/>
      <c r="F110" s="1593"/>
      <c r="G110" s="1593"/>
      <c r="H110" s="1593"/>
      <c r="I110" s="1593"/>
      <c r="J110" s="1593"/>
      <c r="K110" s="1594"/>
    </row>
    <row r="111" spans="1:12" ht="12.75" customHeight="1" x14ac:dyDescent="0.2">
      <c r="A111" s="493" t="s">
        <v>877</v>
      </c>
      <c r="B111" s="491">
        <v>2100</v>
      </c>
      <c r="C111" s="516"/>
      <c r="D111" s="481"/>
      <c r="E111" s="561"/>
      <c r="F111" s="481"/>
      <c r="G111" s="481"/>
      <c r="H111" s="561"/>
      <c r="I111" s="468"/>
      <c r="J111" s="468"/>
      <c r="K111" s="468"/>
    </row>
    <row r="112" spans="1:12" ht="12.75" customHeight="1" x14ac:dyDescent="0.2">
      <c r="A112" s="463" t="s">
        <v>878</v>
      </c>
      <c r="B112" s="470">
        <v>2200</v>
      </c>
      <c r="C112" s="551"/>
      <c r="D112" s="466"/>
      <c r="E112" s="561"/>
      <c r="F112" s="466"/>
      <c r="G112" s="466"/>
      <c r="H112" s="561"/>
      <c r="I112" s="468"/>
      <c r="J112" s="468"/>
      <c r="K112" s="468"/>
      <c r="L112" s="552"/>
    </row>
    <row r="113" spans="1:11" ht="12.75" customHeight="1" x14ac:dyDescent="0.2">
      <c r="A113" s="463" t="s">
        <v>28</v>
      </c>
      <c r="B113" s="470">
        <v>2300</v>
      </c>
      <c r="C113" s="551"/>
      <c r="D113" s="466"/>
      <c r="E113" s="561"/>
      <c r="F113" s="466"/>
      <c r="G113" s="466"/>
      <c r="H113" s="561"/>
      <c r="I113" s="468"/>
      <c r="J113" s="468"/>
      <c r="K113" s="468"/>
    </row>
    <row r="114" spans="1:11" ht="13.5" thickBot="1" x14ac:dyDescent="0.25">
      <c r="A114" s="1738" t="s">
        <v>839</v>
      </c>
      <c r="B114" s="1739" t="s">
        <v>590</v>
      </c>
      <c r="C114" s="1740">
        <f>SUM(C111:C113)</f>
        <v>0</v>
      </c>
      <c r="D114" s="1740">
        <f>SUM(D111:D113)</f>
        <v>0</v>
      </c>
      <c r="E114" s="561" t="s">
        <v>1231</v>
      </c>
      <c r="F114" s="1740">
        <f>SUM(F111:F113)</f>
        <v>0</v>
      </c>
      <c r="G114" s="1740">
        <f>SUM(G111:G113)</f>
        <v>0</v>
      </c>
      <c r="H114" s="561"/>
      <c r="I114" s="468"/>
      <c r="J114" s="468"/>
      <c r="K114" s="468"/>
    </row>
    <row r="115" spans="1:11" ht="16.7" customHeight="1" thickTop="1" x14ac:dyDescent="0.2">
      <c r="A115" s="1609" t="s">
        <v>836</v>
      </c>
      <c r="B115" s="1610"/>
      <c r="C115" s="1592"/>
      <c r="D115" s="1593"/>
      <c r="E115" s="1593"/>
      <c r="F115" s="1593"/>
      <c r="G115" s="1593"/>
      <c r="H115" s="1593"/>
      <c r="I115" s="1593"/>
      <c r="J115" s="1593"/>
      <c r="K115" s="1594"/>
    </row>
    <row r="116" spans="1:11" ht="18" customHeight="1" x14ac:dyDescent="0.2">
      <c r="A116" s="1617" t="s">
        <v>1571</v>
      </c>
      <c r="B116" s="1618"/>
      <c r="C116" s="522"/>
      <c r="D116" s="521"/>
      <c r="E116" s="561"/>
      <c r="F116" s="521"/>
      <c r="G116" s="521"/>
      <c r="H116" s="561"/>
      <c r="I116" s="468"/>
      <c r="J116" s="521"/>
      <c r="K116" s="521"/>
    </row>
    <row r="117" spans="1:11" ht="12.75" customHeight="1" x14ac:dyDescent="0.2">
      <c r="A117" s="463" t="s">
        <v>1766</v>
      </c>
      <c r="B117" s="562">
        <v>3001</v>
      </c>
      <c r="C117" s="516">
        <v>10070798</v>
      </c>
      <c r="D117" s="481">
        <v>1100000</v>
      </c>
      <c r="E117" s="466"/>
      <c r="F117" s="481">
        <v>330000</v>
      </c>
      <c r="G117" s="481"/>
      <c r="H117" s="466"/>
      <c r="I117" s="468"/>
      <c r="J117" s="467"/>
      <c r="K117" s="466"/>
    </row>
    <row r="118" spans="1:11" ht="12.75" customHeight="1" x14ac:dyDescent="0.2">
      <c r="A118" s="463" t="s">
        <v>1900</v>
      </c>
      <c r="B118" s="562">
        <v>3002</v>
      </c>
      <c r="C118" s="551"/>
      <c r="D118" s="466"/>
      <c r="E118" s="466"/>
      <c r="F118" s="466"/>
      <c r="G118" s="466"/>
      <c r="H118" s="466"/>
      <c r="I118" s="468"/>
      <c r="J118" s="467"/>
      <c r="K118" s="466"/>
    </row>
    <row r="119" spans="1:11" ht="12.75" customHeight="1" x14ac:dyDescent="0.2">
      <c r="A119" s="463" t="s">
        <v>1901</v>
      </c>
      <c r="B119" s="562">
        <v>3005</v>
      </c>
      <c r="C119" s="551"/>
      <c r="D119" s="466"/>
      <c r="E119" s="466"/>
      <c r="F119" s="466"/>
      <c r="G119" s="466"/>
      <c r="H119" s="466"/>
      <c r="I119" s="468"/>
      <c r="J119" s="467"/>
      <c r="K119" s="466"/>
    </row>
    <row r="120" spans="1:11" x14ac:dyDescent="0.2">
      <c r="A120" s="1518" t="s">
        <v>1902</v>
      </c>
      <c r="B120" s="564">
        <v>3099</v>
      </c>
      <c r="C120" s="551"/>
      <c r="D120" s="466"/>
      <c r="E120" s="466"/>
      <c r="F120" s="466"/>
      <c r="G120" s="466"/>
      <c r="H120" s="466"/>
      <c r="I120" s="468"/>
      <c r="J120" s="467"/>
      <c r="K120" s="466"/>
    </row>
    <row r="121" spans="1:11" ht="12.6" customHeight="1" thickBot="1" x14ac:dyDescent="0.25">
      <c r="A121" s="1730" t="s">
        <v>509</v>
      </c>
      <c r="B121" s="1741"/>
      <c r="C121" s="1729">
        <f t="shared" ref="C121:H121" si="5">SUM(C117:C120)</f>
        <v>10070798</v>
      </c>
      <c r="D121" s="1729">
        <f t="shared" si="5"/>
        <v>1100000</v>
      </c>
      <c r="E121" s="1729">
        <f t="shared" si="5"/>
        <v>0</v>
      </c>
      <c r="F121" s="1729">
        <f t="shared" si="5"/>
        <v>330000</v>
      </c>
      <c r="G121" s="1729">
        <f t="shared" si="5"/>
        <v>0</v>
      </c>
      <c r="H121" s="1729">
        <f t="shared" si="5"/>
        <v>0</v>
      </c>
      <c r="I121" s="468"/>
      <c r="J121" s="1729">
        <f>SUM(J117:J120)</f>
        <v>0</v>
      </c>
      <c r="K121" s="1710">
        <f>SUM(K117:K120)</f>
        <v>0</v>
      </c>
    </row>
    <row r="122" spans="1:11" ht="15.75" customHeight="1" thickTop="1" x14ac:dyDescent="0.2">
      <c r="A122" s="1614" t="s">
        <v>1570</v>
      </c>
      <c r="B122" s="1619"/>
      <c r="C122" s="565"/>
      <c r="D122" s="509"/>
      <c r="E122" s="468"/>
      <c r="F122" s="566"/>
      <c r="G122" s="468"/>
      <c r="H122" s="468"/>
      <c r="I122" s="468"/>
      <c r="J122" s="468"/>
      <c r="K122" s="468"/>
    </row>
    <row r="123" spans="1:11" ht="15" customHeight="1" x14ac:dyDescent="0.2">
      <c r="A123" s="1620" t="s">
        <v>688</v>
      </c>
      <c r="B123" s="1621"/>
      <c r="C123" s="521"/>
      <c r="D123" s="509"/>
      <c r="E123" s="468"/>
      <c r="F123" s="521"/>
      <c r="G123" s="468"/>
      <c r="H123" s="468"/>
      <c r="I123" s="468"/>
      <c r="J123" s="468"/>
      <c r="K123" s="468"/>
    </row>
    <row r="124" spans="1:11" ht="12.75" customHeight="1" x14ac:dyDescent="0.2">
      <c r="A124" s="463" t="s">
        <v>921</v>
      </c>
      <c r="B124" s="567">
        <v>3100</v>
      </c>
      <c r="C124" s="481">
        <v>300123</v>
      </c>
      <c r="D124" s="561"/>
      <c r="E124" s="468"/>
      <c r="F124" s="548"/>
      <c r="G124" s="468"/>
      <c r="H124" s="468"/>
      <c r="I124" s="468"/>
      <c r="J124" s="468"/>
      <c r="K124" s="468"/>
    </row>
    <row r="125" spans="1:11" ht="12.75" customHeight="1" x14ac:dyDescent="0.2">
      <c r="A125" s="463" t="s">
        <v>1521</v>
      </c>
      <c r="B125" s="562">
        <v>3105</v>
      </c>
      <c r="C125" s="466">
        <v>122299</v>
      </c>
      <c r="D125" s="561"/>
      <c r="E125" s="468"/>
      <c r="F125" s="466"/>
      <c r="G125" s="468"/>
      <c r="H125" s="468"/>
      <c r="I125" s="468"/>
      <c r="J125" s="468"/>
      <c r="K125" s="468"/>
    </row>
    <row r="126" spans="1:11" ht="12.75" customHeight="1" x14ac:dyDescent="0.2">
      <c r="A126" s="463" t="s">
        <v>922</v>
      </c>
      <c r="B126" s="562">
        <v>3110</v>
      </c>
      <c r="C126" s="551">
        <v>221146</v>
      </c>
      <c r="D126" s="466"/>
      <c r="E126" s="468"/>
      <c r="F126" s="466"/>
      <c r="G126" s="468"/>
      <c r="H126" s="468"/>
      <c r="I126" s="468"/>
      <c r="J126" s="468"/>
      <c r="K126" s="468"/>
    </row>
    <row r="127" spans="1:11" ht="12.75" customHeight="1" x14ac:dyDescent="0.2">
      <c r="A127" s="463" t="s">
        <v>107</v>
      </c>
      <c r="B127" s="562">
        <v>3120</v>
      </c>
      <c r="C127" s="466">
        <v>28505</v>
      </c>
      <c r="D127" s="561"/>
      <c r="E127" s="468"/>
      <c r="F127" s="466"/>
      <c r="G127" s="468"/>
      <c r="H127" s="468"/>
      <c r="I127" s="468"/>
      <c r="J127" s="468"/>
      <c r="K127" s="468"/>
    </row>
    <row r="128" spans="1:11" ht="12.75" customHeight="1" x14ac:dyDescent="0.2">
      <c r="A128" s="463" t="s">
        <v>1522</v>
      </c>
      <c r="B128" s="562">
        <v>3130</v>
      </c>
      <c r="C128" s="466"/>
      <c r="D128" s="561"/>
      <c r="E128" s="468"/>
      <c r="F128" s="466"/>
      <c r="G128" s="468"/>
      <c r="H128" s="468"/>
      <c r="I128" s="468"/>
      <c r="J128" s="468"/>
      <c r="K128" s="468"/>
    </row>
    <row r="129" spans="1:11" ht="12.75" customHeight="1" x14ac:dyDescent="0.2">
      <c r="A129" s="463" t="s">
        <v>139</v>
      </c>
      <c r="B129" s="562">
        <v>3145</v>
      </c>
      <c r="C129" s="466">
        <v>5317</v>
      </c>
      <c r="D129" s="561"/>
      <c r="E129" s="468"/>
      <c r="F129" s="466"/>
      <c r="G129" s="468"/>
      <c r="H129" s="468"/>
      <c r="I129" s="468"/>
      <c r="J129" s="468"/>
      <c r="K129" s="468"/>
    </row>
    <row r="130" spans="1:11" ht="12.75" customHeight="1" x14ac:dyDescent="0.2">
      <c r="A130" s="463" t="s">
        <v>68</v>
      </c>
      <c r="B130" s="562">
        <v>3199</v>
      </c>
      <c r="C130" s="551"/>
      <c r="D130" s="467"/>
      <c r="E130" s="468"/>
      <c r="F130" s="466"/>
      <c r="G130" s="468"/>
      <c r="H130" s="468"/>
      <c r="I130" s="468"/>
      <c r="J130" s="468"/>
      <c r="K130" s="468"/>
    </row>
    <row r="131" spans="1:11" ht="12.75" customHeight="1" thickBot="1" x14ac:dyDescent="0.25">
      <c r="A131" s="1730" t="s">
        <v>1092</v>
      </c>
      <c r="B131" s="1742"/>
      <c r="C131" s="1729">
        <f>SUM(C124:C130)</f>
        <v>677390</v>
      </c>
      <c r="D131" s="1729">
        <f>SUM(D124:D130)</f>
        <v>0</v>
      </c>
      <c r="E131" s="469" t="s">
        <v>1231</v>
      </c>
      <c r="F131" s="1729">
        <f>SUM(F124:F130)</f>
        <v>0</v>
      </c>
      <c r="G131" s="468" t="s">
        <v>1231</v>
      </c>
      <c r="H131" s="468" t="s">
        <v>1231</v>
      </c>
      <c r="I131" s="468" t="s">
        <v>1231</v>
      </c>
      <c r="J131" s="468" t="s">
        <v>1231</v>
      </c>
      <c r="K131" s="468" t="s">
        <v>1231</v>
      </c>
    </row>
    <row r="132" spans="1:11" ht="15.75" customHeight="1" thickTop="1" x14ac:dyDescent="0.2">
      <c r="A132" s="1622" t="s">
        <v>268</v>
      </c>
      <c r="B132" s="1623"/>
      <c r="C132" s="553"/>
      <c r="D132" s="553"/>
      <c r="E132" s="509"/>
      <c r="F132" s="553"/>
      <c r="G132" s="468"/>
      <c r="H132" s="468"/>
      <c r="I132" s="468"/>
      <c r="J132" s="468"/>
      <c r="K132" s="468"/>
    </row>
    <row r="133" spans="1:11" x14ac:dyDescent="0.2">
      <c r="A133" s="463" t="s">
        <v>620</v>
      </c>
      <c r="B133" s="562">
        <v>3200</v>
      </c>
      <c r="C133" s="551"/>
      <c r="D133" s="466"/>
      <c r="E133" s="561"/>
      <c r="F133" s="468"/>
      <c r="G133" s="466"/>
      <c r="H133" s="468"/>
      <c r="I133" s="468"/>
      <c r="J133" s="468"/>
      <c r="K133" s="468"/>
    </row>
    <row r="134" spans="1:11" ht="12.75" customHeight="1" x14ac:dyDescent="0.2">
      <c r="A134" s="463" t="s">
        <v>690</v>
      </c>
      <c r="B134" s="562">
        <v>3220</v>
      </c>
      <c r="C134" s="551"/>
      <c r="D134" s="466"/>
      <c r="E134" s="561"/>
      <c r="F134" s="468"/>
      <c r="G134" s="467"/>
      <c r="H134" s="468"/>
      <c r="I134" s="468"/>
      <c r="J134" s="468"/>
      <c r="K134" s="468"/>
    </row>
    <row r="135" spans="1:11" ht="12.75" customHeight="1" x14ac:dyDescent="0.2">
      <c r="A135" s="463" t="s">
        <v>267</v>
      </c>
      <c r="B135" s="562">
        <v>3225</v>
      </c>
      <c r="C135" s="551"/>
      <c r="D135" s="466"/>
      <c r="E135" s="561"/>
      <c r="F135" s="468"/>
      <c r="G135" s="467"/>
      <c r="H135" s="468"/>
      <c r="I135" s="468"/>
      <c r="J135" s="468"/>
      <c r="K135" s="468"/>
    </row>
    <row r="136" spans="1:11" ht="12.75" customHeight="1" x14ac:dyDescent="0.2">
      <c r="A136" s="463" t="s">
        <v>621</v>
      </c>
      <c r="B136" s="562">
        <v>3235</v>
      </c>
      <c r="C136" s="489"/>
      <c r="D136" s="467"/>
      <c r="E136" s="561"/>
      <c r="F136" s="468"/>
      <c r="G136" s="467"/>
      <c r="H136" s="468"/>
      <c r="I136" s="468"/>
      <c r="J136" s="468"/>
      <c r="K136" s="468"/>
    </row>
    <row r="137" spans="1:11" ht="12.75" customHeight="1" x14ac:dyDescent="0.2">
      <c r="A137" s="463" t="s">
        <v>622</v>
      </c>
      <c r="B137" s="562">
        <v>3240</v>
      </c>
      <c r="C137" s="489"/>
      <c r="D137" s="467"/>
      <c r="E137" s="561"/>
      <c r="F137" s="468"/>
      <c r="G137" s="467"/>
      <c r="H137" s="468"/>
      <c r="I137" s="468"/>
      <c r="J137" s="468"/>
      <c r="K137" s="468"/>
    </row>
    <row r="138" spans="1:11" ht="12.75" customHeight="1" x14ac:dyDescent="0.2">
      <c r="A138" s="463" t="s">
        <v>623</v>
      </c>
      <c r="B138" s="562">
        <v>3270</v>
      </c>
      <c r="C138" s="489"/>
      <c r="D138" s="467"/>
      <c r="E138" s="561"/>
      <c r="F138" s="468"/>
      <c r="G138" s="467"/>
      <c r="H138" s="468"/>
      <c r="I138" s="468"/>
      <c r="J138" s="468"/>
      <c r="K138" s="468"/>
    </row>
    <row r="139" spans="1:11" ht="12.75" customHeight="1" x14ac:dyDescent="0.2">
      <c r="A139" s="463" t="s">
        <v>69</v>
      </c>
      <c r="B139" s="562">
        <v>3299</v>
      </c>
      <c r="C139" s="551"/>
      <c r="D139" s="466"/>
      <c r="E139" s="561"/>
      <c r="F139" s="477"/>
      <c r="G139" s="467"/>
      <c r="H139" s="468"/>
      <c r="I139" s="468"/>
      <c r="J139" s="468"/>
      <c r="K139" s="468"/>
    </row>
    <row r="140" spans="1:11" ht="12.75" customHeight="1" thickBot="1" x14ac:dyDescent="0.25">
      <c r="A140" s="1730" t="s">
        <v>624</v>
      </c>
      <c r="B140" s="1742"/>
      <c r="C140" s="1729">
        <f>SUM(C133:C139)</f>
        <v>0</v>
      </c>
      <c r="D140" s="1729">
        <f>SUM(D133:D139)</f>
        <v>0</v>
      </c>
      <c r="E140" s="561" t="s">
        <v>1231</v>
      </c>
      <c r="F140" s="477"/>
      <c r="G140" s="1729">
        <f>SUM(G133:G139)</f>
        <v>0</v>
      </c>
      <c r="H140" s="468" t="s">
        <v>1231</v>
      </c>
      <c r="I140" s="468" t="s">
        <v>1231</v>
      </c>
      <c r="J140" s="468" t="s">
        <v>1231</v>
      </c>
      <c r="K140" s="468" t="s">
        <v>1231</v>
      </c>
    </row>
    <row r="141" spans="1:11" ht="15.75" customHeight="1" thickTop="1" x14ac:dyDescent="0.2">
      <c r="A141" s="1622" t="s">
        <v>691</v>
      </c>
      <c r="B141" s="1623"/>
      <c r="C141" s="553"/>
      <c r="D141" s="566"/>
      <c r="E141" s="561"/>
      <c r="F141" s="553"/>
      <c r="G141" s="553"/>
      <c r="H141" s="468"/>
      <c r="I141" s="468"/>
      <c r="J141" s="468"/>
      <c r="K141" s="468"/>
    </row>
    <row r="142" spans="1:11" ht="12.75" customHeight="1" x14ac:dyDescent="0.2">
      <c r="A142" s="463" t="s">
        <v>625</v>
      </c>
      <c r="B142" s="562">
        <v>3305</v>
      </c>
      <c r="C142" s="466">
        <v>94901</v>
      </c>
      <c r="D142" s="468"/>
      <c r="E142" s="561"/>
      <c r="F142" s="468"/>
      <c r="G142" s="466"/>
      <c r="H142" s="468"/>
      <c r="I142" s="468"/>
      <c r="J142" s="468"/>
      <c r="K142" s="468"/>
    </row>
    <row r="143" spans="1:11" ht="12.75" customHeight="1" x14ac:dyDescent="0.2">
      <c r="A143" s="463" t="s">
        <v>365</v>
      </c>
      <c r="B143" s="562">
        <v>3310</v>
      </c>
      <c r="C143" s="551"/>
      <c r="D143" s="468"/>
      <c r="E143" s="561"/>
      <c r="F143" s="468"/>
      <c r="G143" s="466"/>
      <c r="H143" s="468"/>
      <c r="I143" s="468"/>
      <c r="J143" s="468"/>
      <c r="K143" s="468"/>
    </row>
    <row r="144" spans="1:11" s="202" customFormat="1" ht="13.5" thickBot="1" x14ac:dyDescent="0.25">
      <c r="A144" s="1730" t="s">
        <v>414</v>
      </c>
      <c r="B144" s="1742"/>
      <c r="C144" s="1710">
        <f>SUM(C142:C143)</f>
        <v>94901</v>
      </c>
      <c r="D144" s="468"/>
      <c r="E144" s="509"/>
      <c r="F144" s="468"/>
      <c r="G144" s="1743">
        <f>SUM(G142:G143)</f>
        <v>0</v>
      </c>
      <c r="H144" s="468"/>
      <c r="I144" s="468"/>
      <c r="J144" s="468"/>
      <c r="K144" s="468"/>
    </row>
    <row r="145" spans="1:11" s="202" customFormat="1" ht="12.75" customHeight="1" thickTop="1" x14ac:dyDescent="0.2">
      <c r="A145" s="1520" t="s">
        <v>1116</v>
      </c>
      <c r="B145" s="568">
        <v>3360</v>
      </c>
      <c r="C145" s="569">
        <v>17913</v>
      </c>
      <c r="D145" s="570"/>
      <c r="E145" s="509"/>
      <c r="F145" s="468"/>
      <c r="G145" s="571"/>
      <c r="H145" s="468"/>
      <c r="I145" s="468"/>
      <c r="J145" s="468"/>
      <c r="K145" s="468"/>
    </row>
    <row r="146" spans="1:11" ht="12.75" customHeight="1" thickBot="1" x14ac:dyDescent="0.25">
      <c r="A146" s="1521" t="s">
        <v>979</v>
      </c>
      <c r="B146" s="572">
        <v>3365</v>
      </c>
      <c r="C146" s="573"/>
      <c r="D146" s="532"/>
      <c r="E146" s="561"/>
      <c r="F146" s="468"/>
      <c r="G146" s="532"/>
      <c r="H146" s="468"/>
      <c r="I146" s="468"/>
      <c r="J146" s="468"/>
      <c r="K146" s="468"/>
    </row>
    <row r="147" spans="1:11" ht="12.75" customHeight="1" thickTop="1" thickBot="1" x14ac:dyDescent="0.25">
      <c r="A147" s="1522" t="s">
        <v>140</v>
      </c>
      <c r="B147" s="574">
        <v>3370</v>
      </c>
      <c r="C147" s="573"/>
      <c r="D147" s="573"/>
      <c r="E147" s="509"/>
      <c r="F147" s="468"/>
      <c r="G147" s="468"/>
      <c r="H147" s="468"/>
      <c r="I147" s="468"/>
      <c r="J147" s="468"/>
      <c r="K147" s="468"/>
    </row>
    <row r="148" spans="1:11" ht="12.75" customHeight="1" thickTop="1" thickBot="1" x14ac:dyDescent="0.25">
      <c r="A148" s="1522" t="s">
        <v>791</v>
      </c>
      <c r="B148" s="574">
        <v>3410</v>
      </c>
      <c r="C148" s="575"/>
      <c r="D148" s="576"/>
      <c r="E148" s="577"/>
      <c r="F148" s="530"/>
      <c r="G148" s="530"/>
      <c r="H148" s="530"/>
      <c r="I148" s="530"/>
      <c r="J148" s="530"/>
      <c r="K148" s="530"/>
    </row>
    <row r="149" spans="1:11" ht="12.75" customHeight="1" thickTop="1" thickBot="1" x14ac:dyDescent="0.25">
      <c r="A149" s="1522" t="s">
        <v>70</v>
      </c>
      <c r="B149" s="574">
        <v>3499</v>
      </c>
      <c r="C149" s="575"/>
      <c r="D149" s="576"/>
      <c r="E149" s="532"/>
      <c r="F149" s="532"/>
      <c r="G149" s="532"/>
      <c r="H149" s="532"/>
      <c r="I149" s="532"/>
      <c r="J149" s="532"/>
      <c r="K149" s="532"/>
    </row>
    <row r="150" spans="1:11" ht="15.75" customHeight="1" thickTop="1" x14ac:dyDescent="0.2">
      <c r="A150" s="1622" t="s">
        <v>473</v>
      </c>
      <c r="B150" s="1624"/>
      <c r="C150" s="553"/>
      <c r="D150" s="468"/>
      <c r="E150" s="561"/>
      <c r="F150" s="468"/>
      <c r="G150" s="468"/>
      <c r="H150" s="468"/>
      <c r="I150" s="468"/>
      <c r="J150" s="468"/>
      <c r="K150" s="468"/>
    </row>
    <row r="151" spans="1:11" ht="12.75" customHeight="1" x14ac:dyDescent="0.2">
      <c r="A151" s="463" t="s">
        <v>1523</v>
      </c>
      <c r="B151" s="562">
        <v>3500</v>
      </c>
      <c r="C151" s="551"/>
      <c r="D151" s="466"/>
      <c r="E151" s="561"/>
      <c r="F151" s="466">
        <v>126298</v>
      </c>
      <c r="G151" s="467"/>
      <c r="H151" s="468"/>
      <c r="I151" s="468"/>
      <c r="J151" s="468"/>
      <c r="K151" s="468"/>
    </row>
    <row r="152" spans="1:11" ht="12.75" customHeight="1" x14ac:dyDescent="0.2">
      <c r="A152" s="463" t="s">
        <v>1117</v>
      </c>
      <c r="B152" s="562">
        <v>3510</v>
      </c>
      <c r="C152" s="551"/>
      <c r="D152" s="466"/>
      <c r="E152" s="561"/>
      <c r="F152" s="466">
        <v>295362</v>
      </c>
      <c r="G152" s="467"/>
      <c r="H152" s="468"/>
      <c r="I152" s="468"/>
      <c r="J152" s="468"/>
      <c r="K152" s="468"/>
    </row>
    <row r="153" spans="1:11" ht="12.75" customHeight="1" x14ac:dyDescent="0.2">
      <c r="A153" s="463" t="s">
        <v>71</v>
      </c>
      <c r="B153" s="562">
        <v>3599</v>
      </c>
      <c r="C153" s="551"/>
      <c r="D153" s="466"/>
      <c r="E153" s="561"/>
      <c r="F153" s="466"/>
      <c r="G153" s="467"/>
      <c r="H153" s="468"/>
      <c r="I153" s="468"/>
      <c r="J153" s="468"/>
      <c r="K153" s="468"/>
    </row>
    <row r="154" spans="1:11" ht="12.75" customHeight="1" thickBot="1" x14ac:dyDescent="0.25">
      <c r="A154" s="1730" t="s">
        <v>96</v>
      </c>
      <c r="B154" s="1742"/>
      <c r="C154" s="1729">
        <f>SUM(C151:C153)</f>
        <v>0</v>
      </c>
      <c r="D154" s="1729">
        <f>SUM(D151:D153)</f>
        <v>0</v>
      </c>
      <c r="E154" s="561"/>
      <c r="F154" s="1729">
        <f>SUM(F151:F153)</f>
        <v>421660</v>
      </c>
      <c r="G154" s="1729">
        <f>SUM(G151:G153)</f>
        <v>0</v>
      </c>
      <c r="H154" s="468"/>
      <c r="I154" s="468"/>
      <c r="J154" s="468"/>
      <c r="K154" s="468"/>
    </row>
    <row r="155" spans="1:11" ht="12.75" customHeight="1" thickTop="1" thickBot="1" x14ac:dyDescent="0.25">
      <c r="A155" s="1522" t="s">
        <v>398</v>
      </c>
      <c r="B155" s="574">
        <v>3610</v>
      </c>
      <c r="C155" s="576"/>
      <c r="D155" s="468"/>
      <c r="E155" s="509"/>
      <c r="F155" s="468"/>
      <c r="G155" s="468"/>
      <c r="H155" s="468"/>
      <c r="I155" s="468"/>
      <c r="J155" s="468"/>
      <c r="K155" s="468"/>
    </row>
    <row r="156" spans="1:11" ht="12.75" customHeight="1" thickTop="1" thickBot="1" x14ac:dyDescent="0.25">
      <c r="A156" s="1522" t="s">
        <v>52</v>
      </c>
      <c r="B156" s="574">
        <v>3660</v>
      </c>
      <c r="C156" s="573"/>
      <c r="D156" s="578"/>
      <c r="E156" s="561"/>
      <c r="F156" s="578"/>
      <c r="G156" s="578"/>
      <c r="H156" s="468"/>
      <c r="I156" s="468"/>
      <c r="J156" s="468"/>
      <c r="K156" s="468"/>
    </row>
    <row r="157" spans="1:11" ht="12.75" customHeight="1" thickTop="1" thickBot="1" x14ac:dyDescent="0.25">
      <c r="A157" s="1522" t="s">
        <v>1057</v>
      </c>
      <c r="B157" s="574">
        <v>3695</v>
      </c>
      <c r="C157" s="576"/>
      <c r="D157" s="468"/>
      <c r="E157" s="561"/>
      <c r="F157" s="576"/>
      <c r="G157" s="576"/>
      <c r="H157" s="468"/>
      <c r="I157" s="468"/>
      <c r="J157" s="468"/>
      <c r="K157" s="468"/>
    </row>
    <row r="158" spans="1:11" ht="12.75" customHeight="1" thickTop="1" thickBot="1" x14ac:dyDescent="0.25">
      <c r="A158" s="1522" t="s">
        <v>1111</v>
      </c>
      <c r="B158" s="574">
        <v>3705</v>
      </c>
      <c r="C158" s="576"/>
      <c r="D158" s="578"/>
      <c r="E158" s="561"/>
      <c r="F158" s="576"/>
      <c r="G158" s="576"/>
      <c r="H158" s="468"/>
      <c r="I158" s="468"/>
      <c r="J158" s="468"/>
      <c r="K158" s="468"/>
    </row>
    <row r="159" spans="1:11" ht="12.75" customHeight="1" thickTop="1" thickBot="1" x14ac:dyDescent="0.25">
      <c r="A159" s="1522" t="s">
        <v>39</v>
      </c>
      <c r="B159" s="574">
        <v>3715</v>
      </c>
      <c r="C159" s="576"/>
      <c r="D159" s="468"/>
      <c r="E159" s="561"/>
      <c r="F159" s="576"/>
      <c r="G159" s="576"/>
      <c r="H159" s="468"/>
      <c r="I159" s="468"/>
      <c r="J159" s="468"/>
      <c r="K159" s="468"/>
    </row>
    <row r="160" spans="1:11" ht="12.75" customHeight="1" thickTop="1" thickBot="1" x14ac:dyDescent="0.25">
      <c r="A160" s="1522" t="s">
        <v>40</v>
      </c>
      <c r="B160" s="574">
        <v>3720</v>
      </c>
      <c r="C160" s="576"/>
      <c r="D160" s="468"/>
      <c r="E160" s="561"/>
      <c r="F160" s="576"/>
      <c r="G160" s="576"/>
      <c r="H160" s="468"/>
      <c r="I160" s="468"/>
      <c r="J160" s="468"/>
      <c r="K160" s="468"/>
    </row>
    <row r="161" spans="1:11" ht="12.75" customHeight="1" thickTop="1" thickBot="1" x14ac:dyDescent="0.25">
      <c r="A161" s="1522" t="s">
        <v>415</v>
      </c>
      <c r="B161" s="574">
        <v>3725</v>
      </c>
      <c r="C161" s="531"/>
      <c r="D161" s="468"/>
      <c r="E161" s="561"/>
      <c r="F161" s="531"/>
      <c r="G161" s="531"/>
      <c r="H161" s="468"/>
      <c r="I161" s="468"/>
      <c r="J161" s="468"/>
      <c r="K161" s="468"/>
    </row>
    <row r="162" spans="1:11" ht="12.75" customHeight="1" thickTop="1" thickBot="1" x14ac:dyDescent="0.25">
      <c r="A162" s="1522" t="s">
        <v>416</v>
      </c>
      <c r="B162" s="574">
        <v>3726</v>
      </c>
      <c r="C162" s="531"/>
      <c r="D162" s="468"/>
      <c r="E162" s="561"/>
      <c r="F162" s="531"/>
      <c r="G162" s="531"/>
      <c r="H162" s="468"/>
      <c r="I162" s="468"/>
      <c r="J162" s="468"/>
      <c r="K162" s="468"/>
    </row>
    <row r="163" spans="1:11" ht="12.75" customHeight="1" thickTop="1" thickBot="1" x14ac:dyDescent="0.25">
      <c r="A163" s="1522" t="s">
        <v>41</v>
      </c>
      <c r="B163" s="574">
        <v>3766</v>
      </c>
      <c r="C163" s="576"/>
      <c r="D163" s="578"/>
      <c r="E163" s="561"/>
      <c r="F163" s="576"/>
      <c r="G163" s="531"/>
      <c r="H163" s="468"/>
      <c r="I163" s="468"/>
      <c r="J163" s="468"/>
      <c r="K163" s="468"/>
    </row>
    <row r="164" spans="1:11" ht="12.75" customHeight="1" thickTop="1" thickBot="1" x14ac:dyDescent="0.25">
      <c r="A164" s="1522" t="s">
        <v>1042</v>
      </c>
      <c r="B164" s="574">
        <v>3767</v>
      </c>
      <c r="C164" s="576"/>
      <c r="D164" s="531"/>
      <c r="E164" s="561"/>
      <c r="F164" s="531"/>
      <c r="G164" s="531"/>
      <c r="H164" s="468"/>
      <c r="I164" s="468"/>
      <c r="J164" s="468"/>
      <c r="K164" s="468"/>
    </row>
    <row r="165" spans="1:11" ht="12.75" customHeight="1" thickTop="1" thickBot="1" x14ac:dyDescent="0.25">
      <c r="A165" s="1522" t="s">
        <v>1043</v>
      </c>
      <c r="B165" s="574">
        <v>3775</v>
      </c>
      <c r="C165" s="576"/>
      <c r="D165" s="573"/>
      <c r="E165" s="530"/>
      <c r="F165" s="573"/>
      <c r="G165" s="532"/>
      <c r="H165" s="530"/>
      <c r="I165" s="468"/>
      <c r="J165" s="468"/>
      <c r="K165" s="530"/>
    </row>
    <row r="166" spans="1:11" ht="12.75" customHeight="1" thickTop="1" thickBot="1" x14ac:dyDescent="0.25">
      <c r="A166" s="1522" t="s">
        <v>1524</v>
      </c>
      <c r="B166" s="574">
        <v>3780</v>
      </c>
      <c r="C166" s="531"/>
      <c r="D166" s="530"/>
      <c r="E166" s="531"/>
      <c r="F166" s="531"/>
      <c r="G166" s="531"/>
      <c r="H166" s="531"/>
      <c r="I166" s="468"/>
      <c r="J166" s="468"/>
      <c r="K166" s="531"/>
    </row>
    <row r="167" spans="1:11" ht="12.75" customHeight="1" thickTop="1" thickBot="1" x14ac:dyDescent="0.25">
      <c r="A167" s="1522" t="s">
        <v>913</v>
      </c>
      <c r="B167" s="574">
        <v>3815</v>
      </c>
      <c r="C167" s="576"/>
      <c r="D167" s="468"/>
      <c r="E167" s="561"/>
      <c r="F167" s="576"/>
      <c r="G167" s="468"/>
      <c r="H167" s="468"/>
      <c r="I167" s="468"/>
      <c r="J167" s="468"/>
      <c r="K167" s="468"/>
    </row>
    <row r="168" spans="1:11" ht="12.75" customHeight="1" thickTop="1" thickBot="1" x14ac:dyDescent="0.25">
      <c r="A168" s="1522" t="s">
        <v>417</v>
      </c>
      <c r="B168" s="574">
        <v>3825</v>
      </c>
      <c r="C168" s="576"/>
      <c r="D168" s="468"/>
      <c r="E168" s="561"/>
      <c r="F168" s="576"/>
      <c r="G168" s="468"/>
      <c r="H168" s="468"/>
      <c r="I168" s="468"/>
      <c r="J168" s="468"/>
      <c r="K168" s="468"/>
    </row>
    <row r="169" spans="1:11" ht="12.75" customHeight="1" thickTop="1" thickBot="1" x14ac:dyDescent="0.25">
      <c r="A169" s="1522" t="s">
        <v>366</v>
      </c>
      <c r="B169" s="574">
        <v>3920</v>
      </c>
      <c r="C169" s="566"/>
      <c r="D169" s="578"/>
      <c r="E169" s="468"/>
      <c r="F169" s="566"/>
      <c r="G169" s="468"/>
      <c r="H169" s="530"/>
      <c r="I169" s="468"/>
      <c r="J169" s="468"/>
      <c r="K169" s="468"/>
    </row>
    <row r="170" spans="1:11" ht="12.75" customHeight="1" thickTop="1" thickBot="1" x14ac:dyDescent="0.25">
      <c r="A170" s="1522" t="s">
        <v>367</v>
      </c>
      <c r="B170" s="574">
        <v>3925</v>
      </c>
      <c r="C170" s="521"/>
      <c r="D170" s="576"/>
      <c r="E170" s="521"/>
      <c r="F170" s="521"/>
      <c r="G170" s="468"/>
      <c r="H170" s="531"/>
      <c r="I170" s="468"/>
      <c r="J170" s="468"/>
      <c r="K170" s="530"/>
    </row>
    <row r="171" spans="1:11" ht="14.25" thickTop="1" thickBot="1" x14ac:dyDescent="0.25">
      <c r="A171" s="1522" t="s">
        <v>72</v>
      </c>
      <c r="B171" s="574">
        <v>3999</v>
      </c>
      <c r="C171" s="579">
        <v>41445</v>
      </c>
      <c r="D171" s="580"/>
      <c r="E171" s="580"/>
      <c r="F171" s="580"/>
      <c r="G171" s="581"/>
      <c r="H171" s="582"/>
      <c r="I171" s="581"/>
      <c r="J171" s="581"/>
      <c r="K171" s="582"/>
    </row>
    <row r="172" spans="1:11" ht="12.75" customHeight="1" thickTop="1" thickBot="1" x14ac:dyDescent="0.25">
      <c r="A172" s="2163" t="s">
        <v>418</v>
      </c>
      <c r="B172" s="2164"/>
      <c r="C172" s="1744">
        <f t="shared" ref="C172:K172" si="6">SUM(C131,C140,C144,C145:C149,C154,C155:C170,C171)</f>
        <v>831649</v>
      </c>
      <c r="D172" s="1744">
        <f t="shared" si="6"/>
        <v>0</v>
      </c>
      <c r="E172" s="1744">
        <f t="shared" si="6"/>
        <v>0</v>
      </c>
      <c r="F172" s="1744">
        <f t="shared" si="6"/>
        <v>421660</v>
      </c>
      <c r="G172" s="1744">
        <f t="shared" si="6"/>
        <v>0</v>
      </c>
      <c r="H172" s="1744">
        <f t="shared" si="6"/>
        <v>0</v>
      </c>
      <c r="I172" s="1744">
        <f t="shared" si="6"/>
        <v>0</v>
      </c>
      <c r="J172" s="1744">
        <f t="shared" si="6"/>
        <v>0</v>
      </c>
      <c r="K172" s="1725">
        <f t="shared" si="6"/>
        <v>0</v>
      </c>
    </row>
    <row r="173" spans="1:11" ht="12.75" customHeight="1" thickTop="1" thickBot="1" x14ac:dyDescent="0.25">
      <c r="A173" s="1730" t="s">
        <v>419</v>
      </c>
      <c r="B173" s="1736" t="s">
        <v>596</v>
      </c>
      <c r="C173" s="1737">
        <f>SUM(C121,C172)</f>
        <v>10902447</v>
      </c>
      <c r="D173" s="1737">
        <f>SUM(D121,D172)</f>
        <v>1100000</v>
      </c>
      <c r="E173" s="1737">
        <f>SUM(E121,E172)</f>
        <v>0</v>
      </c>
      <c r="F173" s="1737">
        <f t="shared" ref="F173:K173" si="7">SUM(F121,F172)</f>
        <v>751660</v>
      </c>
      <c r="G173" s="1737">
        <f t="shared" si="7"/>
        <v>0</v>
      </c>
      <c r="H173" s="1737">
        <f t="shared" si="7"/>
        <v>0</v>
      </c>
      <c r="I173" s="1737">
        <f t="shared" si="7"/>
        <v>0</v>
      </c>
      <c r="J173" s="1737">
        <f t="shared" si="7"/>
        <v>0</v>
      </c>
      <c r="K173" s="1724">
        <f t="shared" si="7"/>
        <v>0</v>
      </c>
    </row>
    <row r="174" spans="1:11" ht="16.7" customHeight="1" thickTop="1" x14ac:dyDescent="0.2">
      <c r="A174" s="1611" t="s">
        <v>837</v>
      </c>
      <c r="B174" s="1589"/>
      <c r="C174" s="1592"/>
      <c r="D174" s="1593"/>
      <c r="E174" s="1593"/>
      <c r="F174" s="1593"/>
      <c r="G174" s="1593"/>
      <c r="H174" s="1593"/>
      <c r="I174" s="1593"/>
      <c r="J174" s="1593"/>
      <c r="K174" s="1594"/>
    </row>
    <row r="175" spans="1:11" ht="15.75" customHeight="1" x14ac:dyDescent="0.2">
      <c r="A175" s="2165" t="s">
        <v>1572</v>
      </c>
      <c r="B175" s="2166"/>
      <c r="C175" s="520"/>
      <c r="D175" s="520"/>
      <c r="E175" s="509"/>
      <c r="F175" s="468"/>
      <c r="G175" s="468"/>
      <c r="H175" s="468"/>
      <c r="I175" s="468"/>
      <c r="J175" s="468"/>
      <c r="K175" s="468"/>
    </row>
    <row r="176" spans="1:11" ht="12.6" customHeight="1" x14ac:dyDescent="0.2">
      <c r="A176" s="493" t="s">
        <v>1104</v>
      </c>
      <c r="B176" s="491">
        <v>4001</v>
      </c>
      <c r="C176" s="516"/>
      <c r="D176" s="481"/>
      <c r="E176" s="467"/>
      <c r="F176" s="466"/>
      <c r="G176" s="466"/>
      <c r="H176" s="467"/>
      <c r="I176" s="467"/>
      <c r="J176" s="467"/>
      <c r="K176" s="467"/>
    </row>
    <row r="177" spans="1:11" ht="22.5" x14ac:dyDescent="0.2">
      <c r="A177" s="563" t="s">
        <v>838</v>
      </c>
      <c r="B177" s="583">
        <v>4009</v>
      </c>
      <c r="C177" s="551"/>
      <c r="D177" s="466"/>
      <c r="E177" s="467"/>
      <c r="F177" s="466"/>
      <c r="G177" s="466"/>
      <c r="H177" s="467"/>
      <c r="I177" s="467"/>
      <c r="J177" s="467"/>
      <c r="K177" s="467"/>
    </row>
    <row r="178" spans="1:11" ht="13.5" thickBot="1" x14ac:dyDescent="0.25">
      <c r="A178" s="2169" t="s">
        <v>1764</v>
      </c>
      <c r="B178" s="2170"/>
      <c r="C178" s="1729">
        <f>SUM(C176:C177)</f>
        <v>0</v>
      </c>
      <c r="D178" s="1729">
        <f t="shared" ref="D178:K178" si="8">SUM(D176:D177)</f>
        <v>0</v>
      </c>
      <c r="E178" s="1729">
        <f t="shared" si="8"/>
        <v>0</v>
      </c>
      <c r="F178" s="1729">
        <f t="shared" si="8"/>
        <v>0</v>
      </c>
      <c r="G178" s="1729">
        <f t="shared" si="8"/>
        <v>0</v>
      </c>
      <c r="H178" s="1729">
        <f t="shared" si="8"/>
        <v>0</v>
      </c>
      <c r="I178" s="1729">
        <f t="shared" si="8"/>
        <v>0</v>
      </c>
      <c r="J178" s="1729">
        <f t="shared" si="8"/>
        <v>0</v>
      </c>
      <c r="K178" s="1710">
        <f t="shared" si="8"/>
        <v>0</v>
      </c>
    </row>
    <row r="179" spans="1:11" s="457" customFormat="1" ht="15.75" customHeight="1" thickTop="1" x14ac:dyDescent="0.2">
      <c r="A179" s="2173" t="s">
        <v>1763</v>
      </c>
      <c r="B179" s="2174"/>
      <c r="C179" s="599"/>
      <c r="D179" s="600"/>
      <c r="E179" s="601"/>
      <c r="F179" s="602"/>
      <c r="G179" s="602"/>
      <c r="H179" s="602"/>
      <c r="I179" s="602"/>
      <c r="J179" s="602"/>
      <c r="K179" s="602"/>
    </row>
    <row r="180" spans="1:11" ht="12.75" customHeight="1" x14ac:dyDescent="0.2">
      <c r="A180" s="463" t="s">
        <v>1105</v>
      </c>
      <c r="B180" s="470">
        <v>4045</v>
      </c>
      <c r="C180" s="551"/>
      <c r="D180" s="468"/>
      <c r="E180" s="561"/>
      <c r="F180" s="468"/>
      <c r="G180" s="468"/>
      <c r="H180" s="468"/>
      <c r="I180" s="468"/>
      <c r="J180" s="468"/>
      <c r="K180" s="468"/>
    </row>
    <row r="181" spans="1:11" ht="12.75" customHeight="1" x14ac:dyDescent="0.2">
      <c r="A181" s="463" t="s">
        <v>1106</v>
      </c>
      <c r="B181" s="470">
        <v>4050</v>
      </c>
      <c r="C181" s="551"/>
      <c r="D181" s="467"/>
      <c r="E181" s="561"/>
      <c r="F181" s="468"/>
      <c r="G181" s="468"/>
      <c r="H181" s="467"/>
      <c r="I181" s="468"/>
      <c r="J181" s="468"/>
      <c r="K181" s="468"/>
    </row>
    <row r="182" spans="1:11" ht="12.75" customHeight="1" x14ac:dyDescent="0.2">
      <c r="A182" s="463" t="s">
        <v>278</v>
      </c>
      <c r="B182" s="470">
        <v>4060</v>
      </c>
      <c r="C182" s="516"/>
      <c r="D182" s="466"/>
      <c r="E182" s="468"/>
      <c r="F182" s="466"/>
      <c r="G182" s="466"/>
      <c r="H182" s="466"/>
      <c r="I182" s="468"/>
      <c r="J182" s="468"/>
      <c r="K182" s="521"/>
    </row>
    <row r="183" spans="1:11" ht="22.5" x14ac:dyDescent="0.2">
      <c r="A183" s="563" t="s">
        <v>819</v>
      </c>
      <c r="B183" s="583">
        <v>4090</v>
      </c>
      <c r="C183" s="551"/>
      <c r="D183" s="466"/>
      <c r="E183" s="468"/>
      <c r="F183" s="466"/>
      <c r="G183" s="466"/>
      <c r="H183" s="466"/>
      <c r="I183" s="468"/>
      <c r="J183" s="468"/>
      <c r="K183" s="466"/>
    </row>
    <row r="184" spans="1:11" ht="13.5" thickBot="1" x14ac:dyDescent="0.25">
      <c r="A184" s="2171" t="s">
        <v>818</v>
      </c>
      <c r="B184" s="2172"/>
      <c r="C184" s="1729">
        <f>SUM(C180:C183)</f>
        <v>0</v>
      </c>
      <c r="D184" s="1729">
        <f>SUM(D180:D183)</f>
        <v>0</v>
      </c>
      <c r="E184" s="468"/>
      <c r="F184" s="1729">
        <f>SUM(F180:F183)</f>
        <v>0</v>
      </c>
      <c r="G184" s="1729">
        <f>SUM(G180:G183)</f>
        <v>0</v>
      </c>
      <c r="H184" s="1729">
        <f>SUM(H180:H183)</f>
        <v>0</v>
      </c>
      <c r="I184" s="468"/>
      <c r="J184" s="468"/>
      <c r="K184" s="1710">
        <f>SUM(K180:K183)</f>
        <v>0</v>
      </c>
    </row>
    <row r="185" spans="1:11" ht="22.5" customHeight="1" thickTop="1" x14ac:dyDescent="0.2">
      <c r="A185" s="2167" t="s">
        <v>1904</v>
      </c>
      <c r="B185" s="2168"/>
      <c r="C185" s="584"/>
      <c r="D185" s="566"/>
      <c r="E185" s="509"/>
      <c r="F185" s="566"/>
      <c r="G185" s="566"/>
      <c r="H185" s="468"/>
      <c r="I185" s="468"/>
      <c r="J185" s="468"/>
      <c r="K185" s="468"/>
    </row>
    <row r="186" spans="1:11" ht="15.75" customHeight="1" x14ac:dyDescent="0.2">
      <c r="A186" s="1625" t="s">
        <v>1692</v>
      </c>
      <c r="B186" s="1626"/>
      <c r="C186" s="522"/>
      <c r="D186" s="521"/>
      <c r="E186" s="509"/>
      <c r="F186" s="521"/>
      <c r="G186" s="521"/>
      <c r="H186" s="468"/>
      <c r="I186" s="468"/>
      <c r="J186" s="468"/>
      <c r="K186" s="468"/>
    </row>
    <row r="187" spans="1:11" ht="12.75" customHeight="1" x14ac:dyDescent="0.2">
      <c r="A187" s="463" t="s">
        <v>1693</v>
      </c>
      <c r="B187" s="470">
        <v>4100</v>
      </c>
      <c r="C187" s="516"/>
      <c r="D187" s="481"/>
      <c r="E187" s="561"/>
      <c r="F187" s="481"/>
      <c r="G187" s="481"/>
      <c r="H187" s="468"/>
      <c r="I187" s="468"/>
      <c r="J187" s="468"/>
      <c r="K187" s="468"/>
    </row>
    <row r="188" spans="1:11" ht="12.75" customHeight="1" x14ac:dyDescent="0.2">
      <c r="A188" s="463" t="s">
        <v>1694</v>
      </c>
      <c r="B188" s="470">
        <v>4105</v>
      </c>
      <c r="C188" s="551"/>
      <c r="D188" s="466"/>
      <c r="E188" s="561"/>
      <c r="F188" s="466"/>
      <c r="G188" s="466"/>
      <c r="H188" s="468"/>
      <c r="I188" s="468"/>
      <c r="J188" s="468"/>
      <c r="K188" s="468"/>
    </row>
    <row r="189" spans="1:11" ht="12.75" customHeight="1" x14ac:dyDescent="0.2">
      <c r="A189" s="463" t="s">
        <v>1696</v>
      </c>
      <c r="B189" s="470">
        <v>4107</v>
      </c>
      <c r="C189" s="551"/>
      <c r="D189" s="466"/>
      <c r="E189" s="561"/>
      <c r="F189" s="466"/>
      <c r="G189" s="466"/>
      <c r="H189" s="468"/>
      <c r="I189" s="468"/>
      <c r="J189" s="468"/>
      <c r="K189" s="468"/>
    </row>
    <row r="190" spans="1:11" ht="12.75" customHeight="1" x14ac:dyDescent="0.2">
      <c r="A190" s="463" t="s">
        <v>1695</v>
      </c>
      <c r="B190" s="470">
        <v>4199</v>
      </c>
      <c r="C190" s="551"/>
      <c r="D190" s="466"/>
      <c r="E190" s="561"/>
      <c r="F190" s="466"/>
      <c r="G190" s="466"/>
      <c r="H190" s="468"/>
      <c r="I190" s="468"/>
      <c r="J190" s="468"/>
      <c r="K190" s="468"/>
    </row>
    <row r="191" spans="1:11" ht="12.75" customHeight="1" thickBot="1" x14ac:dyDescent="0.25">
      <c r="A191" s="1730" t="s">
        <v>1697</v>
      </c>
      <c r="B191" s="1731"/>
      <c r="C191" s="1729">
        <f>SUM(C187:C190)</f>
        <v>0</v>
      </c>
      <c r="D191" s="1729">
        <f>SUM(D187:D190)</f>
        <v>0</v>
      </c>
      <c r="E191" s="561"/>
      <c r="F191" s="1729">
        <f>SUM(F187:F190)</f>
        <v>0</v>
      </c>
      <c r="G191" s="1729">
        <f>SUM(G187:G190)</f>
        <v>0</v>
      </c>
      <c r="H191" s="468"/>
      <c r="I191" s="468"/>
      <c r="J191" s="468"/>
      <c r="K191" s="468"/>
    </row>
    <row r="192" spans="1:11" ht="15.75" customHeight="1" thickTop="1" x14ac:dyDescent="0.2">
      <c r="A192" s="1622" t="s">
        <v>475</v>
      </c>
      <c r="B192" s="1627"/>
      <c r="C192" s="553"/>
      <c r="D192" s="566"/>
      <c r="E192" s="561"/>
      <c r="F192" s="553"/>
      <c r="G192" s="553"/>
      <c r="H192" s="468"/>
      <c r="I192" s="468"/>
      <c r="J192" s="468"/>
      <c r="K192" s="468"/>
    </row>
    <row r="193" spans="1:11" x14ac:dyDescent="0.2">
      <c r="A193" s="463" t="s">
        <v>1525</v>
      </c>
      <c r="B193" s="470">
        <v>4200</v>
      </c>
      <c r="C193" s="467"/>
      <c r="D193" s="468"/>
      <c r="E193" s="561"/>
      <c r="F193" s="553"/>
      <c r="G193" s="585"/>
      <c r="H193" s="468"/>
      <c r="I193" s="468"/>
      <c r="J193" s="468"/>
      <c r="K193" s="468"/>
    </row>
    <row r="194" spans="1:11" ht="12.75" customHeight="1" x14ac:dyDescent="0.2">
      <c r="A194" s="463" t="s">
        <v>1118</v>
      </c>
      <c r="B194" s="470">
        <v>4210</v>
      </c>
      <c r="C194" s="466">
        <v>726749</v>
      </c>
      <c r="D194" s="468"/>
      <c r="E194" s="561"/>
      <c r="F194" s="468"/>
      <c r="G194" s="585"/>
      <c r="H194" s="468"/>
      <c r="I194" s="468"/>
      <c r="J194" s="468"/>
      <c r="K194" s="468"/>
    </row>
    <row r="195" spans="1:11" ht="12.75" customHeight="1" x14ac:dyDescent="0.2">
      <c r="A195" s="463" t="s">
        <v>1107</v>
      </c>
      <c r="B195" s="470">
        <v>4215</v>
      </c>
      <c r="C195" s="551"/>
      <c r="D195" s="468"/>
      <c r="E195" s="561"/>
      <c r="F195" s="468"/>
      <c r="G195" s="585"/>
      <c r="H195" s="468"/>
      <c r="I195" s="468"/>
      <c r="J195" s="468"/>
      <c r="K195" s="468"/>
    </row>
    <row r="196" spans="1:11" ht="12.75" customHeight="1" x14ac:dyDescent="0.2">
      <c r="A196" s="463" t="s">
        <v>1119</v>
      </c>
      <c r="B196" s="470">
        <v>4220</v>
      </c>
      <c r="C196" s="551">
        <v>263354</v>
      </c>
      <c r="D196" s="468"/>
      <c r="E196" s="561"/>
      <c r="F196" s="468"/>
      <c r="G196" s="585"/>
      <c r="H196" s="468"/>
      <c r="I196" s="468"/>
      <c r="J196" s="468"/>
      <c r="K196" s="468"/>
    </row>
    <row r="197" spans="1:11" ht="12.75" customHeight="1" x14ac:dyDescent="0.2">
      <c r="A197" s="463" t="s">
        <v>1526</v>
      </c>
      <c r="B197" s="470">
        <v>4225</v>
      </c>
      <c r="C197" s="551"/>
      <c r="D197" s="468"/>
      <c r="E197" s="561"/>
      <c r="F197" s="468"/>
      <c r="G197" s="585"/>
      <c r="H197" s="468"/>
      <c r="I197" s="468"/>
      <c r="J197" s="468"/>
      <c r="K197" s="468"/>
    </row>
    <row r="198" spans="1:11" ht="12.75" customHeight="1" x14ac:dyDescent="0.2">
      <c r="A198" s="463" t="s">
        <v>1527</v>
      </c>
      <c r="B198" s="470">
        <v>4226</v>
      </c>
      <c r="C198" s="551"/>
      <c r="D198" s="468"/>
      <c r="E198" s="561"/>
      <c r="F198" s="468"/>
      <c r="G198" s="585"/>
      <c r="H198" s="468"/>
      <c r="I198" s="468"/>
      <c r="J198" s="468"/>
      <c r="K198" s="468"/>
    </row>
    <row r="199" spans="1:11" ht="12.75" customHeight="1" x14ac:dyDescent="0.2">
      <c r="A199" s="463" t="s">
        <v>825</v>
      </c>
      <c r="B199" s="470">
        <v>4240</v>
      </c>
      <c r="C199" s="489"/>
      <c r="D199" s="468"/>
      <c r="E199" s="561"/>
      <c r="F199" s="468"/>
      <c r="G199" s="586"/>
      <c r="H199" s="468"/>
      <c r="I199" s="468"/>
      <c r="J199" s="468"/>
      <c r="K199" s="468"/>
    </row>
    <row r="200" spans="1:11" ht="12.75" customHeight="1" x14ac:dyDescent="0.2">
      <c r="A200" s="463" t="s">
        <v>73</v>
      </c>
      <c r="B200" s="470">
        <v>4299</v>
      </c>
      <c r="C200" s="551"/>
      <c r="D200" s="468"/>
      <c r="E200" s="561"/>
      <c r="F200" s="468"/>
      <c r="G200" s="585"/>
      <c r="H200" s="468"/>
      <c r="I200" s="468"/>
      <c r="J200" s="468"/>
      <c r="K200" s="468"/>
    </row>
    <row r="201" spans="1:11" ht="12.75" customHeight="1" thickBot="1" x14ac:dyDescent="0.25">
      <c r="A201" s="1730" t="s">
        <v>569</v>
      </c>
      <c r="B201" s="1731"/>
      <c r="C201" s="1710">
        <f>SUM(C193:C200)</f>
        <v>990103</v>
      </c>
      <c r="D201" s="468"/>
      <c r="E201" s="468"/>
      <c r="F201" s="468"/>
      <c r="G201" s="1710">
        <f>SUM(G193:G200)</f>
        <v>0</v>
      </c>
      <c r="H201" s="468"/>
      <c r="I201" s="468"/>
      <c r="J201" s="468"/>
      <c r="K201" s="468"/>
    </row>
    <row r="202" spans="1:11" ht="15.75" customHeight="1" thickTop="1" x14ac:dyDescent="0.2">
      <c r="A202" s="1622" t="s">
        <v>1200</v>
      </c>
      <c r="B202" s="1627"/>
      <c r="C202" s="553"/>
      <c r="D202" s="468"/>
      <c r="E202" s="468"/>
      <c r="F202" s="468"/>
      <c r="G202" s="468"/>
      <c r="H202" s="468"/>
      <c r="I202" s="468"/>
      <c r="J202" s="468"/>
      <c r="K202" s="468"/>
    </row>
    <row r="203" spans="1:11" ht="12.75" customHeight="1" x14ac:dyDescent="0.2">
      <c r="A203" s="463" t="s">
        <v>974</v>
      </c>
      <c r="B203" s="470">
        <v>4300</v>
      </c>
      <c r="C203" s="466">
        <v>1060784</v>
      </c>
      <c r="D203" s="466"/>
      <c r="E203" s="468"/>
      <c r="F203" s="466"/>
      <c r="G203" s="466"/>
      <c r="H203" s="468"/>
      <c r="I203" s="468"/>
      <c r="J203" s="468"/>
      <c r="K203" s="468"/>
    </row>
    <row r="204" spans="1:11" ht="12.75" customHeight="1" x14ac:dyDescent="0.2">
      <c r="A204" s="463" t="s">
        <v>975</v>
      </c>
      <c r="B204" s="470">
        <v>4305</v>
      </c>
      <c r="C204" s="551"/>
      <c r="D204" s="466"/>
      <c r="E204" s="468"/>
      <c r="F204" s="466"/>
      <c r="G204" s="466"/>
      <c r="H204" s="468"/>
      <c r="I204" s="468"/>
      <c r="J204" s="468"/>
      <c r="K204" s="468"/>
    </row>
    <row r="205" spans="1:11" ht="12.75" customHeight="1" x14ac:dyDescent="0.2">
      <c r="A205" s="463" t="s">
        <v>976</v>
      </c>
      <c r="B205" s="470">
        <v>4332</v>
      </c>
      <c r="C205" s="551"/>
      <c r="D205" s="466"/>
      <c r="E205" s="468"/>
      <c r="F205" s="466"/>
      <c r="G205" s="466"/>
      <c r="H205" s="468"/>
      <c r="I205" s="468"/>
      <c r="J205" s="468"/>
      <c r="K205" s="468"/>
    </row>
    <row r="206" spans="1:11" ht="12.75" customHeight="1" x14ac:dyDescent="0.2">
      <c r="A206" s="463" t="s">
        <v>1089</v>
      </c>
      <c r="B206" s="470">
        <v>4334</v>
      </c>
      <c r="C206" s="551"/>
      <c r="D206" s="466"/>
      <c r="E206" s="468"/>
      <c r="F206" s="466"/>
      <c r="G206" s="466"/>
      <c r="H206" s="468"/>
      <c r="I206" s="468"/>
      <c r="J206" s="468"/>
      <c r="K206" s="468"/>
    </row>
    <row r="207" spans="1:11" ht="12.75" customHeight="1" x14ac:dyDescent="0.2">
      <c r="A207" s="463" t="s">
        <v>1090</v>
      </c>
      <c r="B207" s="470">
        <v>4335</v>
      </c>
      <c r="C207" s="551"/>
      <c r="D207" s="466"/>
      <c r="E207" s="468"/>
      <c r="F207" s="466"/>
      <c r="G207" s="466"/>
      <c r="H207" s="468"/>
      <c r="I207" s="468"/>
      <c r="J207" s="468"/>
      <c r="K207" s="468"/>
    </row>
    <row r="208" spans="1:11" ht="12.75" customHeight="1" x14ac:dyDescent="0.2">
      <c r="A208" s="463" t="s">
        <v>1153</v>
      </c>
      <c r="B208" s="470">
        <v>4337</v>
      </c>
      <c r="C208" s="489"/>
      <c r="D208" s="467"/>
      <c r="E208" s="468"/>
      <c r="F208" s="467"/>
      <c r="G208" s="467"/>
      <c r="H208" s="468"/>
      <c r="I208" s="468"/>
      <c r="J208" s="468"/>
      <c r="K208" s="468"/>
    </row>
    <row r="209" spans="1:11" ht="12.75" customHeight="1" x14ac:dyDescent="0.2">
      <c r="A209" s="463" t="s">
        <v>1091</v>
      </c>
      <c r="B209" s="470">
        <v>4340</v>
      </c>
      <c r="C209" s="551"/>
      <c r="D209" s="466"/>
      <c r="E209" s="468"/>
      <c r="F209" s="466"/>
      <c r="G209" s="466"/>
      <c r="H209" s="468"/>
      <c r="I209" s="468"/>
      <c r="J209" s="468"/>
      <c r="K209" s="468"/>
    </row>
    <row r="210" spans="1:11" ht="12.75" customHeight="1" x14ac:dyDescent="0.2">
      <c r="A210" s="463" t="s">
        <v>74</v>
      </c>
      <c r="B210" s="470">
        <v>4399</v>
      </c>
      <c r="C210" s="551"/>
      <c r="D210" s="466"/>
      <c r="E210" s="468"/>
      <c r="F210" s="466"/>
      <c r="G210" s="466"/>
      <c r="H210" s="468"/>
      <c r="I210" s="468"/>
      <c r="J210" s="468"/>
      <c r="K210" s="468"/>
    </row>
    <row r="211" spans="1:11" ht="12.75" customHeight="1" thickBot="1" x14ac:dyDescent="0.25">
      <c r="A211" s="1730" t="s">
        <v>420</v>
      </c>
      <c r="B211" s="1731"/>
      <c r="C211" s="1729">
        <f>SUM(C203:C210)</f>
        <v>1060784</v>
      </c>
      <c r="D211" s="1729">
        <f>SUM(D203:D210)</f>
        <v>0</v>
      </c>
      <c r="E211" s="468"/>
      <c r="F211" s="1729">
        <f>SUM(F203:F210)</f>
        <v>0</v>
      </c>
      <c r="G211" s="1729">
        <f>SUM(G203:G210)</f>
        <v>0</v>
      </c>
      <c r="H211" s="468"/>
      <c r="I211" s="468"/>
      <c r="J211" s="468"/>
      <c r="K211" s="468"/>
    </row>
    <row r="212" spans="1:11" ht="15.75" customHeight="1" thickTop="1" x14ac:dyDescent="0.2">
      <c r="A212" s="1622" t="s">
        <v>1201</v>
      </c>
      <c r="B212" s="1627"/>
      <c r="C212" s="553"/>
      <c r="D212" s="553"/>
      <c r="E212" s="468"/>
      <c r="F212" s="553"/>
      <c r="G212" s="553"/>
      <c r="H212" s="468"/>
      <c r="I212" s="468"/>
      <c r="J212" s="468"/>
      <c r="K212" s="468"/>
    </row>
    <row r="213" spans="1:11" ht="12.75" customHeight="1" x14ac:dyDescent="0.2">
      <c r="A213" s="463" t="s">
        <v>783</v>
      </c>
      <c r="B213" s="470">
        <v>4400</v>
      </c>
      <c r="C213" s="551"/>
      <c r="D213" s="466"/>
      <c r="E213" s="468"/>
      <c r="F213" s="466"/>
      <c r="G213" s="466"/>
      <c r="H213" s="468"/>
      <c r="I213" s="468"/>
      <c r="J213" s="468"/>
      <c r="K213" s="468"/>
    </row>
    <row r="214" spans="1:11" ht="12.75" customHeight="1" x14ac:dyDescent="0.2">
      <c r="A214" s="463" t="s">
        <v>1528</v>
      </c>
      <c r="B214" s="470">
        <v>4421</v>
      </c>
      <c r="C214" s="551"/>
      <c r="D214" s="466"/>
      <c r="E214" s="468"/>
      <c r="F214" s="466"/>
      <c r="G214" s="466"/>
      <c r="H214" s="468"/>
      <c r="I214" s="468"/>
      <c r="J214" s="468"/>
      <c r="K214" s="468"/>
    </row>
    <row r="215" spans="1:11" ht="12.75" customHeight="1" x14ac:dyDescent="0.2">
      <c r="A215" s="463" t="s">
        <v>75</v>
      </c>
      <c r="B215" s="470">
        <v>4499</v>
      </c>
      <c r="C215" s="551"/>
      <c r="D215" s="466"/>
      <c r="E215" s="468"/>
      <c r="F215" s="466"/>
      <c r="G215" s="466"/>
      <c r="H215" s="468"/>
      <c r="I215" s="468"/>
      <c r="J215" s="468"/>
      <c r="K215" s="468"/>
    </row>
    <row r="216" spans="1:11" ht="12.75" customHeight="1" thickBot="1" x14ac:dyDescent="0.25">
      <c r="A216" s="1730" t="s">
        <v>944</v>
      </c>
      <c r="B216" s="1731"/>
      <c r="C216" s="1729">
        <f>SUM(C213:C215)</f>
        <v>0</v>
      </c>
      <c r="D216" s="1729">
        <f>SUM(D213:D215)</f>
        <v>0</v>
      </c>
      <c r="E216" s="468" t="s">
        <v>1231</v>
      </c>
      <c r="F216" s="1729">
        <f>SUM(F213:F215)</f>
        <v>0</v>
      </c>
      <c r="G216" s="1729">
        <f>SUM(G213:G215)</f>
        <v>0</v>
      </c>
      <c r="H216" s="468"/>
      <c r="I216" s="468"/>
      <c r="J216" s="468"/>
      <c r="K216" s="468"/>
    </row>
    <row r="217" spans="1:11" ht="15.75" customHeight="1" thickTop="1" x14ac:dyDescent="0.2">
      <c r="A217" s="1622" t="s">
        <v>1154</v>
      </c>
      <c r="B217" s="1627"/>
      <c r="C217" s="553"/>
      <c r="D217" s="553"/>
      <c r="E217" s="468"/>
      <c r="F217" s="553"/>
      <c r="G217" s="553"/>
      <c r="H217" s="468"/>
      <c r="I217" s="468"/>
      <c r="J217" s="468"/>
      <c r="K217" s="468"/>
    </row>
    <row r="218" spans="1:11" ht="12.75" customHeight="1" x14ac:dyDescent="0.2">
      <c r="A218" s="463" t="s">
        <v>1112</v>
      </c>
      <c r="B218" s="470">
        <v>4600</v>
      </c>
      <c r="C218" s="551">
        <v>22184</v>
      </c>
      <c r="D218" s="466"/>
      <c r="E218" s="468"/>
      <c r="F218" s="466"/>
      <c r="G218" s="466"/>
      <c r="H218" s="468"/>
      <c r="I218" s="468"/>
      <c r="J218" s="468"/>
      <c r="K218" s="468"/>
    </row>
    <row r="219" spans="1:11" ht="12.75" customHeight="1" x14ac:dyDescent="0.2">
      <c r="A219" s="463" t="s">
        <v>1113</v>
      </c>
      <c r="B219" s="470">
        <v>4605</v>
      </c>
      <c r="C219" s="551"/>
      <c r="D219" s="466"/>
      <c r="E219" s="468"/>
      <c r="F219" s="466"/>
      <c r="G219" s="466"/>
      <c r="H219" s="468"/>
      <c r="I219" s="468"/>
      <c r="J219" s="468"/>
      <c r="K219" s="468"/>
    </row>
    <row r="220" spans="1:11" ht="12.75" customHeight="1" x14ac:dyDescent="0.2">
      <c r="A220" s="463" t="s">
        <v>1529</v>
      </c>
      <c r="B220" s="557">
        <v>4620</v>
      </c>
      <c r="C220" s="551">
        <v>580793</v>
      </c>
      <c r="D220" s="466"/>
      <c r="E220" s="468"/>
      <c r="F220" s="466"/>
      <c r="G220" s="466"/>
      <c r="H220" s="468"/>
      <c r="I220" s="468"/>
      <c r="J220" s="468"/>
      <c r="K220" s="468"/>
    </row>
    <row r="221" spans="1:11" ht="12.75" customHeight="1" x14ac:dyDescent="0.2">
      <c r="A221" s="463" t="s">
        <v>1114</v>
      </c>
      <c r="B221" s="470">
        <v>4625</v>
      </c>
      <c r="C221" s="551">
        <v>3377</v>
      </c>
      <c r="D221" s="466"/>
      <c r="E221" s="468"/>
      <c r="F221" s="466"/>
      <c r="G221" s="466"/>
      <c r="H221" s="468"/>
      <c r="I221" s="468"/>
      <c r="J221" s="468"/>
      <c r="K221" s="468"/>
    </row>
    <row r="222" spans="1:11" ht="12.75" customHeight="1" x14ac:dyDescent="0.2">
      <c r="A222" s="463" t="s">
        <v>1115</v>
      </c>
      <c r="B222" s="470">
        <v>4630</v>
      </c>
      <c r="C222" s="551"/>
      <c r="D222" s="466"/>
      <c r="E222" s="468"/>
      <c r="F222" s="466"/>
      <c r="G222" s="466"/>
      <c r="H222" s="468"/>
      <c r="I222" s="468"/>
      <c r="J222" s="468"/>
      <c r="K222" s="468"/>
    </row>
    <row r="223" spans="1:11" ht="12.75" customHeight="1" x14ac:dyDescent="0.2">
      <c r="A223" s="1523" t="s">
        <v>76</v>
      </c>
      <c r="B223" s="557">
        <v>4699</v>
      </c>
      <c r="C223" s="551"/>
      <c r="D223" s="466"/>
      <c r="E223" s="468"/>
      <c r="F223" s="466"/>
      <c r="G223" s="466"/>
      <c r="H223" s="468"/>
      <c r="I223" s="468"/>
      <c r="J223" s="468"/>
      <c r="K223" s="468"/>
    </row>
    <row r="224" spans="1:11" ht="12.75" customHeight="1" thickBot="1" x14ac:dyDescent="0.25">
      <c r="A224" s="1730" t="s">
        <v>467</v>
      </c>
      <c r="B224" s="1731"/>
      <c r="C224" s="1729">
        <f>SUM(C218:C223)</f>
        <v>606354</v>
      </c>
      <c r="D224" s="1729">
        <f>SUM(D218:D223)</f>
        <v>0</v>
      </c>
      <c r="E224" s="468"/>
      <c r="F224" s="1729">
        <f>SUM(F218:F223)</f>
        <v>0</v>
      </c>
      <c r="G224" s="1729">
        <f>SUM(G218:G223)</f>
        <v>0</v>
      </c>
      <c r="H224" s="468"/>
      <c r="I224" s="468"/>
      <c r="J224" s="468"/>
      <c r="K224" s="468"/>
    </row>
    <row r="225" spans="1:11" ht="15.75" customHeight="1" thickTop="1" x14ac:dyDescent="0.2">
      <c r="A225" s="1622" t="s">
        <v>1155</v>
      </c>
      <c r="B225" s="1627"/>
      <c r="C225" s="553"/>
      <c r="D225" s="553"/>
      <c r="E225" s="468"/>
      <c r="F225" s="553"/>
      <c r="G225" s="553"/>
      <c r="H225" s="468"/>
      <c r="I225" s="468"/>
      <c r="J225" s="468"/>
      <c r="K225" s="468"/>
    </row>
    <row r="226" spans="1:11" ht="12.75" customHeight="1" x14ac:dyDescent="0.2">
      <c r="A226" s="463" t="s">
        <v>820</v>
      </c>
      <c r="B226" s="470">
        <v>4770</v>
      </c>
      <c r="C226" s="551"/>
      <c r="D226" s="466"/>
      <c r="E226" s="468"/>
      <c r="F226" s="468"/>
      <c r="G226" s="466"/>
      <c r="H226" s="468"/>
      <c r="I226" s="468"/>
      <c r="J226" s="468"/>
      <c r="K226" s="468"/>
    </row>
    <row r="227" spans="1:11" ht="12.75" customHeight="1" x14ac:dyDescent="0.2">
      <c r="A227" s="463" t="s">
        <v>69</v>
      </c>
      <c r="B227" s="470">
        <v>4799</v>
      </c>
      <c r="C227" s="551"/>
      <c r="D227" s="466"/>
      <c r="E227" s="468"/>
      <c r="F227" s="468"/>
      <c r="G227" s="466"/>
      <c r="H227" s="468"/>
      <c r="I227" s="468"/>
      <c r="J227" s="468"/>
      <c r="K227" s="468"/>
    </row>
    <row r="228" spans="1:11" ht="12.75" customHeight="1" thickBot="1" x14ac:dyDescent="0.25">
      <c r="A228" s="1745" t="s">
        <v>1145</v>
      </c>
      <c r="B228" s="1746"/>
      <c r="C228" s="1729">
        <f>SUM(C226:C227)</f>
        <v>0</v>
      </c>
      <c r="D228" s="1729">
        <f>SUM(D226:D227)</f>
        <v>0</v>
      </c>
      <c r="E228" s="468"/>
      <c r="F228" s="468"/>
      <c r="G228" s="1729">
        <f>SUM(G226:G227)</f>
        <v>0</v>
      </c>
      <c r="H228" s="468"/>
      <c r="I228" s="468"/>
      <c r="J228" s="468"/>
      <c r="K228" s="468"/>
    </row>
    <row r="229" spans="1:11" ht="12.75" customHeight="1" thickTop="1" thickBot="1" x14ac:dyDescent="0.25">
      <c r="A229" s="493" t="s">
        <v>781</v>
      </c>
      <c r="B229" s="491">
        <v>4810</v>
      </c>
      <c r="C229" s="575"/>
      <c r="D229" s="576"/>
      <c r="E229" s="468"/>
      <c r="F229" s="468"/>
      <c r="G229" s="576"/>
      <c r="H229" s="468"/>
      <c r="I229" s="468"/>
      <c r="J229" s="468"/>
      <c r="K229" s="468"/>
    </row>
    <row r="230" spans="1:11" ht="12.75" customHeight="1" thickTop="1" x14ac:dyDescent="0.2">
      <c r="A230" s="493" t="s">
        <v>368</v>
      </c>
      <c r="B230" s="491">
        <v>4850</v>
      </c>
      <c r="C230" s="489"/>
      <c r="D230" s="467"/>
      <c r="E230" s="467"/>
      <c r="F230" s="467"/>
      <c r="G230" s="467"/>
      <c r="H230" s="467"/>
      <c r="I230" s="468"/>
      <c r="J230" s="467"/>
      <c r="K230" s="467"/>
    </row>
    <row r="231" spans="1:11" ht="12.75" customHeight="1" x14ac:dyDescent="0.2">
      <c r="A231" s="493" t="s">
        <v>369</v>
      </c>
      <c r="B231" s="491">
        <v>4851</v>
      </c>
      <c r="C231" s="489"/>
      <c r="D231" s="467"/>
      <c r="E231" s="468"/>
      <c r="F231" s="474"/>
      <c r="G231" s="467"/>
      <c r="H231" s="468"/>
      <c r="I231" s="468"/>
      <c r="J231" s="468"/>
      <c r="K231" s="468"/>
    </row>
    <row r="232" spans="1:11" ht="12.75" customHeight="1" x14ac:dyDescent="0.2">
      <c r="A232" s="493" t="s">
        <v>370</v>
      </c>
      <c r="B232" s="491">
        <v>4852</v>
      </c>
      <c r="C232" s="489"/>
      <c r="D232" s="467"/>
      <c r="E232" s="467"/>
      <c r="F232" s="467"/>
      <c r="G232" s="467"/>
      <c r="H232" s="467"/>
      <c r="I232" s="468"/>
      <c r="J232" s="467"/>
      <c r="K232" s="467"/>
    </row>
    <row r="233" spans="1:11" ht="12.75" customHeight="1" x14ac:dyDescent="0.2">
      <c r="A233" s="493" t="s">
        <v>371</v>
      </c>
      <c r="B233" s="491">
        <v>4853</v>
      </c>
      <c r="C233" s="489"/>
      <c r="D233" s="467"/>
      <c r="E233" s="467"/>
      <c r="F233" s="467"/>
      <c r="G233" s="467"/>
      <c r="H233" s="467"/>
      <c r="I233" s="468"/>
      <c r="J233" s="467"/>
      <c r="K233" s="467"/>
    </row>
    <row r="234" spans="1:11" ht="12.75" customHeight="1" x14ac:dyDescent="0.2">
      <c r="A234" s="493" t="s">
        <v>372</v>
      </c>
      <c r="B234" s="491">
        <v>4854</v>
      </c>
      <c r="C234" s="489"/>
      <c r="D234" s="467"/>
      <c r="E234" s="467"/>
      <c r="F234" s="467"/>
      <c r="G234" s="467"/>
      <c r="H234" s="467"/>
      <c r="I234" s="468"/>
      <c r="J234" s="467"/>
      <c r="K234" s="467"/>
    </row>
    <row r="235" spans="1:11" ht="12.75" customHeight="1" x14ac:dyDescent="0.2">
      <c r="A235" s="493" t="s">
        <v>484</v>
      </c>
      <c r="B235" s="491">
        <v>4855</v>
      </c>
      <c r="C235" s="489"/>
      <c r="D235" s="467"/>
      <c r="E235" s="467"/>
      <c r="F235" s="467"/>
      <c r="G235" s="467"/>
      <c r="H235" s="467"/>
      <c r="I235" s="468"/>
      <c r="J235" s="467"/>
      <c r="K235" s="467"/>
    </row>
    <row r="236" spans="1:11" ht="12.75" customHeight="1" x14ac:dyDescent="0.2">
      <c r="A236" s="493" t="s">
        <v>373</v>
      </c>
      <c r="B236" s="491">
        <v>4856</v>
      </c>
      <c r="C236" s="489"/>
      <c r="D236" s="467"/>
      <c r="E236" s="467"/>
      <c r="F236" s="467"/>
      <c r="G236" s="467"/>
      <c r="H236" s="467"/>
      <c r="I236" s="468"/>
      <c r="J236" s="467"/>
      <c r="K236" s="467"/>
    </row>
    <row r="237" spans="1:11" ht="12.75" customHeight="1" x14ac:dyDescent="0.2">
      <c r="A237" s="493" t="s">
        <v>374</v>
      </c>
      <c r="B237" s="491">
        <v>4857</v>
      </c>
      <c r="C237" s="489"/>
      <c r="D237" s="467"/>
      <c r="E237" s="467"/>
      <c r="F237" s="467"/>
      <c r="G237" s="467"/>
      <c r="H237" s="467"/>
      <c r="I237" s="468"/>
      <c r="J237" s="467"/>
      <c r="K237" s="467"/>
    </row>
    <row r="238" spans="1:11" ht="12.75" customHeight="1" x14ac:dyDescent="0.2">
      <c r="A238" s="493" t="s">
        <v>375</v>
      </c>
      <c r="B238" s="491">
        <v>4860</v>
      </c>
      <c r="C238" s="489"/>
      <c r="D238" s="467"/>
      <c r="E238" s="467"/>
      <c r="F238" s="467"/>
      <c r="G238" s="467"/>
      <c r="H238" s="467"/>
      <c r="I238" s="468"/>
      <c r="J238" s="467"/>
      <c r="K238" s="467"/>
    </row>
    <row r="239" spans="1:11" ht="12.75" customHeight="1" x14ac:dyDescent="0.2">
      <c r="A239" s="493" t="s">
        <v>376</v>
      </c>
      <c r="B239" s="491">
        <v>4861</v>
      </c>
      <c r="C239" s="489"/>
      <c r="D239" s="467"/>
      <c r="E239" s="467"/>
      <c r="F239" s="467"/>
      <c r="G239" s="467"/>
      <c r="H239" s="467"/>
      <c r="I239" s="468"/>
      <c r="J239" s="467"/>
      <c r="K239" s="467"/>
    </row>
    <row r="240" spans="1:11" ht="12.75" customHeight="1" x14ac:dyDescent="0.2">
      <c r="A240" s="493" t="s">
        <v>377</v>
      </c>
      <c r="B240" s="491">
        <v>4862</v>
      </c>
      <c r="C240" s="489"/>
      <c r="D240" s="467"/>
      <c r="E240" s="475"/>
      <c r="F240" s="467"/>
      <c r="G240" s="467"/>
      <c r="H240" s="475"/>
      <c r="I240" s="468"/>
      <c r="J240" s="475"/>
      <c r="K240" s="475"/>
    </row>
    <row r="241" spans="1:11" ht="12.75" customHeight="1" x14ac:dyDescent="0.2">
      <c r="A241" s="493" t="s">
        <v>378</v>
      </c>
      <c r="B241" s="491">
        <v>4863</v>
      </c>
      <c r="C241" s="489"/>
      <c r="D241" s="467"/>
      <c r="E241" s="468"/>
      <c r="F241" s="475"/>
      <c r="G241" s="526"/>
      <c r="H241" s="468"/>
      <c r="I241" s="468"/>
      <c r="J241" s="468"/>
      <c r="K241" s="468"/>
    </row>
    <row r="242" spans="1:11" ht="12.75" customHeight="1" x14ac:dyDescent="0.2">
      <c r="A242" s="493" t="s">
        <v>489</v>
      </c>
      <c r="B242" s="491">
        <v>4864</v>
      </c>
      <c r="C242" s="489"/>
      <c r="D242" s="467"/>
      <c r="E242" s="467"/>
      <c r="F242" s="467"/>
      <c r="G242" s="467"/>
      <c r="H242" s="467"/>
      <c r="I242" s="468"/>
      <c r="J242" s="467"/>
      <c r="K242" s="467"/>
    </row>
    <row r="243" spans="1:11" ht="12.75" customHeight="1" x14ac:dyDescent="0.2">
      <c r="A243" s="493" t="s">
        <v>490</v>
      </c>
      <c r="B243" s="491">
        <v>4865</v>
      </c>
      <c r="C243" s="489"/>
      <c r="D243" s="467"/>
      <c r="E243" s="467"/>
      <c r="F243" s="467"/>
      <c r="G243" s="467"/>
      <c r="H243" s="467"/>
      <c r="I243" s="468"/>
      <c r="J243" s="467"/>
      <c r="K243" s="467"/>
    </row>
    <row r="244" spans="1:11" ht="12.75" customHeight="1" x14ac:dyDescent="0.2">
      <c r="A244" s="493" t="s">
        <v>488</v>
      </c>
      <c r="B244" s="491">
        <v>4866</v>
      </c>
      <c r="C244" s="489"/>
      <c r="D244" s="467"/>
      <c r="E244" s="467"/>
      <c r="F244" s="467"/>
      <c r="G244" s="467"/>
      <c r="H244" s="467"/>
      <c r="I244" s="468"/>
      <c r="J244" s="467"/>
      <c r="K244" s="467"/>
    </row>
    <row r="245" spans="1:11" ht="12.75" customHeight="1" x14ac:dyDescent="0.2">
      <c r="A245" s="493" t="s">
        <v>487</v>
      </c>
      <c r="B245" s="491">
        <v>4867</v>
      </c>
      <c r="C245" s="489"/>
      <c r="D245" s="467"/>
      <c r="E245" s="467"/>
      <c r="F245" s="467"/>
      <c r="G245" s="467"/>
      <c r="H245" s="467"/>
      <c r="I245" s="468"/>
      <c r="J245" s="467"/>
      <c r="K245" s="467"/>
    </row>
    <row r="246" spans="1:11" ht="12.75" customHeight="1" x14ac:dyDescent="0.2">
      <c r="A246" s="493" t="s">
        <v>486</v>
      </c>
      <c r="B246" s="491">
        <v>4868</v>
      </c>
      <c r="C246" s="489"/>
      <c r="D246" s="467"/>
      <c r="E246" s="467"/>
      <c r="F246" s="467"/>
      <c r="G246" s="467"/>
      <c r="H246" s="467"/>
      <c r="I246" s="468"/>
      <c r="J246" s="467"/>
      <c r="K246" s="467"/>
    </row>
    <row r="247" spans="1:11" ht="12.75" customHeight="1" x14ac:dyDescent="0.2">
      <c r="A247" s="493" t="s">
        <v>485</v>
      </c>
      <c r="B247" s="491">
        <v>4869</v>
      </c>
      <c r="C247" s="489"/>
      <c r="D247" s="467"/>
      <c r="E247" s="467">
        <v>773693</v>
      </c>
      <c r="F247" s="467"/>
      <c r="G247" s="467"/>
      <c r="H247" s="467"/>
      <c r="I247" s="468"/>
      <c r="J247" s="467"/>
      <c r="K247" s="467"/>
    </row>
    <row r="248" spans="1:11" ht="12.75" customHeight="1" x14ac:dyDescent="0.2">
      <c r="A248" s="493" t="s">
        <v>1190</v>
      </c>
      <c r="B248" s="491">
        <v>4870</v>
      </c>
      <c r="C248" s="489"/>
      <c r="D248" s="467"/>
      <c r="E248" s="467"/>
      <c r="F248" s="467"/>
      <c r="G248" s="467"/>
      <c r="H248" s="467"/>
      <c r="I248" s="468"/>
      <c r="J248" s="467"/>
      <c r="K248" s="467"/>
    </row>
    <row r="249" spans="1:11" ht="12.75" customHeight="1" x14ac:dyDescent="0.2">
      <c r="A249" s="493" t="s">
        <v>821</v>
      </c>
      <c r="B249" s="491">
        <v>4871</v>
      </c>
      <c r="C249" s="489"/>
      <c r="D249" s="467"/>
      <c r="E249" s="467"/>
      <c r="F249" s="467"/>
      <c r="G249" s="467"/>
      <c r="H249" s="467"/>
      <c r="I249" s="468"/>
      <c r="J249" s="467"/>
      <c r="K249" s="467"/>
    </row>
    <row r="250" spans="1:11" ht="12.75" customHeight="1" x14ac:dyDescent="0.2">
      <c r="A250" s="493" t="s">
        <v>822</v>
      </c>
      <c r="B250" s="491">
        <v>4872</v>
      </c>
      <c r="C250" s="489"/>
      <c r="D250" s="467"/>
      <c r="E250" s="467"/>
      <c r="F250" s="467"/>
      <c r="G250" s="467"/>
      <c r="H250" s="467"/>
      <c r="I250" s="468"/>
      <c r="J250" s="467"/>
      <c r="K250" s="467"/>
    </row>
    <row r="251" spans="1:11" ht="12.75" customHeight="1" x14ac:dyDescent="0.2">
      <c r="A251" s="493" t="s">
        <v>823</v>
      </c>
      <c r="B251" s="491">
        <v>4873</v>
      </c>
      <c r="C251" s="489"/>
      <c r="D251" s="467"/>
      <c r="E251" s="467"/>
      <c r="F251" s="467"/>
      <c r="G251" s="467"/>
      <c r="H251" s="467"/>
      <c r="I251" s="468"/>
      <c r="J251" s="467"/>
      <c r="K251" s="467"/>
    </row>
    <row r="252" spans="1:11" ht="12.75" customHeight="1" x14ac:dyDescent="0.2">
      <c r="A252" s="493" t="s">
        <v>824</v>
      </c>
      <c r="B252" s="491">
        <v>4874</v>
      </c>
      <c r="C252" s="489"/>
      <c r="D252" s="467"/>
      <c r="E252" s="467"/>
      <c r="F252" s="467"/>
      <c r="G252" s="467"/>
      <c r="H252" s="467"/>
      <c r="I252" s="468"/>
      <c r="J252" s="467"/>
      <c r="K252" s="467"/>
    </row>
    <row r="253" spans="1:11" ht="12.75" customHeight="1" x14ac:dyDescent="0.2">
      <c r="A253" s="493" t="s">
        <v>491</v>
      </c>
      <c r="B253" s="491">
        <v>4875</v>
      </c>
      <c r="C253" s="489"/>
      <c r="D253" s="467"/>
      <c r="E253" s="467"/>
      <c r="F253" s="467"/>
      <c r="G253" s="467"/>
      <c r="H253" s="467"/>
      <c r="I253" s="468"/>
      <c r="J253" s="467"/>
      <c r="K253" s="467"/>
    </row>
    <row r="254" spans="1:11" ht="12.75" customHeight="1" x14ac:dyDescent="0.2">
      <c r="A254" s="493" t="s">
        <v>794</v>
      </c>
      <c r="B254" s="491">
        <v>4876</v>
      </c>
      <c r="C254" s="489"/>
      <c r="D254" s="467"/>
      <c r="E254" s="467"/>
      <c r="F254" s="467"/>
      <c r="G254" s="467"/>
      <c r="H254" s="467"/>
      <c r="I254" s="468"/>
      <c r="J254" s="467"/>
      <c r="K254" s="467"/>
    </row>
    <row r="255" spans="1:11" ht="12.75" customHeight="1" x14ac:dyDescent="0.2">
      <c r="A255" s="493" t="s">
        <v>795</v>
      </c>
      <c r="B255" s="491">
        <v>4877</v>
      </c>
      <c r="C255" s="489"/>
      <c r="D255" s="467"/>
      <c r="E255" s="467"/>
      <c r="F255" s="467"/>
      <c r="G255" s="467"/>
      <c r="H255" s="467"/>
      <c r="I255" s="468"/>
      <c r="J255" s="467"/>
      <c r="K255" s="467"/>
    </row>
    <row r="256" spans="1:11" ht="12.75" customHeight="1" x14ac:dyDescent="0.2">
      <c r="A256" s="493" t="s">
        <v>796</v>
      </c>
      <c r="B256" s="491">
        <v>4878</v>
      </c>
      <c r="C256" s="489"/>
      <c r="D256" s="467"/>
      <c r="E256" s="467"/>
      <c r="F256" s="467"/>
      <c r="G256" s="467"/>
      <c r="H256" s="467"/>
      <c r="I256" s="468"/>
      <c r="J256" s="467"/>
      <c r="K256" s="467"/>
    </row>
    <row r="257" spans="1:11" ht="12.75" customHeight="1" x14ac:dyDescent="0.2">
      <c r="A257" s="493" t="s">
        <v>797</v>
      </c>
      <c r="B257" s="491">
        <v>4879</v>
      </c>
      <c r="C257" s="489"/>
      <c r="D257" s="467"/>
      <c r="E257" s="467"/>
      <c r="F257" s="467"/>
      <c r="G257" s="467"/>
      <c r="H257" s="467"/>
      <c r="I257" s="468"/>
      <c r="J257" s="467"/>
      <c r="K257" s="467"/>
    </row>
    <row r="258" spans="1:11" ht="12.75" customHeight="1" x14ac:dyDescent="0.2">
      <c r="A258" s="225" t="s">
        <v>1530</v>
      </c>
      <c r="B258" s="587">
        <v>4880</v>
      </c>
      <c r="C258" s="489"/>
      <c r="D258" s="467"/>
      <c r="E258" s="467"/>
      <c r="F258" s="467"/>
      <c r="G258" s="467"/>
      <c r="H258" s="467"/>
      <c r="I258" s="468"/>
      <c r="J258" s="467"/>
      <c r="K258" s="467"/>
    </row>
    <row r="259" spans="1:11" ht="12.75" customHeight="1" thickBot="1" x14ac:dyDescent="0.25">
      <c r="A259" s="1747" t="s">
        <v>798</v>
      </c>
      <c r="B259" s="1748"/>
      <c r="C259" s="1740">
        <f t="shared" ref="C259:H259" si="9">SUM(C230:C258)</f>
        <v>0</v>
      </c>
      <c r="D259" s="1729">
        <f t="shared" si="9"/>
        <v>0</v>
      </c>
      <c r="E259" s="1729">
        <f t="shared" si="9"/>
        <v>773693</v>
      </c>
      <c r="F259" s="1729">
        <f t="shared" si="9"/>
        <v>0</v>
      </c>
      <c r="G259" s="1729">
        <f t="shared" si="9"/>
        <v>0</v>
      </c>
      <c r="H259" s="1729">
        <f t="shared" si="9"/>
        <v>0</v>
      </c>
      <c r="I259" s="553"/>
      <c r="J259" s="1729">
        <f>SUM(J230:J258)</f>
        <v>0</v>
      </c>
      <c r="K259" s="1710">
        <f>SUM(K230:K258)</f>
        <v>0</v>
      </c>
    </row>
    <row r="260" spans="1:11" ht="12.75" customHeight="1" thickTop="1" thickBot="1" x14ac:dyDescent="0.25">
      <c r="A260" s="1524" t="s">
        <v>1493</v>
      </c>
      <c r="B260" s="588">
        <v>4901</v>
      </c>
      <c r="C260" s="589"/>
      <c r="D260" s="469"/>
      <c r="E260" s="468"/>
      <c r="F260" s="468"/>
      <c r="G260" s="468"/>
      <c r="H260" s="468"/>
      <c r="I260" s="468"/>
      <c r="J260" s="468"/>
      <c r="K260" s="468"/>
    </row>
    <row r="261" spans="1:11" ht="12.75" customHeight="1" thickTop="1" thickBot="1" x14ac:dyDescent="0.25">
      <c r="A261" s="1525" t="s">
        <v>1538</v>
      </c>
      <c r="B261" s="590">
        <v>4902</v>
      </c>
      <c r="C261" s="591"/>
      <c r="D261" s="592"/>
      <c r="E261" s="469"/>
      <c r="F261" s="592"/>
      <c r="G261" s="592"/>
      <c r="H261" s="469"/>
      <c r="I261" s="468"/>
      <c r="J261" s="469"/>
      <c r="K261" s="469"/>
    </row>
    <row r="262" spans="1:11" ht="12.75" customHeight="1" thickTop="1" thickBot="1" x14ac:dyDescent="0.25">
      <c r="A262" s="493" t="s">
        <v>1146</v>
      </c>
      <c r="B262" s="491">
        <v>4904</v>
      </c>
      <c r="C262" s="593"/>
      <c r="D262" s="591"/>
      <c r="E262" s="469"/>
      <c r="F262" s="553"/>
      <c r="G262" s="591"/>
      <c r="H262" s="469"/>
      <c r="I262" s="468"/>
      <c r="J262" s="468"/>
      <c r="K262" s="468"/>
    </row>
    <row r="263" spans="1:11" ht="12.75" customHeight="1" thickTop="1" thickBot="1" x14ac:dyDescent="0.25">
      <c r="A263" s="463" t="s">
        <v>1531</v>
      </c>
      <c r="B263" s="470">
        <v>4905</v>
      </c>
      <c r="C263" s="573"/>
      <c r="D263" s="468"/>
      <c r="E263" s="468"/>
      <c r="F263" s="578"/>
      <c r="G263" s="573"/>
      <c r="H263" s="468"/>
      <c r="I263" s="468"/>
      <c r="J263" s="468"/>
      <c r="K263" s="468"/>
    </row>
    <row r="264" spans="1:11" ht="12.75" customHeight="1" thickTop="1" thickBot="1" x14ac:dyDescent="0.25">
      <c r="A264" s="463" t="s">
        <v>1532</v>
      </c>
      <c r="B264" s="470">
        <v>4909</v>
      </c>
      <c r="C264" s="576">
        <v>16066</v>
      </c>
      <c r="D264" s="468"/>
      <c r="E264" s="468"/>
      <c r="F264" s="576"/>
      <c r="G264" s="576"/>
      <c r="H264" s="468"/>
      <c r="I264" s="468"/>
      <c r="J264" s="468"/>
      <c r="K264" s="468"/>
    </row>
    <row r="265" spans="1:11" ht="12.75" customHeight="1" thickTop="1" thickBot="1" x14ac:dyDescent="0.25">
      <c r="A265" s="463" t="s">
        <v>945</v>
      </c>
      <c r="B265" s="470">
        <v>4910</v>
      </c>
      <c r="C265" s="576"/>
      <c r="D265" s="468"/>
      <c r="E265" s="468"/>
      <c r="F265" s="576"/>
      <c r="G265" s="576"/>
      <c r="H265" s="468"/>
      <c r="I265" s="468"/>
      <c r="J265" s="468"/>
      <c r="K265" s="468"/>
    </row>
    <row r="266" spans="1:11" ht="12.75" customHeight="1" thickTop="1" thickBot="1" x14ac:dyDescent="0.25">
      <c r="A266" s="463" t="s">
        <v>202</v>
      </c>
      <c r="B266" s="470">
        <v>4920</v>
      </c>
      <c r="C266" s="576"/>
      <c r="D266" s="578"/>
      <c r="E266" s="468"/>
      <c r="F266" s="573"/>
      <c r="G266" s="573"/>
      <c r="H266" s="468"/>
      <c r="I266" s="468"/>
      <c r="J266" s="468"/>
      <c r="K266" s="468"/>
    </row>
    <row r="267" spans="1:11" ht="12.75" customHeight="1" thickTop="1" thickBot="1" x14ac:dyDescent="0.25">
      <c r="A267" s="463" t="s">
        <v>441</v>
      </c>
      <c r="B267" s="470">
        <v>4930</v>
      </c>
      <c r="C267" s="576"/>
      <c r="D267" s="576"/>
      <c r="E267" s="468"/>
      <c r="F267" s="576"/>
      <c r="G267" s="576"/>
      <c r="H267" s="468"/>
      <c r="I267" s="468"/>
      <c r="J267" s="468"/>
      <c r="K267" s="468"/>
    </row>
    <row r="268" spans="1:11" ht="12.75" customHeight="1" thickTop="1" thickBot="1" x14ac:dyDescent="0.25">
      <c r="A268" s="463" t="s">
        <v>782</v>
      </c>
      <c r="B268" s="470">
        <v>4932</v>
      </c>
      <c r="C268" s="576">
        <v>80087</v>
      </c>
      <c r="D268" s="576"/>
      <c r="E268" s="468"/>
      <c r="F268" s="576"/>
      <c r="G268" s="576"/>
      <c r="H268" s="468"/>
      <c r="I268" s="468"/>
      <c r="J268" s="468"/>
      <c r="K268" s="468"/>
    </row>
    <row r="269" spans="1:11" ht="12.75" customHeight="1" thickTop="1" thickBot="1" x14ac:dyDescent="0.25">
      <c r="A269" s="463" t="s">
        <v>946</v>
      </c>
      <c r="B269" s="470">
        <v>4960</v>
      </c>
      <c r="C269" s="575"/>
      <c r="D269" s="576"/>
      <c r="E269" s="468"/>
      <c r="F269" s="576"/>
      <c r="G269" s="576"/>
      <c r="H269" s="468"/>
      <c r="I269" s="468"/>
      <c r="J269" s="468"/>
      <c r="K269" s="468"/>
    </row>
    <row r="270" spans="1:11" ht="12.75" customHeight="1" thickTop="1" thickBot="1" x14ac:dyDescent="0.25">
      <c r="A270" s="463" t="s">
        <v>589</v>
      </c>
      <c r="B270" s="470">
        <v>4991</v>
      </c>
      <c r="C270" s="575">
        <v>54981</v>
      </c>
      <c r="D270" s="576"/>
      <c r="E270" s="468"/>
      <c r="F270" s="576"/>
      <c r="G270" s="576"/>
      <c r="H270" s="468"/>
      <c r="I270" s="468"/>
      <c r="J270" s="468"/>
      <c r="K270" s="468"/>
    </row>
    <row r="271" spans="1:11" ht="12.75" customHeight="1" thickTop="1" thickBot="1" x14ac:dyDescent="0.25">
      <c r="A271" s="463" t="s">
        <v>395</v>
      </c>
      <c r="B271" s="470">
        <v>4992</v>
      </c>
      <c r="C271" s="575">
        <v>126214</v>
      </c>
      <c r="D271" s="576"/>
      <c r="E271" s="468"/>
      <c r="F271" s="576"/>
      <c r="G271" s="576"/>
      <c r="H271" s="468"/>
      <c r="I271" s="468"/>
      <c r="J271" s="468"/>
      <c r="K271" s="468"/>
    </row>
    <row r="272" spans="1:11" s="594" customFormat="1" ht="12.75" customHeight="1" thickTop="1" thickBot="1" x14ac:dyDescent="0.25">
      <c r="A272" s="563" t="s">
        <v>77</v>
      </c>
      <c r="B272" s="557">
        <v>4999</v>
      </c>
      <c r="C272" s="575">
        <v>51083</v>
      </c>
      <c r="D272" s="576"/>
      <c r="E272" s="468"/>
      <c r="F272" s="576"/>
      <c r="G272" s="576"/>
      <c r="H272" s="530"/>
      <c r="I272" s="468"/>
      <c r="J272" s="468"/>
      <c r="K272" s="530"/>
    </row>
    <row r="273" spans="1:11" ht="14.25" thickTop="1" thickBot="1" x14ac:dyDescent="0.25">
      <c r="A273" s="1730" t="s">
        <v>1765</v>
      </c>
      <c r="B273" s="1749"/>
      <c r="C273" s="1737">
        <f t="shared" ref="C273:H273" si="10">SUM(C191,C201,C211,C216,C224,C228,C229,C259:C272)</f>
        <v>2985672</v>
      </c>
      <c r="D273" s="1737">
        <f t="shared" si="10"/>
        <v>0</v>
      </c>
      <c r="E273" s="1737">
        <f t="shared" si="10"/>
        <v>773693</v>
      </c>
      <c r="F273" s="1737">
        <f t="shared" si="10"/>
        <v>0</v>
      </c>
      <c r="G273" s="1737">
        <f t="shared" si="10"/>
        <v>0</v>
      </c>
      <c r="H273" s="1737">
        <f t="shared" si="10"/>
        <v>0</v>
      </c>
      <c r="I273" s="468"/>
      <c r="J273" s="1737">
        <f>SUM(J191,J201,J211,J216,J224,J228,J229,J259:J272)</f>
        <v>0</v>
      </c>
      <c r="K273" s="1724">
        <f>SUM(K191,K201,K211,K216,K224,K228,K229,K259:K272)</f>
        <v>0</v>
      </c>
    </row>
    <row r="274" spans="1:11" ht="14.25" thickTop="1" thickBot="1" x14ac:dyDescent="0.25">
      <c r="A274" s="1750" t="s">
        <v>1147</v>
      </c>
      <c r="B274" s="1751" t="s">
        <v>915</v>
      </c>
      <c r="C274" s="1737">
        <f>SUM(C178,C184,C273)</f>
        <v>2985672</v>
      </c>
      <c r="D274" s="1737">
        <f>SUM(D178,D184,D273)</f>
        <v>0</v>
      </c>
      <c r="E274" s="1737">
        <f>SUM(E178,E273)</f>
        <v>773693</v>
      </c>
      <c r="F274" s="1737">
        <f t="shared" ref="F274:K274" si="11">SUM(F178,F184,F273)</f>
        <v>0</v>
      </c>
      <c r="G274" s="1737">
        <f t="shared" si="11"/>
        <v>0</v>
      </c>
      <c r="H274" s="1737">
        <f t="shared" si="11"/>
        <v>0</v>
      </c>
      <c r="I274" s="1737">
        <f t="shared" si="11"/>
        <v>0</v>
      </c>
      <c r="J274" s="1737">
        <f t="shared" si="11"/>
        <v>0</v>
      </c>
      <c r="K274" s="1724">
        <f t="shared" si="11"/>
        <v>0</v>
      </c>
    </row>
    <row r="275" spans="1:11" ht="14.25" thickTop="1" thickBot="1" x14ac:dyDescent="0.25">
      <c r="A275" s="1752" t="s">
        <v>269</v>
      </c>
      <c r="B275" s="1753"/>
      <c r="C275" s="1737">
        <f t="shared" ref="C275:K275" si="12">SUM(C109,C114,C173,C274)</f>
        <v>17502612</v>
      </c>
      <c r="D275" s="1737">
        <f t="shared" si="12"/>
        <v>1673074</v>
      </c>
      <c r="E275" s="1737">
        <f t="shared" si="12"/>
        <v>1847297</v>
      </c>
      <c r="F275" s="1737">
        <f t="shared" si="12"/>
        <v>956667</v>
      </c>
      <c r="G275" s="1737">
        <f t="shared" si="12"/>
        <v>614908</v>
      </c>
      <c r="H275" s="1737">
        <f t="shared" si="12"/>
        <v>226262</v>
      </c>
      <c r="I275" s="1737">
        <f t="shared" si="12"/>
        <v>10573</v>
      </c>
      <c r="J275" s="1737">
        <f t="shared" si="12"/>
        <v>288131</v>
      </c>
      <c r="K275" s="1724">
        <f t="shared" si="12"/>
        <v>47490</v>
      </c>
    </row>
    <row r="276" spans="1:11" ht="13.5" thickTop="1" x14ac:dyDescent="0.2">
      <c r="C276" s="597"/>
      <c r="D276" s="597"/>
      <c r="E276" s="597"/>
      <c r="F276" s="597"/>
      <c r="G276" s="597"/>
      <c r="H276" s="597"/>
      <c r="I276" s="597"/>
      <c r="J276" s="597"/>
      <c r="K276" s="597"/>
    </row>
    <row r="277" spans="1:11" x14ac:dyDescent="0.2">
      <c r="C277" s="597"/>
      <c r="D277" s="597"/>
      <c r="E277" s="597"/>
      <c r="F277" s="597"/>
      <c r="G277" s="597"/>
      <c r="H277" s="597"/>
      <c r="I277" s="597"/>
      <c r="J277" s="597"/>
      <c r="K277" s="597"/>
    </row>
    <row r="278" spans="1:11" x14ac:dyDescent="0.2">
      <c r="C278" s="597"/>
      <c r="D278" s="597"/>
      <c r="E278" s="597"/>
      <c r="F278" s="597"/>
      <c r="G278" s="597"/>
      <c r="H278" s="597"/>
      <c r="I278" s="597"/>
      <c r="J278" s="597"/>
      <c r="K278" s="597"/>
    </row>
    <row r="279" spans="1:11" x14ac:dyDescent="0.2">
      <c r="C279" s="597"/>
      <c r="D279" s="597"/>
      <c r="E279" s="597"/>
      <c r="F279" s="597"/>
      <c r="G279" s="597"/>
      <c r="H279" s="597"/>
      <c r="I279" s="597"/>
      <c r="J279" s="597"/>
      <c r="K279" s="597"/>
    </row>
    <row r="280" spans="1:11" x14ac:dyDescent="0.2">
      <c r="C280" s="597"/>
      <c r="D280" s="597"/>
      <c r="E280" s="597"/>
      <c r="F280" s="597"/>
      <c r="G280" s="597"/>
      <c r="H280" s="597"/>
      <c r="I280" s="597"/>
      <c r="J280" s="597"/>
      <c r="K280" s="597"/>
    </row>
    <row r="281" spans="1:11" x14ac:dyDescent="0.2">
      <c r="C281" s="597"/>
      <c r="D281" s="597"/>
      <c r="E281" s="597"/>
      <c r="F281" s="597"/>
      <c r="G281" s="597"/>
      <c r="H281" s="597"/>
      <c r="I281" s="597"/>
      <c r="J281" s="597"/>
      <c r="K281" s="597"/>
    </row>
    <row r="282" spans="1:11" s="329" customFormat="1" x14ac:dyDescent="0.2">
      <c r="A282" s="595"/>
      <c r="B282" s="596"/>
      <c r="C282" s="597"/>
      <c r="D282" s="597"/>
      <c r="E282" s="597"/>
      <c r="F282" s="597"/>
      <c r="G282" s="597"/>
      <c r="H282" s="597"/>
      <c r="I282" s="597"/>
      <c r="J282" s="597"/>
      <c r="K282" s="597"/>
    </row>
    <row r="283" spans="1:11" s="329" customFormat="1" x14ac:dyDescent="0.2">
      <c r="A283" s="595"/>
    </row>
    <row r="284" spans="1:11" s="329" customFormat="1" x14ac:dyDescent="0.2">
      <c r="A284" s="598"/>
    </row>
    <row r="285" spans="1:11" s="329" customFormat="1" x14ac:dyDescent="0.2">
      <c r="A285" s="598"/>
    </row>
    <row r="286" spans="1:11" s="329" customFormat="1" x14ac:dyDescent="0.2">
      <c r="A286" s="598"/>
    </row>
  </sheetData>
  <sheetProtection algorithmName="SHA-512" hashValue="q0wCE3PCdcOaitiIY+rF1HSpGVt2N2c5ooat5d6Db+GILq5U4VifnTWAnHRVDaFGPLV+XQindVepOh6+WA0Mfw==" saltValue="xurZOZAIVk0NkBs33jgRZA==" spinCount="100000" sheet="1" objects="1" scenarios="1"/>
  <mergeCells count="7">
    <mergeCell ref="A1:A2"/>
    <mergeCell ref="A172:B172"/>
    <mergeCell ref="A175:B175"/>
    <mergeCell ref="A185:B185"/>
    <mergeCell ref="A178:B178"/>
    <mergeCell ref="A184:B184"/>
    <mergeCell ref="A179:B179"/>
  </mergeCells>
  <phoneticPr fontId="13"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2018&amp;R&amp;8Page &amp;P</oddHeader>
    <oddFooter>&amp;L&amp;8Printed Date: &amp;D
&amp;F</oddFooter>
  </headerFooter>
  <rowBreaks count="2" manualBreakCount="2">
    <brk id="144" max="16383" man="1"/>
    <brk id="188"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N368"/>
  <sheetViews>
    <sheetView showGridLines="0" defaultGridColor="0" colorId="8" zoomScale="110" zoomScaleNormal="110" workbookViewId="0">
      <pane ySplit="2" topLeftCell="A162" activePane="bottomLeft" state="frozen"/>
      <selection pane="bottomLeft" activeCell="K170" sqref="K170"/>
    </sheetView>
  </sheetViews>
  <sheetFormatPr defaultColWidth="9.140625" defaultRowHeight="12.75" x14ac:dyDescent="0.2"/>
  <cols>
    <col min="1" max="1" width="48.5703125" style="710" customWidth="1"/>
    <col min="2" max="2" width="5" style="711" customWidth="1"/>
    <col min="3" max="8" width="13.28515625" style="610" customWidth="1"/>
    <col min="9" max="10" width="13.28515625" style="343" customWidth="1"/>
    <col min="11" max="11" width="13.28515625" style="712" customWidth="1"/>
    <col min="12" max="12" width="11.85546875" style="343" customWidth="1"/>
    <col min="13" max="13" width="1.5703125" style="210" customWidth="1"/>
    <col min="14" max="14" width="9.140625" style="210"/>
    <col min="15" max="16384" width="9.140625" style="329"/>
  </cols>
  <sheetData>
    <row r="1" spans="1:14" x14ac:dyDescent="0.2">
      <c r="A1" s="2143" t="s">
        <v>1903</v>
      </c>
      <c r="B1" s="603"/>
      <c r="C1" s="604" t="s">
        <v>799</v>
      </c>
      <c r="D1" s="604" t="s">
        <v>1138</v>
      </c>
      <c r="E1" s="604" t="s">
        <v>1139</v>
      </c>
      <c r="F1" s="604" t="s">
        <v>1140</v>
      </c>
      <c r="G1" s="604" t="s">
        <v>1141</v>
      </c>
      <c r="H1" s="604" t="s">
        <v>1142</v>
      </c>
      <c r="I1" s="604" t="s">
        <v>1143</v>
      </c>
      <c r="J1" s="604" t="s">
        <v>1144</v>
      </c>
      <c r="K1" s="604" t="s">
        <v>270</v>
      </c>
      <c r="L1" s="605"/>
    </row>
    <row r="2" spans="1:14" s="609" customFormat="1" ht="28.5" customHeight="1" x14ac:dyDescent="0.2">
      <c r="A2" s="2175"/>
      <c r="B2" s="606" t="s">
        <v>47</v>
      </c>
      <c r="C2" s="607" t="s">
        <v>203</v>
      </c>
      <c r="D2" s="608" t="s">
        <v>51</v>
      </c>
      <c r="E2" s="608" t="s">
        <v>1162</v>
      </c>
      <c r="F2" s="608" t="s">
        <v>1156</v>
      </c>
      <c r="G2" s="607" t="s">
        <v>1157</v>
      </c>
      <c r="H2" s="607" t="s">
        <v>1158</v>
      </c>
      <c r="I2" s="608" t="s">
        <v>309</v>
      </c>
      <c r="J2" s="608" t="s">
        <v>310</v>
      </c>
      <c r="K2" s="607" t="s">
        <v>158</v>
      </c>
      <c r="L2" s="607" t="s">
        <v>30</v>
      </c>
      <c r="M2" s="257"/>
      <c r="N2" s="257"/>
    </row>
    <row r="3" spans="1:14" s="343" customFormat="1" ht="16.7" customHeight="1" x14ac:dyDescent="0.2">
      <c r="A3" s="2181" t="s">
        <v>315</v>
      </c>
      <c r="B3" s="2182"/>
      <c r="C3" s="1570"/>
      <c r="D3" s="1570"/>
      <c r="E3" s="1570"/>
      <c r="F3" s="1570"/>
      <c r="G3" s="1570"/>
      <c r="H3" s="1570"/>
      <c r="I3" s="1570"/>
      <c r="J3" s="1570"/>
      <c r="K3" s="1571"/>
      <c r="L3" s="1572"/>
      <c r="M3" s="610"/>
      <c r="N3" s="610"/>
    </row>
    <row r="4" spans="1:14" s="259" customFormat="1" ht="15.75" customHeight="1" x14ac:dyDescent="0.2">
      <c r="A4" s="1628" t="s">
        <v>46</v>
      </c>
      <c r="B4" s="1629" t="s">
        <v>591</v>
      </c>
      <c r="C4" s="611"/>
      <c r="D4" s="611"/>
      <c r="E4" s="611"/>
      <c r="F4" s="611"/>
      <c r="G4" s="611"/>
      <c r="H4" s="611"/>
      <c r="I4" s="612"/>
      <c r="J4" s="611"/>
      <c r="K4" s="613"/>
      <c r="L4" s="611"/>
      <c r="M4" s="614"/>
      <c r="N4" s="614"/>
    </row>
    <row r="5" spans="1:14" x14ac:dyDescent="0.2">
      <c r="A5" s="1526" t="s">
        <v>1018</v>
      </c>
      <c r="B5" s="615">
        <v>1100</v>
      </c>
      <c r="C5" s="466">
        <v>5451657</v>
      </c>
      <c r="D5" s="466">
        <v>848724</v>
      </c>
      <c r="E5" s="466">
        <v>17135</v>
      </c>
      <c r="F5" s="466">
        <v>357174</v>
      </c>
      <c r="G5" s="466">
        <v>5920</v>
      </c>
      <c r="H5" s="466">
        <v>1026</v>
      </c>
      <c r="I5" s="467"/>
      <c r="J5" s="467"/>
      <c r="K5" s="1693">
        <f>SUM(C5:J5)</f>
        <v>6681636</v>
      </c>
      <c r="L5" s="466">
        <v>6723442</v>
      </c>
    </row>
    <row r="6" spans="1:14" x14ac:dyDescent="0.2">
      <c r="A6" s="1526" t="s">
        <v>1508</v>
      </c>
      <c r="B6" s="615" t="s">
        <v>1506</v>
      </c>
      <c r="C6" s="477"/>
      <c r="D6" s="477"/>
      <c r="E6" s="466"/>
      <c r="F6" s="477"/>
      <c r="G6" s="477"/>
      <c r="H6" s="477"/>
      <c r="I6" s="477"/>
      <c r="J6" s="477"/>
      <c r="K6" s="1693">
        <f>SUM(C6,E6)</f>
        <v>0</v>
      </c>
      <c r="L6" s="466"/>
    </row>
    <row r="7" spans="1:14" x14ac:dyDescent="0.2">
      <c r="A7" s="1526" t="s">
        <v>165</v>
      </c>
      <c r="B7" s="615" t="s">
        <v>1024</v>
      </c>
      <c r="C7" s="467">
        <v>247626</v>
      </c>
      <c r="D7" s="467">
        <v>42409</v>
      </c>
      <c r="E7" s="467">
        <v>1095</v>
      </c>
      <c r="F7" s="467">
        <v>10071</v>
      </c>
      <c r="G7" s="467"/>
      <c r="H7" s="467"/>
      <c r="I7" s="467"/>
      <c r="J7" s="467"/>
      <c r="K7" s="1693">
        <f t="shared" ref="K7:K32" si="0">SUM(C7:J7)</f>
        <v>301201</v>
      </c>
      <c r="L7" s="466">
        <v>361680</v>
      </c>
    </row>
    <row r="8" spans="1:14" x14ac:dyDescent="0.2">
      <c r="A8" s="1526" t="s">
        <v>166</v>
      </c>
      <c r="B8" s="615">
        <v>1200</v>
      </c>
      <c r="C8" s="466">
        <v>2025900</v>
      </c>
      <c r="D8" s="466">
        <v>379110</v>
      </c>
      <c r="E8" s="466">
        <v>80862</v>
      </c>
      <c r="F8" s="466">
        <v>48221</v>
      </c>
      <c r="G8" s="466">
        <v>630</v>
      </c>
      <c r="H8" s="466">
        <v>1747</v>
      </c>
      <c r="I8" s="467"/>
      <c r="J8" s="467"/>
      <c r="K8" s="1693">
        <f t="shared" si="0"/>
        <v>2536470</v>
      </c>
      <c r="L8" s="466">
        <v>2549639</v>
      </c>
    </row>
    <row r="9" spans="1:14" x14ac:dyDescent="0.2">
      <c r="A9" s="1526" t="s">
        <v>745</v>
      </c>
      <c r="B9" s="615" t="s">
        <v>1025</v>
      </c>
      <c r="C9" s="467">
        <v>6896</v>
      </c>
      <c r="D9" s="467">
        <v>3932</v>
      </c>
      <c r="E9" s="467">
        <v>320</v>
      </c>
      <c r="F9" s="467">
        <v>10641</v>
      </c>
      <c r="G9" s="467"/>
      <c r="H9" s="467"/>
      <c r="I9" s="467"/>
      <c r="J9" s="467"/>
      <c r="K9" s="1693">
        <f t="shared" si="0"/>
        <v>21789</v>
      </c>
      <c r="L9" s="466">
        <v>20461</v>
      </c>
    </row>
    <row r="10" spans="1:14" x14ac:dyDescent="0.2">
      <c r="A10" s="1526" t="s">
        <v>746</v>
      </c>
      <c r="B10" s="615">
        <v>1250</v>
      </c>
      <c r="C10" s="466">
        <v>264404</v>
      </c>
      <c r="D10" s="466">
        <v>59569</v>
      </c>
      <c r="E10" s="466">
        <v>326574</v>
      </c>
      <c r="F10" s="466">
        <v>230333</v>
      </c>
      <c r="G10" s="466">
        <v>85242</v>
      </c>
      <c r="H10" s="466"/>
      <c r="I10" s="467"/>
      <c r="J10" s="467"/>
      <c r="K10" s="1693">
        <f t="shared" si="0"/>
        <v>966122</v>
      </c>
      <c r="L10" s="466">
        <v>1101210</v>
      </c>
    </row>
    <row r="11" spans="1:14" x14ac:dyDescent="0.2">
      <c r="A11" s="1526" t="s">
        <v>1192</v>
      </c>
      <c r="B11" s="615" t="s">
        <v>163</v>
      </c>
      <c r="C11" s="467"/>
      <c r="D11" s="467"/>
      <c r="E11" s="467"/>
      <c r="F11" s="467"/>
      <c r="G11" s="467"/>
      <c r="H11" s="467"/>
      <c r="I11" s="467"/>
      <c r="J11" s="467"/>
      <c r="K11" s="1693">
        <f t="shared" si="0"/>
        <v>0</v>
      </c>
      <c r="L11" s="466"/>
    </row>
    <row r="12" spans="1:14" x14ac:dyDescent="0.2">
      <c r="A12" s="1526" t="s">
        <v>1019</v>
      </c>
      <c r="B12" s="615">
        <v>1300</v>
      </c>
      <c r="C12" s="466"/>
      <c r="D12" s="466"/>
      <c r="E12" s="466"/>
      <c r="F12" s="466"/>
      <c r="G12" s="466"/>
      <c r="H12" s="466"/>
      <c r="I12" s="467"/>
      <c r="J12" s="467"/>
      <c r="K12" s="1693">
        <f t="shared" si="0"/>
        <v>0</v>
      </c>
      <c r="L12" s="466"/>
    </row>
    <row r="13" spans="1:14" x14ac:dyDescent="0.2">
      <c r="A13" s="1526" t="s">
        <v>747</v>
      </c>
      <c r="B13" s="615">
        <v>1400</v>
      </c>
      <c r="C13" s="466"/>
      <c r="D13" s="466"/>
      <c r="E13" s="466"/>
      <c r="F13" s="466"/>
      <c r="G13" s="466"/>
      <c r="H13" s="466"/>
      <c r="I13" s="467"/>
      <c r="J13" s="467"/>
      <c r="K13" s="1693">
        <f t="shared" si="0"/>
        <v>0</v>
      </c>
      <c r="L13" s="466"/>
    </row>
    <row r="14" spans="1:14" x14ac:dyDescent="0.2">
      <c r="A14" s="1526" t="s">
        <v>1020</v>
      </c>
      <c r="B14" s="615">
        <v>1500</v>
      </c>
      <c r="C14" s="466"/>
      <c r="D14" s="466"/>
      <c r="E14" s="466">
        <v>11452</v>
      </c>
      <c r="F14" s="466">
        <v>6273</v>
      </c>
      <c r="G14" s="466"/>
      <c r="H14" s="466">
        <v>2856</v>
      </c>
      <c r="I14" s="467"/>
      <c r="J14" s="467"/>
      <c r="K14" s="1693">
        <f t="shared" si="0"/>
        <v>20581</v>
      </c>
      <c r="L14" s="466">
        <v>19300</v>
      </c>
    </row>
    <row r="15" spans="1:14" x14ac:dyDescent="0.2">
      <c r="A15" s="1526" t="s">
        <v>1021</v>
      </c>
      <c r="B15" s="615">
        <v>1600</v>
      </c>
      <c r="C15" s="466">
        <v>4180</v>
      </c>
      <c r="D15" s="466">
        <v>100</v>
      </c>
      <c r="E15" s="466"/>
      <c r="F15" s="466"/>
      <c r="G15" s="466"/>
      <c r="H15" s="466"/>
      <c r="I15" s="467"/>
      <c r="J15" s="467"/>
      <c r="K15" s="1693">
        <f t="shared" si="0"/>
        <v>4280</v>
      </c>
      <c r="L15" s="466">
        <v>5250</v>
      </c>
    </row>
    <row r="16" spans="1:14" x14ac:dyDescent="0.2">
      <c r="A16" s="1526" t="s">
        <v>1044</v>
      </c>
      <c r="B16" s="615" t="s">
        <v>444</v>
      </c>
      <c r="C16" s="466"/>
      <c r="D16" s="466"/>
      <c r="E16" s="466"/>
      <c r="F16" s="466"/>
      <c r="G16" s="466"/>
      <c r="H16" s="466"/>
      <c r="I16" s="467"/>
      <c r="J16" s="467"/>
      <c r="K16" s="1693">
        <f t="shared" si="0"/>
        <v>0</v>
      </c>
      <c r="L16" s="466"/>
    </row>
    <row r="17" spans="1:12" x14ac:dyDescent="0.2">
      <c r="A17" s="1526" t="s">
        <v>748</v>
      </c>
      <c r="B17" s="615" t="s">
        <v>164</v>
      </c>
      <c r="C17" s="467"/>
      <c r="D17" s="467"/>
      <c r="E17" s="467"/>
      <c r="F17" s="467"/>
      <c r="G17" s="467"/>
      <c r="H17" s="467"/>
      <c r="I17" s="467"/>
      <c r="J17" s="467"/>
      <c r="K17" s="1693">
        <f t="shared" si="0"/>
        <v>0</v>
      </c>
      <c r="L17" s="466"/>
    </row>
    <row r="18" spans="1:12" x14ac:dyDescent="0.2">
      <c r="A18" s="1526" t="s">
        <v>1148</v>
      </c>
      <c r="B18" s="615">
        <v>1800</v>
      </c>
      <c r="C18" s="466">
        <v>452391</v>
      </c>
      <c r="D18" s="466">
        <v>61196</v>
      </c>
      <c r="E18" s="466">
        <v>891</v>
      </c>
      <c r="F18" s="466">
        <v>11234</v>
      </c>
      <c r="G18" s="466"/>
      <c r="H18" s="466"/>
      <c r="I18" s="467"/>
      <c r="J18" s="467"/>
      <c r="K18" s="1693">
        <f t="shared" si="0"/>
        <v>525712</v>
      </c>
      <c r="L18" s="466">
        <v>710964</v>
      </c>
    </row>
    <row r="19" spans="1:12" x14ac:dyDescent="0.2">
      <c r="A19" s="1526" t="s">
        <v>136</v>
      </c>
      <c r="B19" s="615">
        <v>1900</v>
      </c>
      <c r="C19" s="466"/>
      <c r="D19" s="466"/>
      <c r="E19" s="466"/>
      <c r="F19" s="466"/>
      <c r="G19" s="466"/>
      <c r="H19" s="466"/>
      <c r="I19" s="467"/>
      <c r="J19" s="467"/>
      <c r="K19" s="1693">
        <f t="shared" si="0"/>
        <v>0</v>
      </c>
      <c r="L19" s="466"/>
    </row>
    <row r="20" spans="1:12" x14ac:dyDescent="0.2">
      <c r="A20" s="1527" t="s">
        <v>762</v>
      </c>
      <c r="B20" s="603" t="s">
        <v>749</v>
      </c>
      <c r="C20" s="477"/>
      <c r="D20" s="477"/>
      <c r="E20" s="477"/>
      <c r="F20" s="477"/>
      <c r="G20" s="477"/>
      <c r="H20" s="474"/>
      <c r="I20" s="617"/>
      <c r="J20" s="475"/>
      <c r="K20" s="1693">
        <f t="shared" si="0"/>
        <v>0</v>
      </c>
      <c r="L20" s="471"/>
    </row>
    <row r="21" spans="1:12" x14ac:dyDescent="0.2">
      <c r="A21" s="1527" t="s">
        <v>763</v>
      </c>
      <c r="B21" s="603" t="s">
        <v>750</v>
      </c>
      <c r="C21" s="477"/>
      <c r="D21" s="477"/>
      <c r="E21" s="477"/>
      <c r="F21" s="477"/>
      <c r="G21" s="477"/>
      <c r="H21" s="474"/>
      <c r="I21" s="617"/>
      <c r="J21" s="477"/>
      <c r="K21" s="1693">
        <f t="shared" si="0"/>
        <v>0</v>
      </c>
      <c r="L21" s="471"/>
    </row>
    <row r="22" spans="1:12" x14ac:dyDescent="0.2">
      <c r="A22" s="1527" t="s">
        <v>764</v>
      </c>
      <c r="B22" s="603" t="s">
        <v>751</v>
      </c>
      <c r="C22" s="477"/>
      <c r="D22" s="477"/>
      <c r="E22" s="477"/>
      <c r="F22" s="477"/>
      <c r="G22" s="477"/>
      <c r="H22" s="474"/>
      <c r="I22" s="617"/>
      <c r="J22" s="477"/>
      <c r="K22" s="1693">
        <f t="shared" si="0"/>
        <v>0</v>
      </c>
      <c r="L22" s="471"/>
    </row>
    <row r="23" spans="1:12" x14ac:dyDescent="0.2">
      <c r="A23" s="1527" t="s">
        <v>765</v>
      </c>
      <c r="B23" s="603" t="s">
        <v>752</v>
      </c>
      <c r="C23" s="477"/>
      <c r="D23" s="477"/>
      <c r="E23" s="477"/>
      <c r="F23" s="477"/>
      <c r="G23" s="477"/>
      <c r="H23" s="474"/>
      <c r="I23" s="617"/>
      <c r="J23" s="477"/>
      <c r="K23" s="1693">
        <f t="shared" si="0"/>
        <v>0</v>
      </c>
      <c r="L23" s="471"/>
    </row>
    <row r="24" spans="1:12" ht="12.75" customHeight="1" x14ac:dyDescent="0.2">
      <c r="A24" s="1527" t="s">
        <v>766</v>
      </c>
      <c r="B24" s="603" t="s">
        <v>753</v>
      </c>
      <c r="C24" s="477"/>
      <c r="D24" s="477"/>
      <c r="E24" s="477"/>
      <c r="F24" s="477"/>
      <c r="G24" s="477"/>
      <c r="H24" s="474"/>
      <c r="I24" s="617"/>
      <c r="J24" s="477"/>
      <c r="K24" s="1693">
        <f t="shared" si="0"/>
        <v>0</v>
      </c>
      <c r="L24" s="471"/>
    </row>
    <row r="25" spans="1:12" ht="12.75" customHeight="1" x14ac:dyDescent="0.2">
      <c r="A25" s="1527" t="s">
        <v>835</v>
      </c>
      <c r="B25" s="603" t="s">
        <v>754</v>
      </c>
      <c r="C25" s="477"/>
      <c r="D25" s="477"/>
      <c r="E25" s="477"/>
      <c r="F25" s="477"/>
      <c r="G25" s="477"/>
      <c r="H25" s="474"/>
      <c r="I25" s="617"/>
      <c r="J25" s="477"/>
      <c r="K25" s="1693">
        <f t="shared" si="0"/>
        <v>0</v>
      </c>
      <c r="L25" s="471"/>
    </row>
    <row r="26" spans="1:12" x14ac:dyDescent="0.2">
      <c r="A26" s="1527" t="s">
        <v>643</v>
      </c>
      <c r="B26" s="603" t="s">
        <v>755</v>
      </c>
      <c r="C26" s="477"/>
      <c r="D26" s="477"/>
      <c r="E26" s="477"/>
      <c r="F26" s="477"/>
      <c r="G26" s="477"/>
      <c r="H26" s="474"/>
      <c r="I26" s="617"/>
      <c r="J26" s="477"/>
      <c r="K26" s="1693">
        <f t="shared" si="0"/>
        <v>0</v>
      </c>
      <c r="L26" s="471"/>
    </row>
    <row r="27" spans="1:12" x14ac:dyDescent="0.2">
      <c r="A27" s="1527" t="s">
        <v>644</v>
      </c>
      <c r="B27" s="603" t="s">
        <v>756</v>
      </c>
      <c r="C27" s="477"/>
      <c r="D27" s="477"/>
      <c r="E27" s="477"/>
      <c r="F27" s="477"/>
      <c r="G27" s="477"/>
      <c r="H27" s="474"/>
      <c r="I27" s="617"/>
      <c r="J27" s="477"/>
      <c r="K27" s="1693">
        <f t="shared" si="0"/>
        <v>0</v>
      </c>
      <c r="L27" s="471"/>
    </row>
    <row r="28" spans="1:12" x14ac:dyDescent="0.2">
      <c r="A28" s="1527" t="s">
        <v>152</v>
      </c>
      <c r="B28" s="603" t="s">
        <v>757</v>
      </c>
      <c r="C28" s="477"/>
      <c r="D28" s="477"/>
      <c r="E28" s="477"/>
      <c r="F28" s="477"/>
      <c r="G28" s="477"/>
      <c r="H28" s="474"/>
      <c r="I28" s="617"/>
      <c r="J28" s="477"/>
      <c r="K28" s="1693">
        <f t="shared" si="0"/>
        <v>0</v>
      </c>
      <c r="L28" s="471"/>
    </row>
    <row r="29" spans="1:12" x14ac:dyDescent="0.2">
      <c r="A29" s="1527" t="s">
        <v>153</v>
      </c>
      <c r="B29" s="603" t="s">
        <v>758</v>
      </c>
      <c r="C29" s="477"/>
      <c r="D29" s="477"/>
      <c r="E29" s="477"/>
      <c r="F29" s="477"/>
      <c r="G29" s="477"/>
      <c r="H29" s="474"/>
      <c r="I29" s="617"/>
      <c r="J29" s="477"/>
      <c r="K29" s="1693">
        <f t="shared" si="0"/>
        <v>0</v>
      </c>
      <c r="L29" s="471"/>
    </row>
    <row r="30" spans="1:12" x14ac:dyDescent="0.2">
      <c r="A30" s="1527" t="s">
        <v>154</v>
      </c>
      <c r="B30" s="603" t="s">
        <v>759</v>
      </c>
      <c r="C30" s="477"/>
      <c r="D30" s="477"/>
      <c r="E30" s="477"/>
      <c r="F30" s="477"/>
      <c r="G30" s="477"/>
      <c r="H30" s="474"/>
      <c r="I30" s="617"/>
      <c r="J30" s="477"/>
      <c r="K30" s="1693">
        <f t="shared" si="0"/>
        <v>0</v>
      </c>
      <c r="L30" s="471"/>
    </row>
    <row r="31" spans="1:12" x14ac:dyDescent="0.2">
      <c r="A31" s="1527" t="s">
        <v>155</v>
      </c>
      <c r="B31" s="603" t="s">
        <v>760</v>
      </c>
      <c r="C31" s="477"/>
      <c r="D31" s="477"/>
      <c r="E31" s="477"/>
      <c r="F31" s="477"/>
      <c r="G31" s="477"/>
      <c r="H31" s="474"/>
      <c r="I31" s="617"/>
      <c r="J31" s="477"/>
      <c r="K31" s="1693">
        <f t="shared" si="0"/>
        <v>0</v>
      </c>
      <c r="L31" s="471"/>
    </row>
    <row r="32" spans="1:12" x14ac:dyDescent="0.2">
      <c r="A32" s="1528" t="s">
        <v>1191</v>
      </c>
      <c r="B32" s="615" t="s">
        <v>761</v>
      </c>
      <c r="C32" s="477"/>
      <c r="D32" s="477"/>
      <c r="E32" s="477"/>
      <c r="F32" s="477"/>
      <c r="G32" s="477"/>
      <c r="H32" s="474"/>
      <c r="I32" s="617"/>
      <c r="J32" s="480"/>
      <c r="K32" s="1693">
        <f t="shared" si="0"/>
        <v>0</v>
      </c>
      <c r="L32" s="471"/>
    </row>
    <row r="33" spans="1:14" ht="12.75" customHeight="1" thickBot="1" x14ac:dyDescent="0.25">
      <c r="A33" s="1690" t="s">
        <v>1767</v>
      </c>
      <c r="B33" s="1691" t="s">
        <v>591</v>
      </c>
      <c r="C33" s="1692">
        <f>SUM(C5:C32)</f>
        <v>8453054</v>
      </c>
      <c r="D33" s="1692">
        <f t="shared" ref="D33:L33" si="1">SUM(D5:D32)</f>
        <v>1395040</v>
      </c>
      <c r="E33" s="1692">
        <f t="shared" si="1"/>
        <v>438329</v>
      </c>
      <c r="F33" s="1692">
        <f t="shared" si="1"/>
        <v>673947</v>
      </c>
      <c r="G33" s="1692">
        <f t="shared" si="1"/>
        <v>91792</v>
      </c>
      <c r="H33" s="1692">
        <f t="shared" si="1"/>
        <v>5629</v>
      </c>
      <c r="I33" s="1692">
        <f t="shared" si="1"/>
        <v>0</v>
      </c>
      <c r="J33" s="1692">
        <f t="shared" si="1"/>
        <v>0</v>
      </c>
      <c r="K33" s="1692">
        <f t="shared" si="1"/>
        <v>11057791</v>
      </c>
      <c r="L33" s="1692">
        <f t="shared" si="1"/>
        <v>11491946</v>
      </c>
    </row>
    <row r="34" spans="1:14" s="621" customFormat="1" ht="15.75" customHeight="1" thickTop="1" x14ac:dyDescent="0.2">
      <c r="A34" s="1630" t="s">
        <v>48</v>
      </c>
      <c r="B34" s="1631" t="s">
        <v>590</v>
      </c>
      <c r="C34" s="619"/>
      <c r="D34" s="619"/>
      <c r="E34" s="619"/>
      <c r="F34" s="619"/>
      <c r="G34" s="619"/>
      <c r="H34" s="619"/>
      <c r="I34" s="617"/>
      <c r="J34" s="617"/>
      <c r="K34" s="617"/>
      <c r="L34" s="617"/>
      <c r="M34" s="620"/>
      <c r="N34" s="620"/>
    </row>
    <row r="35" spans="1:14" s="621" customFormat="1" ht="15.75" customHeight="1" x14ac:dyDescent="0.2">
      <c r="A35" s="622" t="s">
        <v>612</v>
      </c>
      <c r="B35" s="623"/>
      <c r="C35" s="624"/>
      <c r="D35" s="624"/>
      <c r="E35" s="624"/>
      <c r="F35" s="624"/>
      <c r="G35" s="624"/>
      <c r="H35" s="624"/>
      <c r="I35" s="617"/>
      <c r="J35" s="617"/>
      <c r="K35" s="617"/>
      <c r="L35" s="617"/>
      <c r="M35" s="620"/>
      <c r="N35" s="620"/>
    </row>
    <row r="36" spans="1:14" x14ac:dyDescent="0.2">
      <c r="A36" s="1526" t="s">
        <v>1150</v>
      </c>
      <c r="B36" s="615">
        <v>2110</v>
      </c>
      <c r="C36" s="481">
        <v>331711</v>
      </c>
      <c r="D36" s="481">
        <v>45648</v>
      </c>
      <c r="E36" s="481"/>
      <c r="F36" s="481"/>
      <c r="G36" s="481"/>
      <c r="H36" s="481"/>
      <c r="I36" s="467"/>
      <c r="J36" s="467"/>
      <c r="K36" s="1693">
        <f t="shared" ref="K36:K41" si="2">SUM(C36:J36)</f>
        <v>377359</v>
      </c>
      <c r="L36" s="466">
        <v>407056</v>
      </c>
    </row>
    <row r="37" spans="1:14" x14ac:dyDescent="0.2">
      <c r="A37" s="1526" t="s">
        <v>1151</v>
      </c>
      <c r="B37" s="615">
        <v>2120</v>
      </c>
      <c r="C37" s="466"/>
      <c r="D37" s="466"/>
      <c r="E37" s="466"/>
      <c r="F37" s="466"/>
      <c r="G37" s="466"/>
      <c r="H37" s="466"/>
      <c r="I37" s="467"/>
      <c r="J37" s="467"/>
      <c r="K37" s="1693">
        <f t="shared" si="2"/>
        <v>0</v>
      </c>
      <c r="L37" s="466"/>
    </row>
    <row r="38" spans="1:14" x14ac:dyDescent="0.2">
      <c r="A38" s="1526" t="s">
        <v>207</v>
      </c>
      <c r="B38" s="615">
        <v>2130</v>
      </c>
      <c r="C38" s="466">
        <v>258260</v>
      </c>
      <c r="D38" s="466">
        <v>48923</v>
      </c>
      <c r="E38" s="466">
        <v>2146</v>
      </c>
      <c r="F38" s="466">
        <v>3944</v>
      </c>
      <c r="G38" s="466">
        <v>1980</v>
      </c>
      <c r="H38" s="466"/>
      <c r="I38" s="467"/>
      <c r="J38" s="467"/>
      <c r="K38" s="1693">
        <f t="shared" si="2"/>
        <v>315253</v>
      </c>
      <c r="L38" s="466">
        <v>350896</v>
      </c>
    </row>
    <row r="39" spans="1:14" x14ac:dyDescent="0.2">
      <c r="A39" s="1526" t="s">
        <v>208</v>
      </c>
      <c r="B39" s="615">
        <v>2140</v>
      </c>
      <c r="C39" s="466">
        <v>202884</v>
      </c>
      <c r="D39" s="466">
        <v>20841</v>
      </c>
      <c r="E39" s="466">
        <v>120</v>
      </c>
      <c r="F39" s="466">
        <v>5323</v>
      </c>
      <c r="G39" s="466"/>
      <c r="H39" s="466"/>
      <c r="I39" s="467"/>
      <c r="J39" s="467"/>
      <c r="K39" s="1693">
        <f t="shared" si="2"/>
        <v>229168</v>
      </c>
      <c r="L39" s="466">
        <v>238589</v>
      </c>
    </row>
    <row r="40" spans="1:14" x14ac:dyDescent="0.2">
      <c r="A40" s="1526" t="s">
        <v>209</v>
      </c>
      <c r="B40" s="615">
        <v>2150</v>
      </c>
      <c r="C40" s="466">
        <v>192157</v>
      </c>
      <c r="D40" s="466">
        <v>36343</v>
      </c>
      <c r="E40" s="466">
        <v>111849</v>
      </c>
      <c r="F40" s="466">
        <v>5695</v>
      </c>
      <c r="G40" s="466"/>
      <c r="H40" s="466"/>
      <c r="I40" s="467"/>
      <c r="J40" s="467"/>
      <c r="K40" s="1693">
        <f t="shared" si="2"/>
        <v>346044</v>
      </c>
      <c r="L40" s="466">
        <v>343538</v>
      </c>
    </row>
    <row r="41" spans="1:14" x14ac:dyDescent="0.2">
      <c r="A41" s="1526" t="s">
        <v>1768</v>
      </c>
      <c r="B41" s="615">
        <v>2190</v>
      </c>
      <c r="C41" s="466"/>
      <c r="D41" s="466"/>
      <c r="E41" s="466"/>
      <c r="F41" s="466"/>
      <c r="G41" s="466"/>
      <c r="H41" s="466"/>
      <c r="I41" s="467"/>
      <c r="J41" s="467"/>
      <c r="K41" s="1693">
        <f t="shared" si="2"/>
        <v>0</v>
      </c>
      <c r="L41" s="466"/>
    </row>
    <row r="42" spans="1:14" ht="12.75" customHeight="1" thickBot="1" x14ac:dyDescent="0.25">
      <c r="A42" s="1690" t="s">
        <v>581</v>
      </c>
      <c r="B42" s="1691" t="s">
        <v>740</v>
      </c>
      <c r="C42" s="1692">
        <f>SUM(C36:C41)</f>
        <v>985012</v>
      </c>
      <c r="D42" s="1692">
        <f t="shared" ref="D42:L42" si="3">SUM(D36:D41)</f>
        <v>151755</v>
      </c>
      <c r="E42" s="1692">
        <f t="shared" si="3"/>
        <v>114115</v>
      </c>
      <c r="F42" s="1692">
        <f t="shared" si="3"/>
        <v>14962</v>
      </c>
      <c r="G42" s="1692">
        <f t="shared" si="3"/>
        <v>1980</v>
      </c>
      <c r="H42" s="1692">
        <f t="shared" si="3"/>
        <v>0</v>
      </c>
      <c r="I42" s="1692">
        <f t="shared" si="3"/>
        <v>0</v>
      </c>
      <c r="J42" s="1692">
        <f t="shared" si="3"/>
        <v>0</v>
      </c>
      <c r="K42" s="1692">
        <f t="shared" si="3"/>
        <v>1267824</v>
      </c>
      <c r="L42" s="1692">
        <f t="shared" si="3"/>
        <v>1340079</v>
      </c>
    </row>
    <row r="43" spans="1:14" ht="15.75" customHeight="1" thickTop="1" x14ac:dyDescent="0.2">
      <c r="A43" s="625" t="s">
        <v>613</v>
      </c>
      <c r="B43" s="626"/>
      <c r="C43" s="627"/>
      <c r="D43" s="627"/>
      <c r="E43" s="627"/>
      <c r="F43" s="627"/>
      <c r="G43" s="627"/>
      <c r="H43" s="627"/>
      <c r="I43" s="617"/>
      <c r="J43" s="617"/>
      <c r="K43" s="627"/>
      <c r="L43" s="627"/>
    </row>
    <row r="44" spans="1:14" x14ac:dyDescent="0.2">
      <c r="A44" s="1526" t="s">
        <v>868</v>
      </c>
      <c r="B44" s="615">
        <v>2210</v>
      </c>
      <c r="C44" s="481">
        <v>149254</v>
      </c>
      <c r="D44" s="481">
        <v>30572</v>
      </c>
      <c r="E44" s="481">
        <v>6067</v>
      </c>
      <c r="F44" s="481">
        <v>372306</v>
      </c>
      <c r="G44" s="481"/>
      <c r="H44" s="481">
        <v>385</v>
      </c>
      <c r="I44" s="467"/>
      <c r="J44" s="467"/>
      <c r="K44" s="1694">
        <f>SUM(C44:J44)</f>
        <v>558584</v>
      </c>
      <c r="L44" s="481">
        <v>211115</v>
      </c>
    </row>
    <row r="45" spans="1:14" x14ac:dyDescent="0.2">
      <c r="A45" s="1526" t="s">
        <v>869</v>
      </c>
      <c r="B45" s="615">
        <v>2220</v>
      </c>
      <c r="C45" s="466">
        <v>60812</v>
      </c>
      <c r="D45" s="466">
        <v>4789</v>
      </c>
      <c r="E45" s="466">
        <v>85427</v>
      </c>
      <c r="F45" s="466">
        <v>80999</v>
      </c>
      <c r="G45" s="466">
        <v>47419</v>
      </c>
      <c r="H45" s="466"/>
      <c r="I45" s="467"/>
      <c r="J45" s="467"/>
      <c r="K45" s="1694">
        <f>SUM(C45:J45)</f>
        <v>279446</v>
      </c>
      <c r="L45" s="466">
        <v>361004</v>
      </c>
    </row>
    <row r="46" spans="1:14" x14ac:dyDescent="0.2">
      <c r="A46" s="1526" t="s">
        <v>870</v>
      </c>
      <c r="B46" s="615">
        <v>2230</v>
      </c>
      <c r="C46" s="466"/>
      <c r="D46" s="466"/>
      <c r="E46" s="466"/>
      <c r="F46" s="466"/>
      <c r="G46" s="466"/>
      <c r="H46" s="466"/>
      <c r="I46" s="467"/>
      <c r="J46" s="467"/>
      <c r="K46" s="1694">
        <f>SUM(C46:J46)</f>
        <v>0</v>
      </c>
      <c r="L46" s="466"/>
    </row>
    <row r="47" spans="1:14" ht="12.75" customHeight="1" thickBot="1" x14ac:dyDescent="0.25">
      <c r="A47" s="1690" t="s">
        <v>582</v>
      </c>
      <c r="B47" s="1691" t="s">
        <v>32</v>
      </c>
      <c r="C47" s="1692">
        <f>SUM(C44:C46)</f>
        <v>210066</v>
      </c>
      <c r="D47" s="1692">
        <f t="shared" ref="D47:K47" si="4">SUM(D44:D46)</f>
        <v>35361</v>
      </c>
      <c r="E47" s="1692">
        <f t="shared" si="4"/>
        <v>91494</v>
      </c>
      <c r="F47" s="1692">
        <f t="shared" si="4"/>
        <v>453305</v>
      </c>
      <c r="G47" s="1692">
        <f t="shared" si="4"/>
        <v>47419</v>
      </c>
      <c r="H47" s="1692">
        <f t="shared" si="4"/>
        <v>385</v>
      </c>
      <c r="I47" s="1692">
        <f t="shared" si="4"/>
        <v>0</v>
      </c>
      <c r="J47" s="1692">
        <f t="shared" si="4"/>
        <v>0</v>
      </c>
      <c r="K47" s="1692">
        <f t="shared" si="4"/>
        <v>838030</v>
      </c>
      <c r="L47" s="1692">
        <f>SUM(L44:L46)</f>
        <v>572119</v>
      </c>
    </row>
    <row r="48" spans="1:14" ht="15.75" customHeight="1" thickTop="1" x14ac:dyDescent="0.2">
      <c r="A48" s="625" t="s">
        <v>631</v>
      </c>
      <c r="B48" s="626"/>
      <c r="C48" s="627"/>
      <c r="D48" s="627"/>
      <c r="E48" s="627"/>
      <c r="F48" s="627"/>
      <c r="G48" s="627"/>
      <c r="H48" s="627"/>
      <c r="I48" s="617"/>
      <c r="J48" s="617"/>
      <c r="K48" s="627"/>
      <c r="L48" s="627"/>
    </row>
    <row r="49" spans="1:14" x14ac:dyDescent="0.2">
      <c r="A49" s="1526" t="s">
        <v>871</v>
      </c>
      <c r="B49" s="615">
        <v>2310</v>
      </c>
      <c r="C49" s="481"/>
      <c r="D49" s="481">
        <v>39834</v>
      </c>
      <c r="E49" s="481">
        <v>90697</v>
      </c>
      <c r="F49" s="481">
        <v>2372</v>
      </c>
      <c r="G49" s="481"/>
      <c r="H49" s="481">
        <v>22431</v>
      </c>
      <c r="I49" s="467"/>
      <c r="J49" s="467"/>
      <c r="K49" s="1694">
        <f>SUM(C49:J49)</f>
        <v>155334</v>
      </c>
      <c r="L49" s="481">
        <v>158300</v>
      </c>
    </row>
    <row r="50" spans="1:14" x14ac:dyDescent="0.2">
      <c r="A50" s="1526" t="s">
        <v>872</v>
      </c>
      <c r="B50" s="615">
        <v>2320</v>
      </c>
      <c r="C50" s="466">
        <v>401554</v>
      </c>
      <c r="D50" s="466">
        <v>55856</v>
      </c>
      <c r="E50" s="466">
        <v>57218</v>
      </c>
      <c r="F50" s="466">
        <v>9132</v>
      </c>
      <c r="G50" s="466"/>
      <c r="H50" s="466">
        <v>2582</v>
      </c>
      <c r="I50" s="467"/>
      <c r="J50" s="467"/>
      <c r="K50" s="1694">
        <f>SUM(C50:J50)</f>
        <v>526342</v>
      </c>
      <c r="L50" s="466">
        <v>506079</v>
      </c>
    </row>
    <row r="51" spans="1:14" x14ac:dyDescent="0.2">
      <c r="A51" s="1526" t="s">
        <v>44</v>
      </c>
      <c r="B51" s="615">
        <v>2330</v>
      </c>
      <c r="C51" s="466"/>
      <c r="D51" s="466"/>
      <c r="E51" s="466"/>
      <c r="F51" s="466"/>
      <c r="G51" s="466"/>
      <c r="H51" s="466"/>
      <c r="I51" s="467"/>
      <c r="J51" s="467"/>
      <c r="K51" s="1694">
        <f>SUM(C51:J51)</f>
        <v>0</v>
      </c>
      <c r="L51" s="466"/>
    </row>
    <row r="52" spans="1:14" ht="22.5" x14ac:dyDescent="0.2">
      <c r="A52" s="1527" t="s">
        <v>316</v>
      </c>
      <c r="B52" s="628" t="s">
        <v>384</v>
      </c>
      <c r="C52" s="474"/>
      <c r="D52" s="474"/>
      <c r="E52" s="474"/>
      <c r="F52" s="474"/>
      <c r="G52" s="474"/>
      <c r="H52" s="474"/>
      <c r="I52" s="474"/>
      <c r="J52" s="474"/>
      <c r="K52" s="1694">
        <f>SUM(C52:J52)</f>
        <v>0</v>
      </c>
      <c r="L52" s="474"/>
    </row>
    <row r="53" spans="1:14" ht="12.75" customHeight="1" thickBot="1" x14ac:dyDescent="0.25">
      <c r="A53" s="1690" t="s">
        <v>741</v>
      </c>
      <c r="B53" s="1691" t="s">
        <v>33</v>
      </c>
      <c r="C53" s="1692">
        <f>SUM(C49:C52)</f>
        <v>401554</v>
      </c>
      <c r="D53" s="1692">
        <f t="shared" ref="D53:L53" si="5">SUM(D49:D52)</f>
        <v>95690</v>
      </c>
      <c r="E53" s="1692">
        <f t="shared" si="5"/>
        <v>147915</v>
      </c>
      <c r="F53" s="1692">
        <f t="shared" si="5"/>
        <v>11504</v>
      </c>
      <c r="G53" s="1692">
        <f t="shared" si="5"/>
        <v>0</v>
      </c>
      <c r="H53" s="1692">
        <f t="shared" si="5"/>
        <v>25013</v>
      </c>
      <c r="I53" s="1692">
        <f t="shared" si="5"/>
        <v>0</v>
      </c>
      <c r="J53" s="1692">
        <f t="shared" si="5"/>
        <v>0</v>
      </c>
      <c r="K53" s="1692">
        <f t="shared" si="5"/>
        <v>681676</v>
      </c>
      <c r="L53" s="1692">
        <f t="shared" si="5"/>
        <v>664379</v>
      </c>
    </row>
    <row r="54" spans="1:14" ht="15.75" customHeight="1" thickTop="1" x14ac:dyDescent="0.2">
      <c r="A54" s="625" t="s">
        <v>632</v>
      </c>
      <c r="B54" s="626"/>
      <c r="C54" s="627"/>
      <c r="D54" s="627"/>
      <c r="E54" s="627"/>
      <c r="F54" s="627"/>
      <c r="G54" s="627"/>
      <c r="H54" s="627"/>
      <c r="I54" s="617"/>
      <c r="J54" s="617"/>
      <c r="K54" s="627"/>
      <c r="L54" s="627"/>
    </row>
    <row r="55" spans="1:14" x14ac:dyDescent="0.2">
      <c r="A55" s="1526" t="s">
        <v>1127</v>
      </c>
      <c r="B55" s="615">
        <v>2410</v>
      </c>
      <c r="C55" s="481">
        <v>1041664</v>
      </c>
      <c r="D55" s="481">
        <v>237898</v>
      </c>
      <c r="E55" s="481">
        <v>73957</v>
      </c>
      <c r="F55" s="481">
        <v>8681</v>
      </c>
      <c r="G55" s="481"/>
      <c r="H55" s="481">
        <v>7656</v>
      </c>
      <c r="I55" s="467"/>
      <c r="J55" s="467"/>
      <c r="K55" s="1694">
        <f>SUM(C55:J55)</f>
        <v>1369856</v>
      </c>
      <c r="L55" s="481">
        <v>1375219</v>
      </c>
    </row>
    <row r="56" spans="1:14" ht="12.75" customHeight="1" x14ac:dyDescent="0.2">
      <c r="A56" s="1530" t="s">
        <v>394</v>
      </c>
      <c r="B56" s="629">
        <v>2490</v>
      </c>
      <c r="C56" s="466"/>
      <c r="D56" s="466"/>
      <c r="E56" s="466"/>
      <c r="F56" s="466"/>
      <c r="G56" s="466"/>
      <c r="H56" s="466"/>
      <c r="I56" s="467"/>
      <c r="J56" s="467"/>
      <c r="K56" s="1694">
        <f>SUM(C56:J56)</f>
        <v>0</v>
      </c>
      <c r="L56" s="466"/>
    </row>
    <row r="57" spans="1:14" s="343" customFormat="1" ht="12.75" customHeight="1" thickBot="1" x14ac:dyDescent="0.25">
      <c r="A57" s="1690" t="s">
        <v>281</v>
      </c>
      <c r="B57" s="1695" t="s">
        <v>34</v>
      </c>
      <c r="C57" s="1696">
        <f>SUM(C55:C56)</f>
        <v>1041664</v>
      </c>
      <c r="D57" s="1696">
        <f t="shared" ref="D57:K57" si="6">SUM(D55:D56)</f>
        <v>237898</v>
      </c>
      <c r="E57" s="1696">
        <f t="shared" si="6"/>
        <v>73957</v>
      </c>
      <c r="F57" s="1696">
        <f t="shared" si="6"/>
        <v>8681</v>
      </c>
      <c r="G57" s="1696">
        <f t="shared" si="6"/>
        <v>0</v>
      </c>
      <c r="H57" s="1696">
        <f t="shared" si="6"/>
        <v>7656</v>
      </c>
      <c r="I57" s="1696">
        <f t="shared" si="6"/>
        <v>0</v>
      </c>
      <c r="J57" s="1696">
        <f t="shared" si="6"/>
        <v>0</v>
      </c>
      <c r="K57" s="1696">
        <f t="shared" si="6"/>
        <v>1369856</v>
      </c>
      <c r="L57" s="1692">
        <f>SUM(L55:L56)</f>
        <v>1375219</v>
      </c>
      <c r="M57" s="610"/>
      <c r="N57" s="610"/>
    </row>
    <row r="58" spans="1:14" s="343" customFormat="1" ht="15.75" customHeight="1" thickTop="1" x14ac:dyDescent="0.2">
      <c r="A58" s="625" t="s">
        <v>633</v>
      </c>
      <c r="B58" s="626"/>
      <c r="C58" s="630"/>
      <c r="D58" s="627"/>
      <c r="E58" s="627"/>
      <c r="F58" s="627"/>
      <c r="G58" s="627"/>
      <c r="H58" s="627"/>
      <c r="I58" s="617"/>
      <c r="J58" s="617"/>
      <c r="K58" s="627"/>
      <c r="L58" s="627"/>
      <c r="M58" s="610"/>
      <c r="N58" s="610"/>
    </row>
    <row r="59" spans="1:14" s="343" customFormat="1" x14ac:dyDescent="0.2">
      <c r="A59" s="1526" t="s">
        <v>1128</v>
      </c>
      <c r="B59" s="615">
        <v>2510</v>
      </c>
      <c r="C59" s="481"/>
      <c r="D59" s="481"/>
      <c r="E59" s="481"/>
      <c r="F59" s="481"/>
      <c r="G59" s="481"/>
      <c r="H59" s="481"/>
      <c r="I59" s="467"/>
      <c r="J59" s="467"/>
      <c r="K59" s="1694">
        <f t="shared" ref="K59:K64" si="7">SUM(C59:J59)</f>
        <v>0</v>
      </c>
      <c r="L59" s="481"/>
      <c r="M59" s="610"/>
      <c r="N59" s="610"/>
    </row>
    <row r="60" spans="1:14" s="343" customFormat="1" x14ac:dyDescent="0.2">
      <c r="A60" s="1526" t="s">
        <v>483</v>
      </c>
      <c r="B60" s="615">
        <v>2520</v>
      </c>
      <c r="C60" s="466">
        <v>87923</v>
      </c>
      <c r="D60" s="466">
        <v>9930</v>
      </c>
      <c r="E60" s="466"/>
      <c r="F60" s="466"/>
      <c r="G60" s="466"/>
      <c r="H60" s="466">
        <v>855</v>
      </c>
      <c r="I60" s="467"/>
      <c r="J60" s="467"/>
      <c r="K60" s="1694">
        <f t="shared" si="7"/>
        <v>98708</v>
      </c>
      <c r="L60" s="466">
        <v>116511</v>
      </c>
      <c r="M60" s="610"/>
      <c r="N60" s="610"/>
    </row>
    <row r="61" spans="1:14" s="343" customFormat="1" x14ac:dyDescent="0.2">
      <c r="A61" s="1526" t="s">
        <v>206</v>
      </c>
      <c r="B61" s="615">
        <v>2540</v>
      </c>
      <c r="C61" s="466"/>
      <c r="D61" s="466"/>
      <c r="E61" s="466"/>
      <c r="F61" s="466"/>
      <c r="G61" s="466"/>
      <c r="H61" s="466"/>
      <c r="I61" s="467"/>
      <c r="J61" s="467"/>
      <c r="K61" s="1694">
        <f t="shared" si="7"/>
        <v>0</v>
      </c>
      <c r="L61" s="466"/>
      <c r="M61" s="610"/>
      <c r="N61" s="610"/>
    </row>
    <row r="62" spans="1:14" s="343" customFormat="1" x14ac:dyDescent="0.2">
      <c r="A62" s="1526" t="s">
        <v>1010</v>
      </c>
      <c r="B62" s="615">
        <v>2550</v>
      </c>
      <c r="C62" s="466"/>
      <c r="D62" s="466"/>
      <c r="E62" s="466"/>
      <c r="F62" s="466"/>
      <c r="G62" s="466"/>
      <c r="H62" s="466"/>
      <c r="I62" s="467"/>
      <c r="J62" s="467"/>
      <c r="K62" s="1694">
        <f t="shared" si="7"/>
        <v>0</v>
      </c>
      <c r="L62" s="466"/>
      <c r="M62" s="610"/>
      <c r="N62" s="610"/>
    </row>
    <row r="63" spans="1:14" s="610" customFormat="1" x14ac:dyDescent="0.2">
      <c r="A63" s="1526" t="s">
        <v>102</v>
      </c>
      <c r="B63" s="615">
        <v>2560</v>
      </c>
      <c r="C63" s="466">
        <v>277257</v>
      </c>
      <c r="D63" s="466">
        <v>79684</v>
      </c>
      <c r="E63" s="466">
        <v>16970</v>
      </c>
      <c r="F63" s="466">
        <v>391214</v>
      </c>
      <c r="G63" s="466">
        <v>13350</v>
      </c>
      <c r="H63" s="466">
        <v>1140</v>
      </c>
      <c r="I63" s="467"/>
      <c r="J63" s="467"/>
      <c r="K63" s="1694">
        <f t="shared" si="7"/>
        <v>779615</v>
      </c>
      <c r="L63" s="466">
        <v>865146</v>
      </c>
    </row>
    <row r="64" spans="1:14" s="610" customFormat="1" x14ac:dyDescent="0.2">
      <c r="A64" s="1531" t="s">
        <v>103</v>
      </c>
      <c r="B64" s="631">
        <v>2570</v>
      </c>
      <c r="C64" s="481">
        <v>34091</v>
      </c>
      <c r="D64" s="481">
        <v>348</v>
      </c>
      <c r="E64" s="481">
        <v>299</v>
      </c>
      <c r="F64" s="481">
        <v>9710</v>
      </c>
      <c r="G64" s="481"/>
      <c r="H64" s="481"/>
      <c r="I64" s="467"/>
      <c r="J64" s="467"/>
      <c r="K64" s="1694">
        <f t="shared" si="7"/>
        <v>44448</v>
      </c>
      <c r="L64" s="481">
        <v>58345</v>
      </c>
    </row>
    <row r="65" spans="1:14" s="343" customFormat="1" ht="12.75" customHeight="1" thickBot="1" x14ac:dyDescent="0.25">
      <c r="A65" s="1690" t="s">
        <v>743</v>
      </c>
      <c r="B65" s="1691" t="s">
        <v>35</v>
      </c>
      <c r="C65" s="1692">
        <f>SUM(C59:C64)</f>
        <v>399271</v>
      </c>
      <c r="D65" s="1692">
        <f t="shared" ref="D65:L65" si="8">SUM(D59:D64)</f>
        <v>89962</v>
      </c>
      <c r="E65" s="1692">
        <f t="shared" si="8"/>
        <v>17269</v>
      </c>
      <c r="F65" s="1692">
        <f t="shared" si="8"/>
        <v>400924</v>
      </c>
      <c r="G65" s="1692">
        <f t="shared" si="8"/>
        <v>13350</v>
      </c>
      <c r="H65" s="1692">
        <f t="shared" si="8"/>
        <v>1995</v>
      </c>
      <c r="I65" s="1692">
        <f t="shared" si="8"/>
        <v>0</v>
      </c>
      <c r="J65" s="1692">
        <f t="shared" si="8"/>
        <v>0</v>
      </c>
      <c r="K65" s="1692">
        <f t="shared" si="8"/>
        <v>922771</v>
      </c>
      <c r="L65" s="1692">
        <f t="shared" si="8"/>
        <v>1040002</v>
      </c>
      <c r="M65" s="610"/>
      <c r="N65" s="610"/>
    </row>
    <row r="66" spans="1:14" s="343" customFormat="1" ht="15.75" customHeight="1" thickTop="1" x14ac:dyDescent="0.2">
      <c r="A66" s="625" t="s">
        <v>634</v>
      </c>
      <c r="B66" s="632"/>
      <c r="C66" s="617"/>
      <c r="D66" s="617"/>
      <c r="E66" s="617"/>
      <c r="F66" s="617"/>
      <c r="G66" s="617"/>
      <c r="H66" s="617"/>
      <c r="I66" s="617"/>
      <c r="J66" s="617"/>
      <c r="K66" s="627"/>
      <c r="L66" s="627"/>
      <c r="M66" s="610"/>
      <c r="N66" s="610"/>
    </row>
    <row r="67" spans="1:14" s="343" customFormat="1" x14ac:dyDescent="0.2">
      <c r="A67" s="1526" t="s">
        <v>1120</v>
      </c>
      <c r="B67" s="615">
        <v>2610</v>
      </c>
      <c r="C67" s="466"/>
      <c r="D67" s="466"/>
      <c r="E67" s="466"/>
      <c r="F67" s="466"/>
      <c r="G67" s="466"/>
      <c r="H67" s="466"/>
      <c r="I67" s="467"/>
      <c r="J67" s="467"/>
      <c r="K67" s="1694">
        <f>SUM(C67:J67)</f>
        <v>0</v>
      </c>
      <c r="L67" s="481"/>
      <c r="M67" s="610"/>
      <c r="N67" s="610"/>
    </row>
    <row r="68" spans="1:14" s="343" customFormat="1" x14ac:dyDescent="0.2">
      <c r="A68" s="1526" t="s">
        <v>628</v>
      </c>
      <c r="B68" s="615">
        <v>2620</v>
      </c>
      <c r="C68" s="466"/>
      <c r="D68" s="466"/>
      <c r="E68" s="466"/>
      <c r="F68" s="466"/>
      <c r="G68" s="466"/>
      <c r="H68" s="466"/>
      <c r="I68" s="467"/>
      <c r="J68" s="467"/>
      <c r="K68" s="1694">
        <f>SUM(C68:J68)</f>
        <v>0</v>
      </c>
      <c r="L68" s="466"/>
      <c r="M68" s="610"/>
      <c r="N68" s="610"/>
    </row>
    <row r="69" spans="1:14" s="343" customFormat="1" x14ac:dyDescent="0.2">
      <c r="A69" s="1526" t="s">
        <v>1121</v>
      </c>
      <c r="B69" s="615">
        <v>2630</v>
      </c>
      <c r="C69" s="466"/>
      <c r="D69" s="466"/>
      <c r="E69" s="466"/>
      <c r="F69" s="466"/>
      <c r="G69" s="466"/>
      <c r="H69" s="466"/>
      <c r="I69" s="467"/>
      <c r="J69" s="467"/>
      <c r="K69" s="1694">
        <f>SUM(C69:J69)</f>
        <v>0</v>
      </c>
      <c r="L69" s="466"/>
      <c r="M69" s="610"/>
      <c r="N69" s="610"/>
    </row>
    <row r="70" spans="1:14" s="343" customFormat="1" x14ac:dyDescent="0.2">
      <c r="A70" s="1526" t="s">
        <v>423</v>
      </c>
      <c r="B70" s="615">
        <v>2640</v>
      </c>
      <c r="C70" s="466"/>
      <c r="D70" s="466"/>
      <c r="E70" s="466"/>
      <c r="F70" s="466"/>
      <c r="G70" s="466"/>
      <c r="H70" s="466"/>
      <c r="I70" s="467"/>
      <c r="J70" s="467"/>
      <c r="K70" s="1694">
        <f>SUM(C70:J70)</f>
        <v>0</v>
      </c>
      <c r="L70" s="466"/>
      <c r="M70" s="610"/>
      <c r="N70" s="610"/>
    </row>
    <row r="71" spans="1:14" s="343" customFormat="1" x14ac:dyDescent="0.2">
      <c r="A71" s="1526" t="s">
        <v>424</v>
      </c>
      <c r="B71" s="615">
        <v>2660</v>
      </c>
      <c r="C71" s="466"/>
      <c r="D71" s="466"/>
      <c r="E71" s="466">
        <v>73073</v>
      </c>
      <c r="F71" s="466"/>
      <c r="G71" s="466"/>
      <c r="H71" s="466"/>
      <c r="I71" s="467"/>
      <c r="J71" s="467"/>
      <c r="K71" s="1694">
        <f>SUM(C71:J71)</f>
        <v>73073</v>
      </c>
      <c r="L71" s="466">
        <v>75000</v>
      </c>
      <c r="M71" s="610"/>
      <c r="N71" s="610"/>
    </row>
    <row r="72" spans="1:14" s="343" customFormat="1" ht="12.75" customHeight="1" thickBot="1" x14ac:dyDescent="0.25">
      <c r="A72" s="1690" t="s">
        <v>37</v>
      </c>
      <c r="B72" s="1697" t="s">
        <v>36</v>
      </c>
      <c r="C72" s="1692">
        <f>SUM(C67:C71)</f>
        <v>0</v>
      </c>
      <c r="D72" s="1692">
        <f t="shared" ref="D72:K72" si="9">SUM(D67:D71)</f>
        <v>0</v>
      </c>
      <c r="E72" s="1692">
        <f t="shared" si="9"/>
        <v>73073</v>
      </c>
      <c r="F72" s="1692">
        <f t="shared" si="9"/>
        <v>0</v>
      </c>
      <c r="G72" s="1692">
        <f t="shared" si="9"/>
        <v>0</v>
      </c>
      <c r="H72" s="1692">
        <f t="shared" si="9"/>
        <v>0</v>
      </c>
      <c r="I72" s="1692">
        <f t="shared" si="9"/>
        <v>0</v>
      </c>
      <c r="J72" s="1692">
        <f t="shared" si="9"/>
        <v>0</v>
      </c>
      <c r="K72" s="1692">
        <f t="shared" si="9"/>
        <v>73073</v>
      </c>
      <c r="L72" s="1692">
        <f>SUM(L67:L71)</f>
        <v>75000</v>
      </c>
      <c r="M72" s="610"/>
      <c r="N72" s="610"/>
    </row>
    <row r="73" spans="1:14" s="343" customFormat="1" ht="14.25" thickTop="1" thickBot="1" x14ac:dyDescent="0.25">
      <c r="A73" s="1532" t="s">
        <v>1037</v>
      </c>
      <c r="B73" s="633" t="s">
        <v>595</v>
      </c>
      <c r="C73" s="573"/>
      <c r="D73" s="573"/>
      <c r="E73" s="573"/>
      <c r="F73" s="573"/>
      <c r="G73" s="573"/>
      <c r="H73" s="573"/>
      <c r="I73" s="531"/>
      <c r="J73" s="531"/>
      <c r="K73" s="1692">
        <f>SUM(C73:J73)</f>
        <v>0</v>
      </c>
      <c r="L73" s="576"/>
      <c r="M73" s="610"/>
      <c r="N73" s="610"/>
    </row>
    <row r="74" spans="1:14" ht="12.75" customHeight="1" thickTop="1" thickBot="1" x14ac:dyDescent="0.25">
      <c r="A74" s="1690" t="s">
        <v>865</v>
      </c>
      <c r="B74" s="1698">
        <v>2000</v>
      </c>
      <c r="C74" s="1699">
        <f>SUM(C42,C47,C53,C57,C65,C72,C73)</f>
        <v>3037567</v>
      </c>
      <c r="D74" s="1699">
        <f t="shared" ref="D74:K74" si="10">SUM(D42,D47,D53,D57,D65,D72,D73)</f>
        <v>610666</v>
      </c>
      <c r="E74" s="1699">
        <f t="shared" si="10"/>
        <v>517823</v>
      </c>
      <c r="F74" s="1699">
        <f t="shared" si="10"/>
        <v>889376</v>
      </c>
      <c r="G74" s="1699">
        <f t="shared" si="10"/>
        <v>62749</v>
      </c>
      <c r="H74" s="1699">
        <f t="shared" si="10"/>
        <v>35049</v>
      </c>
      <c r="I74" s="1699">
        <f t="shared" si="10"/>
        <v>0</v>
      </c>
      <c r="J74" s="1699">
        <f t="shared" si="10"/>
        <v>0</v>
      </c>
      <c r="K74" s="1699">
        <f t="shared" si="10"/>
        <v>5153230</v>
      </c>
      <c r="L74" s="1699">
        <f>SUM(L42,L47,L53,L57,L65,L72,L73)</f>
        <v>5066798</v>
      </c>
    </row>
    <row r="75" spans="1:14" s="259" customFormat="1" ht="15.75" customHeight="1" thickTop="1" thickBot="1" x14ac:dyDescent="0.25">
      <c r="A75" s="1632" t="s">
        <v>49</v>
      </c>
      <c r="B75" s="1633" t="s">
        <v>596</v>
      </c>
      <c r="C75" s="573"/>
      <c r="D75" s="573"/>
      <c r="E75" s="573">
        <v>39186</v>
      </c>
      <c r="F75" s="573"/>
      <c r="G75" s="573"/>
      <c r="H75" s="573"/>
      <c r="I75" s="531"/>
      <c r="J75" s="531"/>
      <c r="K75" s="1692">
        <f>SUM(C75:J75)</f>
        <v>39186</v>
      </c>
      <c r="L75" s="576">
        <v>39186</v>
      </c>
      <c r="M75" s="614"/>
      <c r="N75" s="614"/>
    </row>
    <row r="76" spans="1:14" s="634" customFormat="1" ht="15.75" customHeight="1" thickTop="1" x14ac:dyDescent="0.2">
      <c r="A76" s="1634" t="s">
        <v>383</v>
      </c>
      <c r="B76" s="1631" t="s">
        <v>915</v>
      </c>
      <c r="C76" s="619"/>
      <c r="D76" s="619"/>
      <c r="E76" s="617"/>
      <c r="F76" s="619"/>
      <c r="G76" s="619"/>
      <c r="H76" s="617"/>
      <c r="I76" s="617"/>
      <c r="J76" s="617"/>
      <c r="K76" s="617"/>
      <c r="L76" s="617"/>
      <c r="M76" s="184"/>
      <c r="N76" s="184"/>
    </row>
    <row r="77" spans="1:14" s="259" customFormat="1" ht="15.75" customHeight="1" x14ac:dyDescent="0.2">
      <c r="A77" s="622" t="s">
        <v>635</v>
      </c>
      <c r="B77" s="623"/>
      <c r="C77" s="617"/>
      <c r="D77" s="617"/>
      <c r="E77" s="624"/>
      <c r="F77" s="617"/>
      <c r="G77" s="617"/>
      <c r="H77" s="624"/>
      <c r="I77" s="617"/>
      <c r="J77" s="617"/>
      <c r="K77" s="624"/>
      <c r="L77" s="624"/>
      <c r="M77" s="614"/>
      <c r="N77" s="614"/>
    </row>
    <row r="78" spans="1:14" x14ac:dyDescent="0.2">
      <c r="A78" s="1526" t="s">
        <v>517</v>
      </c>
      <c r="B78" s="615">
        <v>4110</v>
      </c>
      <c r="C78" s="617"/>
      <c r="D78" s="617"/>
      <c r="E78" s="481"/>
      <c r="F78" s="617"/>
      <c r="G78" s="617"/>
      <c r="H78" s="635"/>
      <c r="I78" s="477"/>
      <c r="J78" s="477"/>
      <c r="K78" s="1693">
        <f t="shared" ref="K78:K83" si="11">SUM(C78:J78)</f>
        <v>0</v>
      </c>
      <c r="L78" s="481"/>
    </row>
    <row r="79" spans="1:14" x14ac:dyDescent="0.2">
      <c r="A79" s="1526" t="s">
        <v>322</v>
      </c>
      <c r="B79" s="615">
        <v>4120</v>
      </c>
      <c r="C79" s="617"/>
      <c r="D79" s="617"/>
      <c r="E79" s="466"/>
      <c r="F79" s="617"/>
      <c r="G79" s="617"/>
      <c r="H79" s="466"/>
      <c r="I79" s="477"/>
      <c r="J79" s="477"/>
      <c r="K79" s="1693">
        <f t="shared" si="11"/>
        <v>0</v>
      </c>
      <c r="L79" s="466"/>
    </row>
    <row r="80" spans="1:14" x14ac:dyDescent="0.2">
      <c r="A80" s="1526" t="s">
        <v>323</v>
      </c>
      <c r="B80" s="615">
        <v>4130</v>
      </c>
      <c r="C80" s="617"/>
      <c r="D80" s="617"/>
      <c r="E80" s="466"/>
      <c r="F80" s="617"/>
      <c r="G80" s="617"/>
      <c r="H80" s="466"/>
      <c r="I80" s="477"/>
      <c r="J80" s="477"/>
      <c r="K80" s="1693">
        <f t="shared" si="11"/>
        <v>0</v>
      </c>
      <c r="L80" s="466"/>
    </row>
    <row r="81" spans="1:12" x14ac:dyDescent="0.2">
      <c r="A81" s="1526" t="s">
        <v>721</v>
      </c>
      <c r="B81" s="615">
        <v>4140</v>
      </c>
      <c r="C81" s="617"/>
      <c r="D81" s="617"/>
      <c r="E81" s="466"/>
      <c r="F81" s="617"/>
      <c r="G81" s="617"/>
      <c r="H81" s="466"/>
      <c r="I81" s="477"/>
      <c r="J81" s="477"/>
      <c r="K81" s="1693">
        <f t="shared" si="11"/>
        <v>0</v>
      </c>
      <c r="L81" s="466"/>
    </row>
    <row r="82" spans="1:12" x14ac:dyDescent="0.2">
      <c r="A82" s="1526" t="s">
        <v>88</v>
      </c>
      <c r="B82" s="615">
        <v>4170</v>
      </c>
      <c r="C82" s="617"/>
      <c r="D82" s="617"/>
      <c r="E82" s="466"/>
      <c r="F82" s="617"/>
      <c r="G82" s="617"/>
      <c r="H82" s="466"/>
      <c r="I82" s="477"/>
      <c r="J82" s="477"/>
      <c r="K82" s="1693">
        <f t="shared" si="11"/>
        <v>0</v>
      </c>
      <c r="L82" s="466"/>
    </row>
    <row r="83" spans="1:12" x14ac:dyDescent="0.2">
      <c r="A83" s="1530" t="s">
        <v>722</v>
      </c>
      <c r="B83" s="629">
        <v>4190</v>
      </c>
      <c r="C83" s="617"/>
      <c r="D83" s="617"/>
      <c r="E83" s="466"/>
      <c r="F83" s="617"/>
      <c r="G83" s="617"/>
      <c r="H83" s="466"/>
      <c r="I83" s="477"/>
      <c r="J83" s="477"/>
      <c r="K83" s="1693">
        <f t="shared" si="11"/>
        <v>0</v>
      </c>
      <c r="L83" s="466"/>
    </row>
    <row r="84" spans="1:12" ht="13.5" thickBot="1" x14ac:dyDescent="0.25">
      <c r="A84" s="1690" t="s">
        <v>1565</v>
      </c>
      <c r="B84" s="1700">
        <v>4100</v>
      </c>
      <c r="C84" s="617"/>
      <c r="D84" s="617"/>
      <c r="E84" s="1692">
        <f>SUM(E78:E83)</f>
        <v>0</v>
      </c>
      <c r="F84" s="617"/>
      <c r="G84" s="617"/>
      <c r="H84" s="1692">
        <f>SUM(H78:H83)</f>
        <v>0</v>
      </c>
      <c r="I84" s="477"/>
      <c r="J84" s="477"/>
      <c r="K84" s="1692">
        <f>SUM(K78:K83)</f>
        <v>0</v>
      </c>
      <c r="L84" s="1692">
        <f>SUM(L78:L83)</f>
        <v>0</v>
      </c>
    </row>
    <row r="85" spans="1:12" ht="12.75" customHeight="1" thickTop="1" thickBot="1" x14ac:dyDescent="0.25">
      <c r="A85" s="1533" t="s">
        <v>273</v>
      </c>
      <c r="B85" s="636">
        <v>4210</v>
      </c>
      <c r="C85" s="617"/>
      <c r="D85" s="617"/>
      <c r="E85" s="637"/>
      <c r="F85" s="617"/>
      <c r="G85" s="617"/>
      <c r="H85" s="535">
        <v>1775</v>
      </c>
      <c r="I85" s="477"/>
      <c r="J85" s="477"/>
      <c r="K85" s="1699">
        <f>H85</f>
        <v>1775</v>
      </c>
      <c r="L85" s="530">
        <v>10000</v>
      </c>
    </row>
    <row r="86" spans="1:12" ht="12.75" customHeight="1" thickTop="1" thickBot="1" x14ac:dyDescent="0.25">
      <c r="A86" s="1534" t="s">
        <v>723</v>
      </c>
      <c r="B86" s="638">
        <v>4220</v>
      </c>
      <c r="C86" s="617"/>
      <c r="D86" s="617"/>
      <c r="E86" s="639"/>
      <c r="F86" s="617"/>
      <c r="G86" s="617"/>
      <c r="H86" s="467">
        <v>505522</v>
      </c>
      <c r="I86" s="477"/>
      <c r="J86" s="477"/>
      <c r="K86" s="1699">
        <f t="shared" ref="K86:K98" si="12">H86</f>
        <v>505522</v>
      </c>
      <c r="L86" s="530">
        <v>607500</v>
      </c>
    </row>
    <row r="87" spans="1:12" ht="14.25" thickTop="1" thickBot="1" x14ac:dyDescent="0.25">
      <c r="A87" s="1535" t="s">
        <v>724</v>
      </c>
      <c r="B87" s="640">
        <v>4230</v>
      </c>
      <c r="C87" s="617"/>
      <c r="D87" s="617"/>
      <c r="E87" s="639"/>
      <c r="F87" s="617"/>
      <c r="G87" s="617"/>
      <c r="H87" s="467"/>
      <c r="I87" s="477"/>
      <c r="J87" s="477"/>
      <c r="K87" s="1699">
        <f t="shared" si="12"/>
        <v>0</v>
      </c>
      <c r="L87" s="530"/>
    </row>
    <row r="88" spans="1:12" ht="12.75" customHeight="1" thickTop="1" thickBot="1" x14ac:dyDescent="0.25">
      <c r="A88" s="1535" t="s">
        <v>789</v>
      </c>
      <c r="B88" s="640">
        <v>4240</v>
      </c>
      <c r="C88" s="617"/>
      <c r="D88" s="617"/>
      <c r="E88" s="639"/>
      <c r="F88" s="617"/>
      <c r="G88" s="617"/>
      <c r="H88" s="467"/>
      <c r="I88" s="477"/>
      <c r="J88" s="477"/>
      <c r="K88" s="1699">
        <f t="shared" si="12"/>
        <v>0</v>
      </c>
      <c r="L88" s="530"/>
    </row>
    <row r="89" spans="1:12" ht="12.75" customHeight="1" thickTop="1" thickBot="1" x14ac:dyDescent="0.25">
      <c r="A89" s="1535" t="s">
        <v>725</v>
      </c>
      <c r="B89" s="640">
        <v>4270</v>
      </c>
      <c r="C89" s="617"/>
      <c r="D89" s="617"/>
      <c r="E89" s="639"/>
      <c r="F89" s="617"/>
      <c r="G89" s="617"/>
      <c r="H89" s="467"/>
      <c r="I89" s="477"/>
      <c r="J89" s="477"/>
      <c r="K89" s="1699">
        <f t="shared" si="12"/>
        <v>0</v>
      </c>
      <c r="L89" s="530"/>
    </row>
    <row r="90" spans="1:12" ht="12.75" customHeight="1" thickTop="1" thickBot="1" x14ac:dyDescent="0.25">
      <c r="A90" s="1535" t="s">
        <v>710</v>
      </c>
      <c r="B90" s="640">
        <v>4280</v>
      </c>
      <c r="C90" s="617"/>
      <c r="D90" s="617"/>
      <c r="E90" s="639"/>
      <c r="F90" s="617"/>
      <c r="G90" s="617"/>
      <c r="H90" s="467"/>
      <c r="I90" s="477"/>
      <c r="J90" s="477"/>
      <c r="K90" s="1699">
        <f t="shared" si="12"/>
        <v>0</v>
      </c>
      <c r="L90" s="530"/>
    </row>
    <row r="91" spans="1:12" ht="12.75" customHeight="1" thickTop="1" thickBot="1" x14ac:dyDescent="0.25">
      <c r="A91" s="1535" t="s">
        <v>711</v>
      </c>
      <c r="B91" s="640">
        <v>4290</v>
      </c>
      <c r="C91" s="617"/>
      <c r="D91" s="617"/>
      <c r="E91" s="639"/>
      <c r="F91" s="617"/>
      <c r="G91" s="617"/>
      <c r="H91" s="467"/>
      <c r="I91" s="477"/>
      <c r="J91" s="477"/>
      <c r="K91" s="1699">
        <f t="shared" si="12"/>
        <v>0</v>
      </c>
      <c r="L91" s="530"/>
    </row>
    <row r="92" spans="1:12" ht="14.25" thickTop="1" thickBot="1" x14ac:dyDescent="0.25">
      <c r="A92" s="1702" t="s">
        <v>1641</v>
      </c>
      <c r="B92" s="1700">
        <v>4200</v>
      </c>
      <c r="C92" s="617"/>
      <c r="D92" s="617"/>
      <c r="E92" s="639"/>
      <c r="F92" s="617"/>
      <c r="G92" s="617"/>
      <c r="H92" s="1692">
        <f>SUM(H85:H91)</f>
        <v>507297</v>
      </c>
      <c r="I92" s="477"/>
      <c r="J92" s="477"/>
      <c r="K92" s="1699">
        <f t="shared" si="12"/>
        <v>507297</v>
      </c>
      <c r="L92" s="1692">
        <f>SUM(L85:L91)</f>
        <v>617500</v>
      </c>
    </row>
    <row r="93" spans="1:12" ht="14.25" thickTop="1" thickBot="1" x14ac:dyDescent="0.25">
      <c r="A93" s="1534" t="s">
        <v>712</v>
      </c>
      <c r="B93" s="641">
        <v>4310</v>
      </c>
      <c r="C93" s="617"/>
      <c r="D93" s="617"/>
      <c r="E93" s="639"/>
      <c r="F93" s="617"/>
      <c r="G93" s="617"/>
      <c r="H93" s="642"/>
      <c r="I93" s="477"/>
      <c r="J93" s="477"/>
      <c r="K93" s="1699">
        <f t="shared" si="12"/>
        <v>0</v>
      </c>
      <c r="L93" s="532"/>
    </row>
    <row r="94" spans="1:12" ht="12.75" customHeight="1" thickTop="1" thickBot="1" x14ac:dyDescent="0.25">
      <c r="A94" s="1535" t="s">
        <v>713</v>
      </c>
      <c r="B94" s="640">
        <v>4320</v>
      </c>
      <c r="C94" s="617"/>
      <c r="D94" s="617"/>
      <c r="E94" s="639"/>
      <c r="F94" s="617"/>
      <c r="G94" s="617"/>
      <c r="H94" s="467"/>
      <c r="I94" s="477"/>
      <c r="J94" s="477"/>
      <c r="K94" s="1699">
        <f t="shared" si="12"/>
        <v>0</v>
      </c>
      <c r="L94" s="530"/>
    </row>
    <row r="95" spans="1:12" ht="15" customHeight="1" thickTop="1" thickBot="1" x14ac:dyDescent="0.25">
      <c r="A95" s="1535" t="s">
        <v>1568</v>
      </c>
      <c r="B95" s="640">
        <v>4330</v>
      </c>
      <c r="C95" s="617"/>
      <c r="D95" s="617"/>
      <c r="E95" s="639"/>
      <c r="F95" s="617"/>
      <c r="G95" s="617"/>
      <c r="H95" s="467"/>
      <c r="I95" s="477"/>
      <c r="J95" s="477"/>
      <c r="K95" s="1699">
        <f t="shared" si="12"/>
        <v>0</v>
      </c>
      <c r="L95" s="530"/>
    </row>
    <row r="96" spans="1:12" ht="14.25" thickTop="1" thickBot="1" x14ac:dyDescent="0.25">
      <c r="A96" s="1535" t="s">
        <v>714</v>
      </c>
      <c r="B96" s="640">
        <v>4340</v>
      </c>
      <c r="C96" s="617"/>
      <c r="D96" s="617"/>
      <c r="E96" s="639"/>
      <c r="F96" s="617"/>
      <c r="G96" s="617"/>
      <c r="H96" s="467"/>
      <c r="I96" s="477"/>
      <c r="J96" s="477"/>
      <c r="K96" s="1699">
        <f t="shared" si="12"/>
        <v>0</v>
      </c>
      <c r="L96" s="530"/>
    </row>
    <row r="97" spans="1:14" ht="12.75" customHeight="1" thickTop="1" thickBot="1" x14ac:dyDescent="0.25">
      <c r="A97" s="1535" t="s">
        <v>787</v>
      </c>
      <c r="B97" s="640">
        <v>4370</v>
      </c>
      <c r="C97" s="617"/>
      <c r="D97" s="617"/>
      <c r="E97" s="639"/>
      <c r="F97" s="617"/>
      <c r="G97" s="617"/>
      <c r="H97" s="467"/>
      <c r="I97" s="477"/>
      <c r="J97" s="477"/>
      <c r="K97" s="1699">
        <f t="shared" si="12"/>
        <v>0</v>
      </c>
      <c r="L97" s="530"/>
    </row>
    <row r="98" spans="1:14" ht="14.25" thickTop="1" thickBot="1" x14ac:dyDescent="0.25">
      <c r="A98" s="1535" t="s">
        <v>788</v>
      </c>
      <c r="B98" s="640">
        <v>4380</v>
      </c>
      <c r="C98" s="617"/>
      <c r="D98" s="617"/>
      <c r="E98" s="643"/>
      <c r="F98" s="617"/>
      <c r="G98" s="617"/>
      <c r="H98" s="467"/>
      <c r="I98" s="477"/>
      <c r="J98" s="477"/>
      <c r="K98" s="1699">
        <f t="shared" si="12"/>
        <v>0</v>
      </c>
      <c r="L98" s="530"/>
    </row>
    <row r="99" spans="1:14" ht="14.25" thickTop="1" thickBot="1" x14ac:dyDescent="0.25">
      <c r="A99" s="1535" t="s">
        <v>385</v>
      </c>
      <c r="B99" s="640">
        <v>4390</v>
      </c>
      <c r="C99" s="617"/>
      <c r="D99" s="617"/>
      <c r="E99" s="532"/>
      <c r="F99" s="617"/>
      <c r="G99" s="617"/>
      <c r="H99" s="467"/>
      <c r="I99" s="477"/>
      <c r="J99" s="477"/>
      <c r="K99" s="1699">
        <f>SUM(E99,H99)</f>
        <v>0</v>
      </c>
      <c r="L99" s="530"/>
    </row>
    <row r="100" spans="1:14" ht="14.25" thickTop="1" thickBot="1" x14ac:dyDescent="0.25">
      <c r="A100" s="1702" t="s">
        <v>1566</v>
      </c>
      <c r="B100" s="1703">
        <v>4300</v>
      </c>
      <c r="C100" s="617"/>
      <c r="D100" s="617"/>
      <c r="E100" s="1699">
        <f>SUM(E93:E99)</f>
        <v>0</v>
      </c>
      <c r="F100" s="617"/>
      <c r="G100" s="617"/>
      <c r="H100" s="1699">
        <f>SUM(H93:H99)</f>
        <v>0</v>
      </c>
      <c r="I100" s="477"/>
      <c r="J100" s="477"/>
      <c r="K100" s="1699">
        <f>SUM(K93:K99)</f>
        <v>0</v>
      </c>
      <c r="L100" s="1699">
        <f>SUM(L93:L99)</f>
        <v>0</v>
      </c>
    </row>
    <row r="101" spans="1:14" ht="12.75" customHeight="1" thickTop="1" thickBot="1" x14ac:dyDescent="0.25">
      <c r="A101" s="1532" t="s">
        <v>1569</v>
      </c>
      <c r="B101" s="644" t="s">
        <v>988</v>
      </c>
      <c r="C101" s="617"/>
      <c r="D101" s="617"/>
      <c r="E101" s="531"/>
      <c r="F101" s="617"/>
      <c r="G101" s="617"/>
      <c r="H101" s="531"/>
      <c r="I101" s="477"/>
      <c r="J101" s="477"/>
      <c r="K101" s="1701">
        <f>SUM(C101:J101)</f>
        <v>0</v>
      </c>
      <c r="L101" s="530"/>
    </row>
    <row r="102" spans="1:14" ht="12.75" customHeight="1" thickTop="1" thickBot="1" x14ac:dyDescent="0.25">
      <c r="A102" s="1690" t="s">
        <v>1567</v>
      </c>
      <c r="B102" s="1700">
        <v>4000</v>
      </c>
      <c r="C102" s="617"/>
      <c r="D102" s="617"/>
      <c r="E102" s="1699">
        <f>SUM(E84,E92,E100,E101)</f>
        <v>0</v>
      </c>
      <c r="F102" s="617"/>
      <c r="G102" s="617"/>
      <c r="H102" s="1699">
        <f>SUM(H84,H92,H100,H101)</f>
        <v>507297</v>
      </c>
      <c r="I102" s="477"/>
      <c r="J102" s="477"/>
      <c r="K102" s="1699">
        <f>SUM(K84,K92,K100,K101)</f>
        <v>507297</v>
      </c>
      <c r="L102" s="1699">
        <f>SUM(L84,L92,L100,L101)</f>
        <v>617500</v>
      </c>
    </row>
    <row r="103" spans="1:14" s="634" customFormat="1" ht="15.75" customHeight="1" thickTop="1" x14ac:dyDescent="0.2">
      <c r="A103" s="1634" t="s">
        <v>534</v>
      </c>
      <c r="B103" s="1631" t="s">
        <v>513</v>
      </c>
      <c r="C103" s="617"/>
      <c r="D103" s="617"/>
      <c r="E103" s="617"/>
      <c r="F103" s="617"/>
      <c r="G103" s="617"/>
      <c r="H103" s="619"/>
      <c r="I103" s="468"/>
      <c r="J103" s="468"/>
      <c r="K103" s="619"/>
      <c r="L103" s="619"/>
      <c r="M103" s="184"/>
      <c r="N103" s="184"/>
    </row>
    <row r="104" spans="1:14" s="647" customFormat="1" ht="15.75" customHeight="1" x14ac:dyDescent="0.2">
      <c r="A104" s="645" t="s">
        <v>636</v>
      </c>
      <c r="B104" s="646"/>
      <c r="C104" s="617"/>
      <c r="D104" s="617"/>
      <c r="E104" s="617"/>
      <c r="F104" s="617"/>
      <c r="G104" s="617"/>
      <c r="H104" s="624"/>
      <c r="I104" s="468"/>
      <c r="J104" s="468"/>
      <c r="K104" s="624"/>
      <c r="L104" s="624"/>
      <c r="M104" s="614"/>
      <c r="N104" s="614"/>
    </row>
    <row r="105" spans="1:14" s="598" customFormat="1" x14ac:dyDescent="0.2">
      <c r="A105" s="1526" t="s">
        <v>89</v>
      </c>
      <c r="B105" s="615">
        <v>5110</v>
      </c>
      <c r="C105" s="617"/>
      <c r="D105" s="617"/>
      <c r="E105" s="617"/>
      <c r="F105" s="617"/>
      <c r="G105" s="617"/>
      <c r="H105" s="481"/>
      <c r="I105" s="468"/>
      <c r="J105" s="468"/>
      <c r="K105" s="1693">
        <f>H105</f>
        <v>0</v>
      </c>
      <c r="L105" s="481"/>
      <c r="M105" s="210"/>
      <c r="N105" s="210"/>
    </row>
    <row r="106" spans="1:14" s="598" customFormat="1" x14ac:dyDescent="0.2">
      <c r="A106" s="1526" t="s">
        <v>90</v>
      </c>
      <c r="B106" s="615">
        <v>5120</v>
      </c>
      <c r="C106" s="617"/>
      <c r="D106" s="617"/>
      <c r="E106" s="617"/>
      <c r="F106" s="617"/>
      <c r="G106" s="617"/>
      <c r="H106" s="466"/>
      <c r="I106" s="468"/>
      <c r="J106" s="468"/>
      <c r="K106" s="1693">
        <f>H106</f>
        <v>0</v>
      </c>
      <c r="L106" s="466"/>
      <c r="M106" s="210"/>
      <c r="N106" s="210"/>
    </row>
    <row r="107" spans="1:14" s="598" customFormat="1" ht="12.75" customHeight="1" x14ac:dyDescent="0.2">
      <c r="A107" s="1526" t="s">
        <v>1232</v>
      </c>
      <c r="B107" s="615">
        <v>5130</v>
      </c>
      <c r="C107" s="617"/>
      <c r="D107" s="617"/>
      <c r="E107" s="617"/>
      <c r="F107" s="617"/>
      <c r="G107" s="617"/>
      <c r="H107" s="466"/>
      <c r="I107" s="468"/>
      <c r="J107" s="468"/>
      <c r="K107" s="1693">
        <f>H107</f>
        <v>0</v>
      </c>
      <c r="L107" s="466"/>
      <c r="M107" s="210"/>
      <c r="N107" s="210"/>
    </row>
    <row r="108" spans="1:14" s="598" customFormat="1" x14ac:dyDescent="0.2">
      <c r="A108" s="1526" t="s">
        <v>91</v>
      </c>
      <c r="B108" s="615" t="s">
        <v>610</v>
      </c>
      <c r="C108" s="617"/>
      <c r="D108" s="617"/>
      <c r="E108" s="617"/>
      <c r="F108" s="617"/>
      <c r="G108" s="617"/>
      <c r="H108" s="466"/>
      <c r="I108" s="468"/>
      <c r="J108" s="468"/>
      <c r="K108" s="1693">
        <f>H108</f>
        <v>0</v>
      </c>
      <c r="L108" s="466"/>
      <c r="M108" s="210"/>
      <c r="N108" s="210"/>
    </row>
    <row r="109" spans="1:14" s="598" customFormat="1" x14ac:dyDescent="0.2">
      <c r="A109" s="1526" t="s">
        <v>272</v>
      </c>
      <c r="B109" s="629">
        <v>5150</v>
      </c>
      <c r="C109" s="617"/>
      <c r="D109" s="617"/>
      <c r="E109" s="617"/>
      <c r="F109" s="617"/>
      <c r="G109" s="617"/>
      <c r="H109" s="466"/>
      <c r="I109" s="468"/>
      <c r="J109" s="468"/>
      <c r="K109" s="1693">
        <f>H109</f>
        <v>0</v>
      </c>
      <c r="L109" s="466"/>
      <c r="M109" s="210"/>
      <c r="N109" s="210"/>
    </row>
    <row r="110" spans="1:14" s="598" customFormat="1" ht="12.75" customHeight="1" thickBot="1" x14ac:dyDescent="0.25">
      <c r="A110" s="1690" t="s">
        <v>1164</v>
      </c>
      <c r="B110" s="1697" t="s">
        <v>742</v>
      </c>
      <c r="C110" s="617"/>
      <c r="D110" s="617"/>
      <c r="E110" s="617"/>
      <c r="F110" s="617"/>
      <c r="G110" s="617"/>
      <c r="H110" s="1692">
        <f>SUM(H105:H109)</f>
        <v>0</v>
      </c>
      <c r="I110" s="468"/>
      <c r="J110" s="468"/>
      <c r="K110" s="1692">
        <f>SUM(K105:K109)</f>
        <v>0</v>
      </c>
      <c r="L110" s="1692">
        <f>SUM(L105:L109)</f>
        <v>0</v>
      </c>
      <c r="M110" s="210"/>
      <c r="N110" s="210"/>
    </row>
    <row r="111" spans="1:14" s="598" customFormat="1" ht="12.75" customHeight="1" thickTop="1" thickBot="1" x14ac:dyDescent="0.25">
      <c r="A111" s="1536" t="s">
        <v>386</v>
      </c>
      <c r="B111" s="648" t="s">
        <v>38</v>
      </c>
      <c r="C111" s="617"/>
      <c r="D111" s="617"/>
      <c r="E111" s="617"/>
      <c r="F111" s="617"/>
      <c r="G111" s="617"/>
      <c r="H111" s="535"/>
      <c r="I111" s="468"/>
      <c r="J111" s="468"/>
      <c r="K111" s="1705">
        <f>H111</f>
        <v>0</v>
      </c>
      <c r="L111" s="532"/>
      <c r="M111" s="210"/>
      <c r="N111" s="210"/>
    </row>
    <row r="112" spans="1:14" s="598" customFormat="1" ht="12.75" customHeight="1" thickTop="1" thickBot="1" x14ac:dyDescent="0.25">
      <c r="A112" s="1690" t="s">
        <v>659</v>
      </c>
      <c r="B112" s="1691" t="s">
        <v>513</v>
      </c>
      <c r="C112" s="617"/>
      <c r="D112" s="617"/>
      <c r="E112" s="617"/>
      <c r="F112" s="617"/>
      <c r="G112" s="617"/>
      <c r="H112" s="1692">
        <f>SUM(H110:H111)</f>
        <v>0</v>
      </c>
      <c r="I112" s="468"/>
      <c r="J112" s="468"/>
      <c r="K112" s="1692">
        <f>SUM(K110:K111)</f>
        <v>0</v>
      </c>
      <c r="L112" s="1699">
        <f>SUM(L110,L111)</f>
        <v>0</v>
      </c>
      <c r="M112" s="210"/>
      <c r="N112" s="210"/>
    </row>
    <row r="113" spans="1:14" s="259" customFormat="1" ht="15.75" customHeight="1" thickTop="1" thickBot="1" x14ac:dyDescent="0.25">
      <c r="A113" s="1628" t="s">
        <v>535</v>
      </c>
      <c r="B113" s="1635" t="s">
        <v>916</v>
      </c>
      <c r="C113" s="624"/>
      <c r="D113" s="624"/>
      <c r="E113" s="617"/>
      <c r="F113" s="617"/>
      <c r="G113" s="617"/>
      <c r="H113" s="624"/>
      <c r="I113" s="468"/>
      <c r="J113" s="468"/>
      <c r="K113" s="624"/>
      <c r="L113" s="531">
        <v>50000</v>
      </c>
      <c r="M113" s="614"/>
      <c r="N113" s="614"/>
    </row>
    <row r="114" spans="1:14" ht="12.75" customHeight="1" thickTop="1" thickBot="1" x14ac:dyDescent="0.25">
      <c r="A114" s="1690" t="s">
        <v>50</v>
      </c>
      <c r="B114" s="1704"/>
      <c r="C114" s="1692">
        <f>SUM(C33,C74,C75,C102,C112,C113)</f>
        <v>11490621</v>
      </c>
      <c r="D114" s="1692">
        <f t="shared" ref="D114:K114" si="13">SUM(D33,D74,D75,D102,D112,D113)</f>
        <v>2005706</v>
      </c>
      <c r="E114" s="1692">
        <f t="shared" si="13"/>
        <v>995338</v>
      </c>
      <c r="F114" s="1692">
        <f t="shared" si="13"/>
        <v>1563323</v>
      </c>
      <c r="G114" s="1692">
        <f t="shared" si="13"/>
        <v>154541</v>
      </c>
      <c r="H114" s="1692">
        <f>SUM(H33,H74,H75,H102,H112,H113)</f>
        <v>547975</v>
      </c>
      <c r="I114" s="1692">
        <f t="shared" si="13"/>
        <v>0</v>
      </c>
      <c r="J114" s="1692">
        <f t="shared" si="13"/>
        <v>0</v>
      </c>
      <c r="K114" s="1692">
        <f t="shared" si="13"/>
        <v>16757504</v>
      </c>
      <c r="L114" s="1692">
        <f>SUM(L33,L74,L75,L102,L112,L113)</f>
        <v>17265430</v>
      </c>
    </row>
    <row r="115" spans="1:14" ht="13.5" thickTop="1" x14ac:dyDescent="0.2">
      <c r="A115" s="2200" t="s">
        <v>1053</v>
      </c>
      <c r="B115" s="2201"/>
      <c r="C115" s="619"/>
      <c r="D115" s="619"/>
      <c r="E115" s="619"/>
      <c r="F115" s="619"/>
      <c r="G115" s="619"/>
      <c r="H115" s="619"/>
      <c r="I115" s="619"/>
      <c r="J115" s="619"/>
      <c r="K115" s="1706">
        <f>'Revenues 9-14'!C275-'Expenditures 15-22'!K114</f>
        <v>745108</v>
      </c>
      <c r="L115" s="619"/>
    </row>
    <row r="116" spans="1:14" s="180" customFormat="1" ht="9" customHeight="1" x14ac:dyDescent="0.2">
      <c r="A116" s="649"/>
      <c r="B116" s="650"/>
      <c r="C116" s="651"/>
      <c r="D116" s="651"/>
      <c r="E116" s="651"/>
      <c r="F116" s="651"/>
      <c r="G116" s="651"/>
      <c r="H116" s="651"/>
      <c r="I116" s="651"/>
      <c r="J116" s="651"/>
      <c r="K116" s="651"/>
      <c r="L116" s="651"/>
      <c r="M116" s="210"/>
      <c r="N116" s="210"/>
    </row>
    <row r="117" spans="1:14" s="652" customFormat="1" ht="16.7" customHeight="1" x14ac:dyDescent="0.2">
      <c r="A117" s="2178" t="s">
        <v>314</v>
      </c>
      <c r="B117" s="2179"/>
      <c r="C117" s="1648"/>
      <c r="D117" s="1649"/>
      <c r="E117" s="1649"/>
      <c r="F117" s="1649"/>
      <c r="G117" s="1649"/>
      <c r="H117" s="1649"/>
      <c r="I117" s="1649"/>
      <c r="J117" s="1649"/>
      <c r="K117" s="1649"/>
      <c r="L117" s="1650"/>
      <c r="M117" s="175"/>
      <c r="N117" s="175"/>
    </row>
    <row r="118" spans="1:14" ht="15.75" customHeight="1" x14ac:dyDescent="0.2">
      <c r="A118" s="1636" t="s">
        <v>1095</v>
      </c>
      <c r="B118" s="1637" t="s">
        <v>590</v>
      </c>
      <c r="C118" s="617"/>
      <c r="D118" s="617"/>
      <c r="E118" s="617"/>
      <c r="F118" s="617"/>
      <c r="G118" s="617"/>
      <c r="H118" s="617"/>
      <c r="I118" s="617"/>
      <c r="J118" s="617"/>
      <c r="K118" s="617"/>
      <c r="L118" s="617"/>
    </row>
    <row r="119" spans="1:14" ht="15.75" customHeight="1" x14ac:dyDescent="0.2">
      <c r="A119" s="653" t="s">
        <v>612</v>
      </c>
      <c r="B119" s="623"/>
      <c r="C119" s="624"/>
      <c r="D119" s="624"/>
      <c r="E119" s="624"/>
      <c r="F119" s="617"/>
      <c r="G119" s="617"/>
      <c r="H119" s="624"/>
      <c r="I119" s="617"/>
      <c r="J119" s="617"/>
      <c r="K119" s="624"/>
      <c r="L119" s="624"/>
    </row>
    <row r="120" spans="1:14" ht="12.75" customHeight="1" x14ac:dyDescent="0.2">
      <c r="A120" s="1530" t="s">
        <v>167</v>
      </c>
      <c r="B120" s="629">
        <v>2190</v>
      </c>
      <c r="C120" s="466"/>
      <c r="D120" s="466"/>
      <c r="E120" s="466"/>
      <c r="F120" s="466"/>
      <c r="G120" s="466"/>
      <c r="H120" s="466"/>
      <c r="I120" s="467"/>
      <c r="J120" s="467"/>
      <c r="K120" s="1693">
        <f>SUM(C120:J120)</f>
        <v>0</v>
      </c>
      <c r="L120" s="466"/>
    </row>
    <row r="121" spans="1:14" ht="15.75" customHeight="1" x14ac:dyDescent="0.2">
      <c r="A121" s="654" t="s">
        <v>633</v>
      </c>
      <c r="B121" s="623"/>
      <c r="C121" s="521"/>
      <c r="D121" s="521"/>
      <c r="E121" s="521"/>
      <c r="F121" s="521"/>
      <c r="G121" s="521"/>
      <c r="H121" s="521"/>
      <c r="I121" s="617"/>
      <c r="J121" s="617"/>
      <c r="K121" s="624"/>
      <c r="L121" s="521"/>
    </row>
    <row r="122" spans="1:14" ht="13.5" thickBot="1" x14ac:dyDescent="0.25">
      <c r="A122" s="1526" t="s">
        <v>1128</v>
      </c>
      <c r="B122" s="615">
        <v>2510</v>
      </c>
      <c r="C122" s="466"/>
      <c r="D122" s="466"/>
      <c r="E122" s="466"/>
      <c r="F122" s="466"/>
      <c r="G122" s="466"/>
      <c r="H122" s="466"/>
      <c r="I122" s="467"/>
      <c r="J122" s="467"/>
      <c r="K122" s="1692">
        <f>SUM(C122:J122)</f>
        <v>0</v>
      </c>
      <c r="L122" s="466"/>
    </row>
    <row r="123" spans="1:14" ht="14.25" thickTop="1" thickBot="1" x14ac:dyDescent="0.25">
      <c r="A123" s="1526" t="s">
        <v>4</v>
      </c>
      <c r="B123" s="615">
        <v>2530</v>
      </c>
      <c r="C123" s="466"/>
      <c r="D123" s="466"/>
      <c r="E123" s="466"/>
      <c r="F123" s="466"/>
      <c r="G123" s="466"/>
      <c r="H123" s="466"/>
      <c r="I123" s="467"/>
      <c r="J123" s="467"/>
      <c r="K123" s="1692">
        <f>SUM(C123:J123)</f>
        <v>0</v>
      </c>
      <c r="L123" s="466"/>
    </row>
    <row r="124" spans="1:14" ht="14.25" thickTop="1" thickBot="1" x14ac:dyDescent="0.25">
      <c r="A124" s="1526" t="s">
        <v>206</v>
      </c>
      <c r="B124" s="615">
        <v>2540</v>
      </c>
      <c r="C124" s="466">
        <v>412906</v>
      </c>
      <c r="D124" s="466">
        <v>79374</v>
      </c>
      <c r="E124" s="466">
        <v>255763</v>
      </c>
      <c r="F124" s="466">
        <v>404935</v>
      </c>
      <c r="G124" s="466">
        <v>95275</v>
      </c>
      <c r="H124" s="466"/>
      <c r="I124" s="467"/>
      <c r="J124" s="467"/>
      <c r="K124" s="1692">
        <f>SUM(C124:J124)</f>
        <v>1248253</v>
      </c>
      <c r="L124" s="466">
        <v>1472519</v>
      </c>
    </row>
    <row r="125" spans="1:14" ht="14.25" thickTop="1" thickBot="1" x14ac:dyDescent="0.25">
      <c r="A125" s="1526" t="s">
        <v>1010</v>
      </c>
      <c r="B125" s="615">
        <v>2550</v>
      </c>
      <c r="C125" s="466"/>
      <c r="D125" s="466"/>
      <c r="E125" s="466"/>
      <c r="F125" s="466"/>
      <c r="G125" s="466"/>
      <c r="H125" s="466"/>
      <c r="I125" s="467"/>
      <c r="J125" s="467"/>
      <c r="K125" s="1692">
        <f>SUM(C125:J125)</f>
        <v>0</v>
      </c>
      <c r="L125" s="466"/>
    </row>
    <row r="126" spans="1:14" ht="14.25" thickTop="1" thickBot="1" x14ac:dyDescent="0.25">
      <c r="A126" s="1526" t="s">
        <v>102</v>
      </c>
      <c r="B126" s="615">
        <v>2560</v>
      </c>
      <c r="C126" s="655"/>
      <c r="D126" s="655"/>
      <c r="E126" s="655"/>
      <c r="F126" s="655"/>
      <c r="G126" s="466"/>
      <c r="H126" s="655"/>
      <c r="I126" s="474"/>
      <c r="J126" s="617"/>
      <c r="K126" s="1692">
        <f>SUM(C126:J126)</f>
        <v>0</v>
      </c>
      <c r="L126" s="466"/>
    </row>
    <row r="127" spans="1:14" ht="12.75" customHeight="1" thickTop="1" thickBot="1" x14ac:dyDescent="0.25">
      <c r="A127" s="1690" t="s">
        <v>743</v>
      </c>
      <c r="B127" s="1691" t="s">
        <v>35</v>
      </c>
      <c r="C127" s="1692">
        <f>SUM(C122:C126)</f>
        <v>412906</v>
      </c>
      <c r="D127" s="1692">
        <f t="shared" ref="D127:L127" si="14">SUM(D122:D126)</f>
        <v>79374</v>
      </c>
      <c r="E127" s="1692">
        <f t="shared" si="14"/>
        <v>255763</v>
      </c>
      <c r="F127" s="1692">
        <f t="shared" si="14"/>
        <v>404935</v>
      </c>
      <c r="G127" s="1692">
        <f t="shared" si="14"/>
        <v>95275</v>
      </c>
      <c r="H127" s="1692">
        <f t="shared" si="14"/>
        <v>0</v>
      </c>
      <c r="I127" s="1692">
        <f t="shared" si="14"/>
        <v>0</v>
      </c>
      <c r="J127" s="1692">
        <f t="shared" si="14"/>
        <v>0</v>
      </c>
      <c r="K127" s="1692">
        <f t="shared" si="14"/>
        <v>1248253</v>
      </c>
      <c r="L127" s="1692">
        <f t="shared" si="14"/>
        <v>1472519</v>
      </c>
    </row>
    <row r="128" spans="1:14" ht="12.75" customHeight="1" thickTop="1" x14ac:dyDescent="0.2">
      <c r="A128" s="1533" t="s">
        <v>1037</v>
      </c>
      <c r="B128" s="656" t="s">
        <v>595</v>
      </c>
      <c r="C128" s="657"/>
      <c r="D128" s="657"/>
      <c r="E128" s="657"/>
      <c r="F128" s="657"/>
      <c r="G128" s="657"/>
      <c r="H128" s="657"/>
      <c r="I128" s="535"/>
      <c r="J128" s="535"/>
      <c r="K128" s="1707">
        <f>SUM(C128:J128)</f>
        <v>0</v>
      </c>
      <c r="L128" s="657"/>
    </row>
    <row r="129" spans="1:14" ht="12.75" customHeight="1" thickBot="1" x14ac:dyDescent="0.25">
      <c r="A129" s="1708" t="s">
        <v>865</v>
      </c>
      <c r="B129" s="1709" t="s">
        <v>590</v>
      </c>
      <c r="C129" s="1699">
        <f>SUM(C120,C127,C128)</f>
        <v>412906</v>
      </c>
      <c r="D129" s="1699">
        <f t="shared" ref="D129:L129" si="15">SUM(D120,D127,D128)</f>
        <v>79374</v>
      </c>
      <c r="E129" s="1699">
        <f t="shared" si="15"/>
        <v>255763</v>
      </c>
      <c r="F129" s="1699">
        <f t="shared" si="15"/>
        <v>404935</v>
      </c>
      <c r="G129" s="1699">
        <f t="shared" si="15"/>
        <v>95275</v>
      </c>
      <c r="H129" s="1699">
        <f t="shared" si="15"/>
        <v>0</v>
      </c>
      <c r="I129" s="1699">
        <f t="shared" si="15"/>
        <v>0</v>
      </c>
      <c r="J129" s="1699">
        <f t="shared" si="15"/>
        <v>0</v>
      </c>
      <c r="K129" s="1699">
        <f t="shared" si="15"/>
        <v>1248253</v>
      </c>
      <c r="L129" s="1699">
        <f t="shared" si="15"/>
        <v>1472519</v>
      </c>
    </row>
    <row r="130" spans="1:14" ht="15.75" customHeight="1" thickTop="1" thickBot="1" x14ac:dyDescent="0.25">
      <c r="A130" s="1632" t="s">
        <v>1096</v>
      </c>
      <c r="B130" s="1633" t="s">
        <v>596</v>
      </c>
      <c r="C130" s="576"/>
      <c r="D130" s="576"/>
      <c r="E130" s="576"/>
      <c r="F130" s="576"/>
      <c r="G130" s="576"/>
      <c r="H130" s="576"/>
      <c r="I130" s="531"/>
      <c r="J130" s="531"/>
      <c r="K130" s="1692">
        <f>SUM(C130:J130)</f>
        <v>0</v>
      </c>
      <c r="L130" s="576"/>
    </row>
    <row r="131" spans="1:14" ht="15.75" customHeight="1" thickTop="1" x14ac:dyDescent="0.2">
      <c r="A131" s="1638" t="s">
        <v>637</v>
      </c>
      <c r="B131" s="1631" t="s">
        <v>915</v>
      </c>
      <c r="C131" s="468"/>
      <c r="D131" s="468"/>
      <c r="E131" s="566"/>
      <c r="F131" s="468"/>
      <c r="G131" s="468"/>
      <c r="H131" s="566"/>
      <c r="I131" s="468"/>
      <c r="J131" s="468"/>
      <c r="K131" s="566"/>
      <c r="L131" s="566"/>
    </row>
    <row r="132" spans="1:14" s="384" customFormat="1" ht="13.5" customHeight="1" x14ac:dyDescent="0.2">
      <c r="A132" s="658" t="s">
        <v>635</v>
      </c>
      <c r="B132" s="659"/>
      <c r="C132" s="468"/>
      <c r="D132" s="468"/>
      <c r="E132" s="521"/>
      <c r="F132" s="468"/>
      <c r="G132" s="468"/>
      <c r="H132" s="521"/>
      <c r="I132" s="468"/>
      <c r="J132" s="468"/>
      <c r="K132" s="521"/>
      <c r="L132" s="521"/>
      <c r="M132" s="206"/>
      <c r="N132" s="206"/>
    </row>
    <row r="133" spans="1:14" s="384" customFormat="1" ht="13.5" customHeight="1" x14ac:dyDescent="0.2">
      <c r="A133" s="1512" t="s">
        <v>517</v>
      </c>
      <c r="B133" s="1864" t="s">
        <v>1954</v>
      </c>
      <c r="C133" s="468"/>
      <c r="D133" s="468"/>
      <c r="E133" s="642"/>
      <c r="F133" s="468"/>
      <c r="G133" s="468"/>
      <c r="H133" s="642"/>
      <c r="I133" s="468"/>
      <c r="J133" s="468"/>
      <c r="K133" s="1844">
        <f>SUM(E133,H133)</f>
        <v>0</v>
      </c>
      <c r="L133" s="642"/>
      <c r="M133" s="206"/>
      <c r="N133" s="206"/>
    </row>
    <row r="134" spans="1:14" x14ac:dyDescent="0.2">
      <c r="A134" s="1526" t="s">
        <v>322</v>
      </c>
      <c r="B134" s="615">
        <v>4120</v>
      </c>
      <c r="C134" s="617"/>
      <c r="D134" s="617"/>
      <c r="E134" s="478"/>
      <c r="F134" s="617"/>
      <c r="G134" s="617"/>
      <c r="H134" s="481"/>
      <c r="I134" s="477"/>
      <c r="J134" s="617"/>
      <c r="K134" s="1694">
        <f>SUM(E134,H134)</f>
        <v>0</v>
      </c>
      <c r="L134" s="481"/>
    </row>
    <row r="135" spans="1:14" x14ac:dyDescent="0.2">
      <c r="A135" s="1526" t="s">
        <v>721</v>
      </c>
      <c r="B135" s="615">
        <v>4140</v>
      </c>
      <c r="C135" s="617"/>
      <c r="D135" s="617"/>
      <c r="E135" s="467"/>
      <c r="F135" s="617"/>
      <c r="G135" s="617"/>
      <c r="H135" s="466"/>
      <c r="I135" s="477"/>
      <c r="J135" s="617"/>
      <c r="K135" s="1694">
        <f>SUM(E135,H135)</f>
        <v>0</v>
      </c>
      <c r="L135" s="466"/>
    </row>
    <row r="136" spans="1:14" x14ac:dyDescent="0.2">
      <c r="A136" s="1530" t="s">
        <v>722</v>
      </c>
      <c r="B136" s="629">
        <v>4190</v>
      </c>
      <c r="C136" s="617"/>
      <c r="D136" s="617"/>
      <c r="E136" s="467"/>
      <c r="F136" s="617"/>
      <c r="G136" s="617"/>
      <c r="H136" s="466"/>
      <c r="I136" s="477"/>
      <c r="J136" s="617"/>
      <c r="K136" s="1694">
        <f>SUM(E136,H136)</f>
        <v>0</v>
      </c>
      <c r="L136" s="466"/>
    </row>
    <row r="137" spans="1:14" ht="12.75" customHeight="1" thickBot="1" x14ac:dyDescent="0.25">
      <c r="A137" s="1690" t="s">
        <v>501</v>
      </c>
      <c r="B137" s="1700">
        <v>4100</v>
      </c>
      <c r="C137" s="617"/>
      <c r="D137" s="617"/>
      <c r="E137" s="1692">
        <f>SUM(E133:E136)</f>
        <v>0</v>
      </c>
      <c r="F137" s="617"/>
      <c r="G137" s="617"/>
      <c r="H137" s="1692">
        <f>SUM(H133:H136)</f>
        <v>0</v>
      </c>
      <c r="I137" s="477"/>
      <c r="J137" s="617"/>
      <c r="K137" s="1692">
        <f>SUM(K133:K136)</f>
        <v>0</v>
      </c>
      <c r="L137" s="1692">
        <f>SUM(L133:L136)</f>
        <v>0</v>
      </c>
    </row>
    <row r="138" spans="1:14" ht="12.75" customHeight="1" thickTop="1" thickBot="1" x14ac:dyDescent="0.25">
      <c r="A138" s="1532" t="s">
        <v>98</v>
      </c>
      <c r="B138" s="644" t="s">
        <v>988</v>
      </c>
      <c r="C138" s="617"/>
      <c r="D138" s="617"/>
      <c r="E138" s="479"/>
      <c r="F138" s="617"/>
      <c r="G138" s="617"/>
      <c r="H138" s="576"/>
      <c r="I138" s="477"/>
      <c r="J138" s="617"/>
      <c r="K138" s="1694">
        <f>SUM(E138,H138)</f>
        <v>0</v>
      </c>
      <c r="L138" s="576"/>
    </row>
    <row r="139" spans="1:14" ht="12.75" customHeight="1" thickTop="1" thickBot="1" x14ac:dyDescent="0.25">
      <c r="A139" s="1690" t="s">
        <v>1567</v>
      </c>
      <c r="B139" s="1700">
        <v>4000</v>
      </c>
      <c r="C139" s="617"/>
      <c r="D139" s="617"/>
      <c r="E139" s="1692">
        <f>SUM(E137,E138)</f>
        <v>0</v>
      </c>
      <c r="F139" s="617"/>
      <c r="G139" s="617"/>
      <c r="H139" s="1701">
        <f>SUM(H137:H138)</f>
        <v>0</v>
      </c>
      <c r="I139" s="477"/>
      <c r="J139" s="617"/>
      <c r="K139" s="1694">
        <f>SUM(K137,K138)</f>
        <v>0</v>
      </c>
      <c r="L139" s="1701">
        <f>SUM(L137,L138)</f>
        <v>0</v>
      </c>
    </row>
    <row r="140" spans="1:14" ht="15.75" customHeight="1" thickTop="1" x14ac:dyDescent="0.2">
      <c r="A140" s="1634" t="s">
        <v>1097</v>
      </c>
      <c r="B140" s="1635" t="s">
        <v>513</v>
      </c>
      <c r="C140" s="617"/>
      <c r="D140" s="617"/>
      <c r="E140" s="639"/>
      <c r="F140" s="639"/>
      <c r="G140" s="639"/>
      <c r="H140" s="637"/>
      <c r="I140" s="477"/>
      <c r="J140" s="639"/>
      <c r="K140" s="637"/>
      <c r="L140" s="637"/>
    </row>
    <row r="141" spans="1:14" ht="15.75" customHeight="1" x14ac:dyDescent="0.2">
      <c r="A141" s="654" t="s">
        <v>636</v>
      </c>
      <c r="B141" s="623"/>
      <c r="C141" s="617"/>
      <c r="D141" s="617"/>
      <c r="E141" s="617"/>
      <c r="F141" s="617"/>
      <c r="G141" s="617"/>
      <c r="H141" s="624"/>
      <c r="I141" s="468"/>
      <c r="J141" s="617"/>
      <c r="K141" s="624"/>
      <c r="L141" s="624"/>
    </row>
    <row r="142" spans="1:14" x14ac:dyDescent="0.2">
      <c r="A142" s="1526" t="s">
        <v>89</v>
      </c>
      <c r="B142" s="615">
        <v>5110</v>
      </c>
      <c r="C142" s="617"/>
      <c r="D142" s="617"/>
      <c r="E142" s="617"/>
      <c r="F142" s="617"/>
      <c r="G142" s="617"/>
      <c r="H142" s="481"/>
      <c r="I142" s="468"/>
      <c r="J142" s="617"/>
      <c r="K142" s="1694">
        <f>SUM(H142)</f>
        <v>0</v>
      </c>
      <c r="L142" s="481"/>
    </row>
    <row r="143" spans="1:14" x14ac:dyDescent="0.2">
      <c r="A143" s="1526" t="s">
        <v>90</v>
      </c>
      <c r="B143" s="615">
        <v>5120</v>
      </c>
      <c r="C143" s="617"/>
      <c r="D143" s="617"/>
      <c r="E143" s="617"/>
      <c r="F143" s="617"/>
      <c r="G143" s="617"/>
      <c r="H143" s="466"/>
      <c r="I143" s="468"/>
      <c r="J143" s="617"/>
      <c r="K143" s="1694">
        <f>SUM(H143)</f>
        <v>0</v>
      </c>
      <c r="L143" s="466"/>
    </row>
    <row r="144" spans="1:14" ht="12.75" customHeight="1" x14ac:dyDescent="0.2">
      <c r="A144" s="1526" t="s">
        <v>1232</v>
      </c>
      <c r="B144" s="629" t="s">
        <v>638</v>
      </c>
      <c r="C144" s="617"/>
      <c r="D144" s="617"/>
      <c r="E144" s="617"/>
      <c r="F144" s="617"/>
      <c r="G144" s="617"/>
      <c r="H144" s="466"/>
      <c r="I144" s="468"/>
      <c r="J144" s="617"/>
      <c r="K144" s="1694">
        <f>SUM(H144)</f>
        <v>0</v>
      </c>
      <c r="L144" s="466"/>
    </row>
    <row r="145" spans="1:14" x14ac:dyDescent="0.2">
      <c r="A145" s="1526" t="s">
        <v>91</v>
      </c>
      <c r="B145" s="615" t="s">
        <v>610</v>
      </c>
      <c r="C145" s="617"/>
      <c r="D145" s="617"/>
      <c r="E145" s="617"/>
      <c r="F145" s="617"/>
      <c r="G145" s="617"/>
      <c r="H145" s="466"/>
      <c r="I145" s="468"/>
      <c r="J145" s="617"/>
      <c r="K145" s="1694">
        <f>SUM(H145)</f>
        <v>0</v>
      </c>
      <c r="L145" s="466"/>
    </row>
    <row r="146" spans="1:14" ht="12.75" customHeight="1" x14ac:dyDescent="0.2">
      <c r="A146" s="1526" t="s">
        <v>640</v>
      </c>
      <c r="B146" s="615" t="s">
        <v>639</v>
      </c>
      <c r="C146" s="617"/>
      <c r="D146" s="617"/>
      <c r="E146" s="617"/>
      <c r="F146" s="617"/>
      <c r="G146" s="617"/>
      <c r="H146" s="466"/>
      <c r="I146" s="468"/>
      <c r="J146" s="617"/>
      <c r="K146" s="1694">
        <f>SUM(H146)</f>
        <v>0</v>
      </c>
      <c r="L146" s="466"/>
    </row>
    <row r="147" spans="1:14" ht="12.75" customHeight="1" thickBot="1" x14ac:dyDescent="0.25">
      <c r="A147" s="1537" t="s">
        <v>647</v>
      </c>
      <c r="B147" s="660" t="s">
        <v>742</v>
      </c>
      <c r="C147" s="617"/>
      <c r="D147" s="617"/>
      <c r="E147" s="617"/>
      <c r="F147" s="617"/>
      <c r="G147" s="617"/>
      <c r="H147" s="1710">
        <f>SUM(H142:H146)</f>
        <v>0</v>
      </c>
      <c r="I147" s="468"/>
      <c r="J147" s="617"/>
      <c r="K147" s="1692">
        <f>SUM(K142:K146)</f>
        <v>0</v>
      </c>
      <c r="L147" s="1710">
        <f>SUM(L142:L146)</f>
        <v>0</v>
      </c>
    </row>
    <row r="148" spans="1:14" ht="15.75" customHeight="1" thickTop="1" x14ac:dyDescent="0.2">
      <c r="A148" s="661" t="s">
        <v>1165</v>
      </c>
      <c r="B148" s="662" t="s">
        <v>38</v>
      </c>
      <c r="C148" s="617"/>
      <c r="D148" s="617"/>
      <c r="E148" s="617"/>
      <c r="F148" s="617"/>
      <c r="G148" s="617"/>
      <c r="H148" s="479"/>
      <c r="I148" s="468"/>
      <c r="J148" s="617"/>
      <c r="K148" s="1694">
        <f>SUM(H148)</f>
        <v>0</v>
      </c>
      <c r="L148" s="492"/>
    </row>
    <row r="149" spans="1:14" ht="12.75" customHeight="1" thickBot="1" x14ac:dyDescent="0.25">
      <c r="A149" s="1529" t="s">
        <v>659</v>
      </c>
      <c r="B149" s="618" t="s">
        <v>513</v>
      </c>
      <c r="C149" s="617"/>
      <c r="D149" s="617"/>
      <c r="E149" s="617"/>
      <c r="F149" s="617"/>
      <c r="G149" s="617"/>
      <c r="H149" s="1692">
        <f>SUM(H147,H148)</f>
        <v>0</v>
      </c>
      <c r="I149" s="468"/>
      <c r="J149" s="617"/>
      <c r="K149" s="1692">
        <f>SUM(K147:K148)</f>
        <v>0</v>
      </c>
      <c r="L149" s="1692">
        <f>SUM(L142:L146,L148)</f>
        <v>0</v>
      </c>
    </row>
    <row r="150" spans="1:14" ht="15.75" customHeight="1" thickTop="1" thickBot="1" x14ac:dyDescent="0.25">
      <c r="A150" s="1628" t="s">
        <v>1098</v>
      </c>
      <c r="B150" s="1635" t="s">
        <v>916</v>
      </c>
      <c r="C150" s="617"/>
      <c r="D150" s="617"/>
      <c r="E150" s="617"/>
      <c r="F150" s="617"/>
      <c r="G150" s="617"/>
      <c r="H150" s="663"/>
      <c r="I150" s="521"/>
      <c r="J150" s="617"/>
      <c r="K150" s="624"/>
      <c r="L150" s="573">
        <v>100000</v>
      </c>
    </row>
    <row r="151" spans="1:14" ht="12.75" customHeight="1" thickTop="1" thickBot="1" x14ac:dyDescent="0.25">
      <c r="A151" s="2190" t="s">
        <v>641</v>
      </c>
      <c r="B151" s="2172"/>
      <c r="C151" s="1692">
        <f>SUM(C129,C130,C139,C149,C150)</f>
        <v>412906</v>
      </c>
      <c r="D151" s="1692">
        <f t="shared" ref="D151:K151" si="16">SUM(D129,D130,D139,D149,D150)</f>
        <v>79374</v>
      </c>
      <c r="E151" s="1692">
        <f t="shared" si="16"/>
        <v>255763</v>
      </c>
      <c r="F151" s="1692">
        <f t="shared" si="16"/>
        <v>404935</v>
      </c>
      <c r="G151" s="1692">
        <f t="shared" si="16"/>
        <v>95275</v>
      </c>
      <c r="H151" s="1692">
        <f t="shared" si="16"/>
        <v>0</v>
      </c>
      <c r="I151" s="1692">
        <f t="shared" si="16"/>
        <v>0</v>
      </c>
      <c r="J151" s="1692">
        <f t="shared" si="16"/>
        <v>0</v>
      </c>
      <c r="K151" s="1692">
        <f t="shared" si="16"/>
        <v>1248253</v>
      </c>
      <c r="L151" s="1692">
        <f>SUM(L129,L130,L139,L149,L150)</f>
        <v>1572519</v>
      </c>
    </row>
    <row r="152" spans="1:14" ht="12.75" customHeight="1" thickTop="1" x14ac:dyDescent="0.2">
      <c r="A152" s="2193" t="s">
        <v>1240</v>
      </c>
      <c r="B152" s="2194"/>
      <c r="C152" s="619"/>
      <c r="D152" s="619"/>
      <c r="E152" s="619"/>
      <c r="F152" s="619"/>
      <c r="G152" s="619"/>
      <c r="H152" s="619"/>
      <c r="I152" s="619"/>
      <c r="J152" s="617"/>
      <c r="K152" s="1706">
        <f>'Revenues 9-14'!D275-'Expenditures 15-22'!K151</f>
        <v>424821</v>
      </c>
      <c r="L152" s="619"/>
    </row>
    <row r="153" spans="1:14" s="667" customFormat="1" ht="9" customHeight="1" x14ac:dyDescent="0.2">
      <c r="A153" s="664"/>
      <c r="B153" s="665"/>
      <c r="C153" s="651"/>
      <c r="D153" s="651"/>
      <c r="E153" s="651"/>
      <c r="F153" s="651"/>
      <c r="G153" s="651"/>
      <c r="H153" s="651"/>
      <c r="I153" s="651"/>
      <c r="J153" s="651"/>
      <c r="K153" s="651"/>
      <c r="L153" s="651"/>
      <c r="M153" s="666"/>
      <c r="N153" s="666"/>
    </row>
    <row r="154" spans="1:14" s="669" customFormat="1" ht="16.7" customHeight="1" x14ac:dyDescent="0.2">
      <c r="A154" s="2178" t="s">
        <v>642</v>
      </c>
      <c r="B154" s="2180"/>
      <c r="C154" s="1648"/>
      <c r="D154" s="1649"/>
      <c r="E154" s="1649"/>
      <c r="F154" s="1649"/>
      <c r="G154" s="1649"/>
      <c r="H154" s="1649"/>
      <c r="I154" s="1649"/>
      <c r="J154" s="1649"/>
      <c r="K154" s="1649"/>
      <c r="L154" s="1650"/>
      <c r="M154" s="668"/>
      <c r="N154" s="668"/>
    </row>
    <row r="155" spans="1:14" s="621" customFormat="1" ht="15.75" customHeight="1" thickBot="1" x14ac:dyDescent="0.25">
      <c r="A155" s="1639" t="s">
        <v>83</v>
      </c>
      <c r="B155" s="1640" t="s">
        <v>915</v>
      </c>
      <c r="C155" s="617"/>
      <c r="D155" s="617"/>
      <c r="E155" s="617"/>
      <c r="F155" s="617"/>
      <c r="G155" s="617"/>
      <c r="H155" s="1865"/>
      <c r="I155" s="617"/>
      <c r="J155" s="617"/>
      <c r="K155" s="1848"/>
      <c r="L155" s="1865"/>
      <c r="M155" s="620"/>
      <c r="N155" s="620"/>
    </row>
    <row r="156" spans="1:14" s="621" customFormat="1" ht="15.75" customHeight="1" thickTop="1" x14ac:dyDescent="0.2">
      <c r="A156" s="1845" t="s">
        <v>1955</v>
      </c>
      <c r="B156" s="1846"/>
      <c r="C156" s="617"/>
      <c r="D156" s="617"/>
      <c r="E156" s="617"/>
      <c r="F156" s="617"/>
      <c r="G156" s="617"/>
      <c r="H156" s="1866"/>
      <c r="I156" s="617"/>
      <c r="J156" s="617"/>
      <c r="K156" s="1847"/>
      <c r="L156" s="1866"/>
      <c r="M156" s="620"/>
      <c r="N156" s="620"/>
    </row>
    <row r="157" spans="1:14" s="621" customFormat="1" ht="12" x14ac:dyDescent="0.2">
      <c r="A157" s="1849" t="s">
        <v>517</v>
      </c>
      <c r="B157" s="1850" t="s">
        <v>1954</v>
      </c>
      <c r="C157" s="617"/>
      <c r="D157" s="617"/>
      <c r="E157" s="617"/>
      <c r="F157" s="617"/>
      <c r="G157" s="617"/>
      <c r="H157" s="642"/>
      <c r="I157" s="617"/>
      <c r="J157" s="617"/>
      <c r="K157" s="1693">
        <f>H157</f>
        <v>0</v>
      </c>
      <c r="L157" s="467"/>
      <c r="M157" s="620"/>
      <c r="N157" s="620"/>
    </row>
    <row r="158" spans="1:14" s="621" customFormat="1" ht="12" x14ac:dyDescent="0.2">
      <c r="A158" s="1849" t="s">
        <v>322</v>
      </c>
      <c r="B158" s="1850" t="s">
        <v>1956</v>
      </c>
      <c r="C158" s="617"/>
      <c r="D158" s="617"/>
      <c r="E158" s="617"/>
      <c r="F158" s="617"/>
      <c r="G158" s="617"/>
      <c r="H158" s="467"/>
      <c r="I158" s="617"/>
      <c r="J158" s="617"/>
      <c r="K158" s="1693">
        <f>H158</f>
        <v>0</v>
      </c>
      <c r="L158" s="467"/>
      <c r="M158" s="620"/>
      <c r="N158" s="620"/>
    </row>
    <row r="159" spans="1:14" s="621" customFormat="1" ht="12" x14ac:dyDescent="0.2">
      <c r="A159" s="1849" t="s">
        <v>1957</v>
      </c>
      <c r="B159" s="1850" t="s">
        <v>579</v>
      </c>
      <c r="C159" s="617"/>
      <c r="D159" s="617"/>
      <c r="E159" s="617"/>
      <c r="F159" s="617"/>
      <c r="G159" s="617"/>
      <c r="H159" s="467"/>
      <c r="I159" s="617"/>
      <c r="J159" s="617"/>
      <c r="K159" s="1693">
        <f>H159</f>
        <v>0</v>
      </c>
      <c r="L159" s="467"/>
      <c r="M159" s="620"/>
      <c r="N159" s="620"/>
    </row>
    <row r="160" spans="1:14" s="621" customFormat="1" ht="15.75" customHeight="1" thickBot="1" x14ac:dyDescent="0.25">
      <c r="A160" s="1851" t="s">
        <v>1958</v>
      </c>
      <c r="B160" s="1852" t="s">
        <v>915</v>
      </c>
      <c r="C160" s="617"/>
      <c r="D160" s="617"/>
      <c r="E160" s="617"/>
      <c r="F160" s="617"/>
      <c r="G160" s="617"/>
      <c r="H160" s="1710">
        <f>SUM(H157:H159)</f>
        <v>0</v>
      </c>
      <c r="I160" s="617"/>
      <c r="J160" s="617"/>
      <c r="K160" s="1692">
        <f>SUM(K157:K159)</f>
        <v>0</v>
      </c>
      <c r="L160" s="1710">
        <f>SUM(L157:L159)</f>
        <v>0</v>
      </c>
      <c r="M160" s="620"/>
      <c r="N160" s="620"/>
    </row>
    <row r="161" spans="1:14" s="259" customFormat="1" ht="15.75" customHeight="1" thickTop="1" x14ac:dyDescent="0.2">
      <c r="A161" s="1634" t="s">
        <v>84</v>
      </c>
      <c r="B161" s="1635" t="s">
        <v>513</v>
      </c>
      <c r="C161" s="617"/>
      <c r="D161" s="617"/>
      <c r="E161" s="617"/>
      <c r="F161" s="617"/>
      <c r="G161" s="617"/>
      <c r="H161" s="617"/>
      <c r="I161" s="617"/>
      <c r="J161" s="617"/>
      <c r="K161" s="617"/>
      <c r="L161" s="617"/>
      <c r="M161" s="614"/>
      <c r="N161" s="614"/>
    </row>
    <row r="162" spans="1:14" s="259" customFormat="1" ht="15.75" customHeight="1" x14ac:dyDescent="0.2">
      <c r="A162" s="654" t="s">
        <v>636</v>
      </c>
      <c r="B162" s="623"/>
      <c r="C162" s="617"/>
      <c r="D162" s="617"/>
      <c r="E162" s="617"/>
      <c r="F162" s="617"/>
      <c r="G162" s="617"/>
      <c r="H162" s="617"/>
      <c r="I162" s="617"/>
      <c r="J162" s="617"/>
      <c r="K162" s="624"/>
      <c r="L162" s="624"/>
      <c r="M162" s="614"/>
      <c r="N162" s="614"/>
    </row>
    <row r="163" spans="1:14" x14ac:dyDescent="0.2">
      <c r="A163" s="1526" t="s">
        <v>89</v>
      </c>
      <c r="B163" s="615">
        <v>5110</v>
      </c>
      <c r="C163" s="617"/>
      <c r="D163" s="617"/>
      <c r="E163" s="617"/>
      <c r="F163" s="617"/>
      <c r="G163" s="617"/>
      <c r="H163" s="466"/>
      <c r="I163" s="617"/>
      <c r="J163" s="617"/>
      <c r="K163" s="1693">
        <f>SUM(C163:J163)</f>
        <v>0</v>
      </c>
      <c r="L163" s="466"/>
    </row>
    <row r="164" spans="1:14" x14ac:dyDescent="0.2">
      <c r="A164" s="1526" t="s">
        <v>90</v>
      </c>
      <c r="B164" s="615">
        <v>5120</v>
      </c>
      <c r="C164" s="617"/>
      <c r="D164" s="617"/>
      <c r="E164" s="617"/>
      <c r="F164" s="617"/>
      <c r="G164" s="617"/>
      <c r="H164" s="466"/>
      <c r="I164" s="617"/>
      <c r="J164" s="617"/>
      <c r="K164" s="1693">
        <f>SUM(C164:J164)</f>
        <v>0</v>
      </c>
      <c r="L164" s="466"/>
    </row>
    <row r="165" spans="1:14" ht="12.75" customHeight="1" x14ac:dyDescent="0.2">
      <c r="A165" s="1526" t="s">
        <v>1232</v>
      </c>
      <c r="B165" s="615" t="s">
        <v>638</v>
      </c>
      <c r="C165" s="617"/>
      <c r="D165" s="617"/>
      <c r="E165" s="617"/>
      <c r="F165" s="617"/>
      <c r="G165" s="617"/>
      <c r="H165" s="466"/>
      <c r="I165" s="617"/>
      <c r="J165" s="617"/>
      <c r="K165" s="1693">
        <f>SUM(C165:J165)</f>
        <v>0</v>
      </c>
      <c r="L165" s="466"/>
    </row>
    <row r="166" spans="1:14" x14ac:dyDescent="0.2">
      <c r="A166" s="1526" t="s">
        <v>91</v>
      </c>
      <c r="B166" s="629" t="s">
        <v>610</v>
      </c>
      <c r="C166" s="617"/>
      <c r="D166" s="617"/>
      <c r="E166" s="617"/>
      <c r="F166" s="617"/>
      <c r="G166" s="617"/>
      <c r="H166" s="466"/>
      <c r="I166" s="617"/>
      <c r="J166" s="617"/>
      <c r="K166" s="1693">
        <f>SUM(C166:J166)</f>
        <v>0</v>
      </c>
      <c r="L166" s="466"/>
    </row>
    <row r="167" spans="1:14" ht="12.75" customHeight="1" x14ac:dyDescent="0.2">
      <c r="A167" s="1526" t="s">
        <v>640</v>
      </c>
      <c r="B167" s="615" t="s">
        <v>639</v>
      </c>
      <c r="C167" s="617"/>
      <c r="D167" s="617"/>
      <c r="E167" s="617"/>
      <c r="F167" s="617"/>
      <c r="G167" s="617"/>
      <c r="H167" s="466"/>
      <c r="I167" s="617"/>
      <c r="J167" s="617"/>
      <c r="K167" s="1693">
        <f>SUM(C167:J167)</f>
        <v>0</v>
      </c>
      <c r="L167" s="466"/>
    </row>
    <row r="168" spans="1:14" ht="13.5" thickBot="1" x14ac:dyDescent="0.25">
      <c r="A168" s="1690" t="s">
        <v>294</v>
      </c>
      <c r="B168" s="1697" t="s">
        <v>742</v>
      </c>
      <c r="C168" s="617"/>
      <c r="D168" s="617"/>
      <c r="E168" s="617"/>
      <c r="F168" s="617"/>
      <c r="G168" s="617"/>
      <c r="H168" s="1692">
        <f>SUM(H163:H167)</f>
        <v>0</v>
      </c>
      <c r="I168" s="617"/>
      <c r="J168" s="617"/>
      <c r="K168" s="1692">
        <f>SUM(K163:K167)</f>
        <v>0</v>
      </c>
      <c r="L168" s="1692">
        <f>SUM(L163:L167)</f>
        <v>0</v>
      </c>
    </row>
    <row r="169" spans="1:14" ht="15.75" customHeight="1" thickTop="1" x14ac:dyDescent="0.2">
      <c r="A169" s="670" t="s">
        <v>85</v>
      </c>
      <c r="B169" s="671" t="s">
        <v>38</v>
      </c>
      <c r="C169" s="617"/>
      <c r="D169" s="617"/>
      <c r="E169" s="617"/>
      <c r="F169" s="617"/>
      <c r="G169" s="617"/>
      <c r="H169" s="657">
        <v>1058533</v>
      </c>
      <c r="I169" s="617"/>
      <c r="J169" s="617"/>
      <c r="K169" s="1693">
        <f>SUM(C169:H169)</f>
        <v>1058533</v>
      </c>
      <c r="L169" s="657">
        <v>790630</v>
      </c>
    </row>
    <row r="170" spans="1:14" ht="33.75" customHeight="1" x14ac:dyDescent="0.2">
      <c r="A170" s="670" t="s">
        <v>1769</v>
      </c>
      <c r="B170" s="672" t="s">
        <v>31</v>
      </c>
      <c r="C170" s="617"/>
      <c r="D170" s="617"/>
      <c r="E170" s="617"/>
      <c r="F170" s="617"/>
      <c r="G170" s="617"/>
      <c r="H170" s="569">
        <v>845000</v>
      </c>
      <c r="I170" s="617"/>
      <c r="J170" s="617"/>
      <c r="K170" s="1693">
        <f>SUM(C170:J170)</f>
        <v>845000</v>
      </c>
      <c r="L170" s="569">
        <v>845000</v>
      </c>
    </row>
    <row r="171" spans="1:14" ht="15.75" customHeight="1" x14ac:dyDescent="0.2">
      <c r="A171" s="622" t="s">
        <v>790</v>
      </c>
      <c r="B171" s="673" t="s">
        <v>86</v>
      </c>
      <c r="C171" s="617"/>
      <c r="D171" s="617"/>
      <c r="E171" s="466"/>
      <c r="F171" s="617"/>
      <c r="G171" s="617"/>
      <c r="H171" s="569">
        <v>1133</v>
      </c>
      <c r="I171" s="477"/>
      <c r="J171" s="617"/>
      <c r="K171" s="1693">
        <f>SUM(C171:J171)</f>
        <v>1133</v>
      </c>
      <c r="L171" s="569">
        <v>1200</v>
      </c>
    </row>
    <row r="172" spans="1:14" ht="12.75" customHeight="1" thickBot="1" x14ac:dyDescent="0.25">
      <c r="A172" s="1690" t="s">
        <v>659</v>
      </c>
      <c r="B172" s="1691" t="s">
        <v>513</v>
      </c>
      <c r="C172" s="617"/>
      <c r="D172" s="617"/>
      <c r="E172" s="1699">
        <f>SUM(E168,E169,E170,E171)</f>
        <v>0</v>
      </c>
      <c r="F172" s="617"/>
      <c r="G172" s="617"/>
      <c r="H172" s="1699">
        <f>SUM(H168,H169,H170,H171)</f>
        <v>1904666</v>
      </c>
      <c r="I172" s="639"/>
      <c r="J172" s="617"/>
      <c r="K172" s="1699">
        <f>SUM(K168,K169,K170,K171)</f>
        <v>1904666</v>
      </c>
      <c r="L172" s="1699">
        <f>SUM(L168,L169,L170,L171)</f>
        <v>1636830</v>
      </c>
    </row>
    <row r="173" spans="1:14" ht="15.75" customHeight="1" thickTop="1" thickBot="1" x14ac:dyDescent="0.25">
      <c r="A173" s="1641" t="s">
        <v>87</v>
      </c>
      <c r="B173" s="1633" t="s">
        <v>916</v>
      </c>
      <c r="C173" s="617"/>
      <c r="D173" s="617"/>
      <c r="E173" s="624"/>
      <c r="F173" s="617"/>
      <c r="G173" s="617"/>
      <c r="H173" s="627"/>
      <c r="I173" s="639"/>
      <c r="J173" s="617"/>
      <c r="K173" s="624"/>
      <c r="L173" s="576"/>
    </row>
    <row r="174" spans="1:14" ht="12.75" customHeight="1" thickTop="1" thickBot="1" x14ac:dyDescent="0.25">
      <c r="A174" s="1711" t="s">
        <v>92</v>
      </c>
      <c r="B174" s="1712"/>
      <c r="C174" s="617"/>
      <c r="D174" s="617"/>
      <c r="E174" s="1699">
        <f>SUM(E155,E172,E173)</f>
        <v>0</v>
      </c>
      <c r="F174" s="617"/>
      <c r="G174" s="617"/>
      <c r="H174" s="1699">
        <f>SUM(H160,H172,H173)</f>
        <v>1904666</v>
      </c>
      <c r="I174" s="639"/>
      <c r="J174" s="617"/>
      <c r="K174" s="1699">
        <f>SUM(K160,K172,K173)</f>
        <v>1904666</v>
      </c>
      <c r="L174" s="1699">
        <f>SUM(L160,L172,L173)</f>
        <v>1636830</v>
      </c>
    </row>
    <row r="175" spans="1:14" ht="13.5" thickTop="1" x14ac:dyDescent="0.2">
      <c r="A175" s="2200" t="s">
        <v>1053</v>
      </c>
      <c r="B175" s="2201"/>
      <c r="C175" s="617"/>
      <c r="D175" s="617"/>
      <c r="E175" s="617"/>
      <c r="F175" s="617"/>
      <c r="G175" s="617"/>
      <c r="H175" s="619"/>
      <c r="I175" s="617"/>
      <c r="J175" s="617"/>
      <c r="K175" s="1706">
        <f>'Revenues 9-14'!E275-'Expenditures 15-22'!K174</f>
        <v>-57369</v>
      </c>
      <c r="L175" s="619"/>
    </row>
    <row r="176" spans="1:14" s="667" customFormat="1" ht="9" customHeight="1" x14ac:dyDescent="0.2">
      <c r="A176" s="664"/>
      <c r="B176" s="674"/>
      <c r="C176" s="651"/>
      <c r="D176" s="651"/>
      <c r="E176" s="651"/>
      <c r="F176" s="651"/>
      <c r="G176" s="651"/>
      <c r="H176" s="651"/>
      <c r="I176" s="651"/>
      <c r="J176" s="651"/>
      <c r="K176" s="651"/>
      <c r="L176" s="651"/>
      <c r="M176" s="666"/>
      <c r="N176" s="666"/>
    </row>
    <row r="177" spans="1:14" s="343" customFormat="1" ht="16.7" customHeight="1" x14ac:dyDescent="0.2">
      <c r="A177" s="1576" t="s">
        <v>994</v>
      </c>
      <c r="B177" s="1577"/>
      <c r="C177" s="1573"/>
      <c r="D177" s="1574"/>
      <c r="E177" s="1574"/>
      <c r="F177" s="1574"/>
      <c r="G177" s="1574"/>
      <c r="H177" s="1574"/>
      <c r="I177" s="1574"/>
      <c r="J177" s="1574"/>
      <c r="K177" s="1574"/>
      <c r="L177" s="1575"/>
      <c r="M177" s="610"/>
      <c r="N177" s="610"/>
    </row>
    <row r="178" spans="1:14" s="675" customFormat="1" ht="15.75" customHeight="1" x14ac:dyDescent="0.2">
      <c r="A178" s="1642" t="s">
        <v>995</v>
      </c>
      <c r="B178" s="1643"/>
      <c r="C178" s="617"/>
      <c r="D178" s="617"/>
      <c r="E178" s="617"/>
      <c r="F178" s="617"/>
      <c r="G178" s="617"/>
      <c r="H178" s="617"/>
      <c r="I178" s="617"/>
      <c r="J178" s="617"/>
      <c r="K178" s="617"/>
      <c r="L178" s="617"/>
      <c r="M178" s="666"/>
      <c r="N178" s="666"/>
    </row>
    <row r="179" spans="1:14" s="675" customFormat="1" ht="15.75" customHeight="1" x14ac:dyDescent="0.2">
      <c r="A179" s="676" t="s">
        <v>612</v>
      </c>
      <c r="B179" s="623"/>
      <c r="C179" s="624"/>
      <c r="D179" s="624"/>
      <c r="E179" s="624"/>
      <c r="F179" s="617"/>
      <c r="G179" s="617"/>
      <c r="H179" s="624"/>
      <c r="I179" s="617"/>
      <c r="J179" s="617"/>
      <c r="K179" s="624"/>
      <c r="L179" s="624"/>
      <c r="M179" s="666"/>
      <c r="N179" s="666"/>
    </row>
    <row r="180" spans="1:14" ht="12.75" customHeight="1" x14ac:dyDescent="0.2">
      <c r="A180" s="1526" t="s">
        <v>167</v>
      </c>
      <c r="B180" s="615">
        <v>2190</v>
      </c>
      <c r="C180" s="466"/>
      <c r="D180" s="466"/>
      <c r="E180" s="466"/>
      <c r="F180" s="466"/>
      <c r="G180" s="466"/>
      <c r="H180" s="466"/>
      <c r="I180" s="467"/>
      <c r="J180" s="467"/>
      <c r="K180" s="1693">
        <f>SUM(C180:J180)</f>
        <v>0</v>
      </c>
      <c r="L180" s="466"/>
    </row>
    <row r="181" spans="1:14" ht="15.75" customHeight="1" x14ac:dyDescent="0.2">
      <c r="A181" s="625" t="s">
        <v>633</v>
      </c>
      <c r="B181" s="677"/>
      <c r="C181" s="570"/>
      <c r="D181" s="570"/>
      <c r="E181" s="570"/>
      <c r="F181" s="570"/>
      <c r="G181" s="570"/>
      <c r="H181" s="570"/>
      <c r="I181" s="468"/>
      <c r="J181" s="468"/>
      <c r="K181" s="570"/>
      <c r="L181" s="570"/>
    </row>
    <row r="182" spans="1:14" ht="12.75" customHeight="1" x14ac:dyDescent="0.2">
      <c r="A182" s="1526" t="s">
        <v>1010</v>
      </c>
      <c r="B182" s="615">
        <v>2550</v>
      </c>
      <c r="C182" s="466"/>
      <c r="D182" s="466"/>
      <c r="E182" s="466">
        <v>695300</v>
      </c>
      <c r="F182" s="466">
        <v>25051</v>
      </c>
      <c r="G182" s="466"/>
      <c r="H182" s="466"/>
      <c r="I182" s="467"/>
      <c r="J182" s="467"/>
      <c r="K182" s="1693">
        <f>SUM(C182:J182)</f>
        <v>720351</v>
      </c>
      <c r="L182" s="466">
        <v>752500</v>
      </c>
    </row>
    <row r="183" spans="1:14" ht="12.75" customHeight="1" thickBot="1" x14ac:dyDescent="0.25">
      <c r="A183" s="1531" t="s">
        <v>1037</v>
      </c>
      <c r="B183" s="678">
        <v>2900</v>
      </c>
      <c r="C183" s="573"/>
      <c r="D183" s="573"/>
      <c r="E183" s="573"/>
      <c r="F183" s="573"/>
      <c r="G183" s="573"/>
      <c r="H183" s="573"/>
      <c r="I183" s="532"/>
      <c r="J183" s="532"/>
      <c r="K183" s="1699">
        <f>SUM(C183:J183)</f>
        <v>0</v>
      </c>
      <c r="L183" s="573"/>
    </row>
    <row r="184" spans="1:14" ht="12.75" customHeight="1" thickTop="1" thickBot="1" x14ac:dyDescent="0.25">
      <c r="A184" s="1713" t="s">
        <v>865</v>
      </c>
      <c r="B184" s="1691" t="s">
        <v>590</v>
      </c>
      <c r="C184" s="1699">
        <f>SUM(C180,C182,C183)</f>
        <v>0</v>
      </c>
      <c r="D184" s="1699">
        <f t="shared" ref="D184:J184" si="17">SUM(D180,D182,D183)</f>
        <v>0</v>
      </c>
      <c r="E184" s="1699">
        <f t="shared" si="17"/>
        <v>695300</v>
      </c>
      <c r="F184" s="1699">
        <f t="shared" si="17"/>
        <v>25051</v>
      </c>
      <c r="G184" s="1699">
        <f t="shared" si="17"/>
        <v>0</v>
      </c>
      <c r="H184" s="1699">
        <f t="shared" si="17"/>
        <v>0</v>
      </c>
      <c r="I184" s="1699">
        <f t="shared" si="17"/>
        <v>0</v>
      </c>
      <c r="J184" s="1699">
        <f t="shared" si="17"/>
        <v>0</v>
      </c>
      <c r="K184" s="1699">
        <f>SUM(K180,K182,K183)</f>
        <v>720351</v>
      </c>
      <c r="L184" s="1699">
        <f>SUM(L180, L182:L183)</f>
        <v>752500</v>
      </c>
    </row>
    <row r="185" spans="1:14" ht="15.75" customHeight="1" thickTop="1" thickBot="1" x14ac:dyDescent="0.25">
      <c r="A185" s="1644" t="s">
        <v>996</v>
      </c>
      <c r="B185" s="1633">
        <v>3000</v>
      </c>
      <c r="C185" s="576"/>
      <c r="D185" s="576"/>
      <c r="E185" s="576"/>
      <c r="F185" s="576"/>
      <c r="G185" s="576"/>
      <c r="H185" s="576"/>
      <c r="I185" s="531"/>
      <c r="J185" s="531"/>
      <c r="K185" s="1692">
        <f>SUM(C185:J185)</f>
        <v>0</v>
      </c>
      <c r="L185" s="576"/>
    </row>
    <row r="186" spans="1:14" s="675" customFormat="1" ht="15.75" customHeight="1" thickTop="1" x14ac:dyDescent="0.2">
      <c r="A186" s="1628" t="s">
        <v>93</v>
      </c>
      <c r="B186" s="1631" t="s">
        <v>915</v>
      </c>
      <c r="C186" s="617"/>
      <c r="D186" s="617"/>
      <c r="E186" s="617"/>
      <c r="F186" s="617"/>
      <c r="G186" s="617"/>
      <c r="H186" s="617"/>
      <c r="I186" s="617"/>
      <c r="J186" s="617"/>
      <c r="K186" s="617"/>
      <c r="L186" s="617"/>
      <c r="M186" s="666"/>
      <c r="N186" s="666"/>
    </row>
    <row r="187" spans="1:14" s="675" customFormat="1" ht="15.75" customHeight="1" x14ac:dyDescent="0.2">
      <c r="A187" s="622" t="s">
        <v>1193</v>
      </c>
      <c r="B187" s="623"/>
      <c r="C187" s="617"/>
      <c r="D187" s="617"/>
      <c r="E187" s="617"/>
      <c r="F187" s="617"/>
      <c r="G187" s="617"/>
      <c r="H187" s="617"/>
      <c r="I187" s="617"/>
      <c r="J187" s="617"/>
      <c r="K187" s="617"/>
      <c r="L187" s="617"/>
      <c r="M187" s="666"/>
      <c r="N187" s="666"/>
    </row>
    <row r="188" spans="1:14" x14ac:dyDescent="0.2">
      <c r="A188" s="1526" t="s">
        <v>517</v>
      </c>
      <c r="B188" s="615">
        <v>4110</v>
      </c>
      <c r="C188" s="617"/>
      <c r="D188" s="617"/>
      <c r="E188" s="466"/>
      <c r="F188" s="617"/>
      <c r="G188" s="617"/>
      <c r="H188" s="466"/>
      <c r="I188" s="477"/>
      <c r="J188" s="617"/>
      <c r="K188" s="1693">
        <f t="shared" ref="K188:K193" si="18">SUM(E188,H188)</f>
        <v>0</v>
      </c>
      <c r="L188" s="466"/>
    </row>
    <row r="189" spans="1:14" x14ac:dyDescent="0.2">
      <c r="A189" s="1526" t="s">
        <v>322</v>
      </c>
      <c r="B189" s="615">
        <v>4120</v>
      </c>
      <c r="C189" s="617"/>
      <c r="D189" s="617"/>
      <c r="E189" s="466"/>
      <c r="F189" s="617"/>
      <c r="G189" s="617"/>
      <c r="H189" s="466"/>
      <c r="I189" s="477"/>
      <c r="J189" s="617"/>
      <c r="K189" s="1693">
        <f t="shared" si="18"/>
        <v>0</v>
      </c>
      <c r="L189" s="466"/>
    </row>
    <row r="190" spans="1:14" x14ac:dyDescent="0.2">
      <c r="A190" s="1526" t="s">
        <v>323</v>
      </c>
      <c r="B190" s="629">
        <v>4130</v>
      </c>
      <c r="C190" s="617"/>
      <c r="D190" s="617"/>
      <c r="E190" s="466"/>
      <c r="F190" s="617"/>
      <c r="G190" s="617"/>
      <c r="H190" s="466"/>
      <c r="I190" s="477"/>
      <c r="J190" s="617"/>
      <c r="K190" s="1693">
        <f t="shared" si="18"/>
        <v>0</v>
      </c>
      <c r="L190" s="466"/>
    </row>
    <row r="191" spans="1:14" x14ac:dyDescent="0.2">
      <c r="A191" s="1526" t="s">
        <v>721</v>
      </c>
      <c r="B191" s="615">
        <v>4140</v>
      </c>
      <c r="C191" s="617"/>
      <c r="D191" s="617"/>
      <c r="E191" s="466"/>
      <c r="F191" s="617"/>
      <c r="G191" s="617"/>
      <c r="H191" s="466"/>
      <c r="I191" s="477"/>
      <c r="J191" s="617"/>
      <c r="K191" s="1693">
        <f t="shared" si="18"/>
        <v>0</v>
      </c>
      <c r="L191" s="466"/>
    </row>
    <row r="192" spans="1:14" x14ac:dyDescent="0.2">
      <c r="A192" s="1526" t="s">
        <v>88</v>
      </c>
      <c r="B192" s="615">
        <v>4170</v>
      </c>
      <c r="C192" s="617"/>
      <c r="D192" s="617"/>
      <c r="E192" s="466"/>
      <c r="F192" s="617"/>
      <c r="G192" s="617"/>
      <c r="H192" s="466"/>
      <c r="I192" s="477"/>
      <c r="J192" s="617"/>
      <c r="K192" s="1693">
        <f t="shared" si="18"/>
        <v>0</v>
      </c>
      <c r="L192" s="466"/>
    </row>
    <row r="193" spans="1:14" x14ac:dyDescent="0.2">
      <c r="A193" s="1530" t="s">
        <v>722</v>
      </c>
      <c r="B193" s="629">
        <v>4190</v>
      </c>
      <c r="C193" s="617"/>
      <c r="D193" s="617"/>
      <c r="E193" s="466"/>
      <c r="F193" s="617"/>
      <c r="G193" s="617"/>
      <c r="H193" s="466"/>
      <c r="I193" s="477"/>
      <c r="J193" s="617"/>
      <c r="K193" s="1693">
        <f t="shared" si="18"/>
        <v>0</v>
      </c>
      <c r="L193" s="466"/>
    </row>
    <row r="194" spans="1:14" ht="12.75" customHeight="1" thickBot="1" x14ac:dyDescent="0.25">
      <c r="A194" s="1690" t="s">
        <v>1202</v>
      </c>
      <c r="B194" s="1691" t="s">
        <v>580</v>
      </c>
      <c r="C194" s="617"/>
      <c r="D194" s="617"/>
      <c r="E194" s="1692">
        <f>SUM(E188:E193)</f>
        <v>0</v>
      </c>
      <c r="F194" s="617"/>
      <c r="G194" s="617"/>
      <c r="H194" s="1692">
        <f>SUM(H188:H193)</f>
        <v>0</v>
      </c>
      <c r="I194" s="477"/>
      <c r="J194" s="617"/>
      <c r="K194" s="1692">
        <f>SUM(K188:K193)</f>
        <v>0</v>
      </c>
      <c r="L194" s="1692">
        <f>SUM(L188:L193)</f>
        <v>0</v>
      </c>
    </row>
    <row r="195" spans="1:14" ht="15.75" customHeight="1" thickTop="1" x14ac:dyDescent="0.2">
      <c r="A195" s="670" t="s">
        <v>94</v>
      </c>
      <c r="B195" s="679" t="s">
        <v>988</v>
      </c>
      <c r="C195" s="617"/>
      <c r="D195" s="617"/>
      <c r="E195" s="657"/>
      <c r="F195" s="617"/>
      <c r="G195" s="617"/>
      <c r="H195" s="657"/>
      <c r="I195" s="477"/>
      <c r="J195" s="617"/>
      <c r="K195" s="1707">
        <f>SUM(E195,H195)</f>
        <v>0</v>
      </c>
      <c r="L195" s="657"/>
    </row>
    <row r="196" spans="1:14" ht="12.75" customHeight="1" thickBot="1" x14ac:dyDescent="0.25">
      <c r="A196" s="1690" t="s">
        <v>1567</v>
      </c>
      <c r="B196" s="1691" t="s">
        <v>915</v>
      </c>
      <c r="C196" s="617"/>
      <c r="D196" s="617"/>
      <c r="E196" s="1699">
        <f>SUM(E194,E195)</f>
        <v>0</v>
      </c>
      <c r="F196" s="617"/>
      <c r="G196" s="617"/>
      <c r="H196" s="1699">
        <f>SUM(H194,H195)</f>
        <v>0</v>
      </c>
      <c r="I196" s="477"/>
      <c r="J196" s="617"/>
      <c r="K196" s="1699">
        <f>SUM(K194,K195)</f>
        <v>0</v>
      </c>
      <c r="L196" s="1699">
        <f>SUM(L194,L195)</f>
        <v>0</v>
      </c>
    </row>
    <row r="197" spans="1:14" s="675" customFormat="1" ht="15.75" customHeight="1" thickTop="1" x14ac:dyDescent="0.2">
      <c r="A197" s="1634" t="s">
        <v>997</v>
      </c>
      <c r="B197" s="1631" t="s">
        <v>513</v>
      </c>
      <c r="C197" s="617"/>
      <c r="D197" s="617"/>
      <c r="E197" s="617"/>
      <c r="F197" s="617"/>
      <c r="G197" s="617"/>
      <c r="H197" s="617"/>
      <c r="I197" s="617"/>
      <c r="J197" s="617"/>
      <c r="K197" s="617"/>
      <c r="L197" s="617"/>
      <c r="M197" s="666"/>
      <c r="N197" s="666"/>
    </row>
    <row r="198" spans="1:14" s="675" customFormat="1" ht="15.75" customHeight="1" x14ac:dyDescent="0.2">
      <c r="A198" s="654" t="s">
        <v>95</v>
      </c>
      <c r="B198" s="623"/>
      <c r="C198" s="617"/>
      <c r="D198" s="617"/>
      <c r="E198" s="617"/>
      <c r="F198" s="617"/>
      <c r="G198" s="617"/>
      <c r="H198" s="617"/>
      <c r="I198" s="617"/>
      <c r="J198" s="617"/>
      <c r="K198" s="617"/>
      <c r="L198" s="617"/>
      <c r="M198" s="666"/>
      <c r="N198" s="666"/>
    </row>
    <row r="199" spans="1:14" x14ac:dyDescent="0.2">
      <c r="A199" s="1526" t="s">
        <v>89</v>
      </c>
      <c r="B199" s="615">
        <v>5110</v>
      </c>
      <c r="C199" s="617"/>
      <c r="D199" s="617"/>
      <c r="E199" s="617"/>
      <c r="F199" s="617"/>
      <c r="G199" s="617"/>
      <c r="H199" s="466"/>
      <c r="I199" s="617"/>
      <c r="J199" s="617"/>
      <c r="K199" s="1693">
        <f>SUM(H199)</f>
        <v>0</v>
      </c>
      <c r="L199" s="466"/>
    </row>
    <row r="200" spans="1:14" x14ac:dyDescent="0.2">
      <c r="A200" s="1526" t="s">
        <v>90</v>
      </c>
      <c r="B200" s="615">
        <v>5120</v>
      </c>
      <c r="C200" s="617"/>
      <c r="D200" s="617"/>
      <c r="E200" s="617"/>
      <c r="F200" s="617"/>
      <c r="G200" s="617"/>
      <c r="H200" s="466"/>
      <c r="I200" s="617"/>
      <c r="J200" s="617"/>
      <c r="K200" s="1693">
        <f>SUM(H200)</f>
        <v>0</v>
      </c>
      <c r="L200" s="466"/>
    </row>
    <row r="201" spans="1:14" ht="12.75" customHeight="1" x14ac:dyDescent="0.2">
      <c r="A201" s="1526" t="s">
        <v>1232</v>
      </c>
      <c r="B201" s="629" t="s">
        <v>638</v>
      </c>
      <c r="C201" s="617"/>
      <c r="D201" s="617"/>
      <c r="E201" s="617"/>
      <c r="F201" s="617"/>
      <c r="G201" s="617"/>
      <c r="H201" s="466"/>
      <c r="I201" s="617"/>
      <c r="J201" s="617"/>
      <c r="K201" s="1693">
        <f>SUM(H201)</f>
        <v>0</v>
      </c>
      <c r="L201" s="466"/>
    </row>
    <row r="202" spans="1:14" x14ac:dyDescent="0.2">
      <c r="A202" s="1526" t="s">
        <v>91</v>
      </c>
      <c r="B202" s="615" t="s">
        <v>610</v>
      </c>
      <c r="C202" s="617"/>
      <c r="D202" s="617"/>
      <c r="E202" s="617"/>
      <c r="F202" s="617"/>
      <c r="G202" s="617"/>
      <c r="H202" s="466"/>
      <c r="I202" s="617"/>
      <c r="J202" s="617"/>
      <c r="K202" s="1693">
        <f>SUM(H202)</f>
        <v>0</v>
      </c>
      <c r="L202" s="466"/>
    </row>
    <row r="203" spans="1:14" x14ac:dyDescent="0.2">
      <c r="A203" s="1538" t="s">
        <v>640</v>
      </c>
      <c r="B203" s="615" t="s">
        <v>639</v>
      </c>
      <c r="C203" s="617"/>
      <c r="D203" s="617"/>
      <c r="E203" s="617"/>
      <c r="F203" s="617"/>
      <c r="G203" s="617"/>
      <c r="H203" s="471"/>
      <c r="I203" s="617"/>
      <c r="J203" s="617"/>
      <c r="K203" s="1693">
        <f>SUM(H203)</f>
        <v>0</v>
      </c>
      <c r="L203" s="471"/>
    </row>
    <row r="204" spans="1:14" ht="13.5" thickBot="1" x14ac:dyDescent="0.25">
      <c r="A204" s="1690" t="s">
        <v>294</v>
      </c>
      <c r="B204" s="1691" t="s">
        <v>742</v>
      </c>
      <c r="C204" s="617"/>
      <c r="D204" s="617"/>
      <c r="E204" s="617"/>
      <c r="F204" s="617"/>
      <c r="G204" s="617"/>
      <c r="H204" s="1692">
        <f>SUM(H199:H203)</f>
        <v>0</v>
      </c>
      <c r="I204" s="617"/>
      <c r="J204" s="617"/>
      <c r="K204" s="1692">
        <f>SUM(K199:K203)</f>
        <v>0</v>
      </c>
      <c r="L204" s="1692">
        <f>SUM(L199:L203)</f>
        <v>0</v>
      </c>
    </row>
    <row r="205" spans="1:14" ht="15.75" customHeight="1" thickTop="1" x14ac:dyDescent="0.2">
      <c r="A205" s="680" t="s">
        <v>85</v>
      </c>
      <c r="B205" s="681" t="s">
        <v>38</v>
      </c>
      <c r="C205" s="617"/>
      <c r="D205" s="617"/>
      <c r="E205" s="617"/>
      <c r="F205" s="617"/>
      <c r="G205" s="617"/>
      <c r="H205" s="535"/>
      <c r="I205" s="617"/>
      <c r="J205" s="617"/>
      <c r="K205" s="1707">
        <f>SUM(H205)</f>
        <v>0</v>
      </c>
      <c r="L205" s="535"/>
    </row>
    <row r="206" spans="1:14" ht="30" customHeight="1" x14ac:dyDescent="0.2">
      <c r="A206" s="682" t="s">
        <v>1770</v>
      </c>
      <c r="B206" s="673" t="s">
        <v>31</v>
      </c>
      <c r="C206" s="617"/>
      <c r="D206" s="617"/>
      <c r="E206" s="617"/>
      <c r="F206" s="617"/>
      <c r="G206" s="617"/>
      <c r="H206" s="466"/>
      <c r="I206" s="617"/>
      <c r="J206" s="617"/>
      <c r="K206" s="1693">
        <f>SUM(H206)</f>
        <v>0</v>
      </c>
      <c r="L206" s="466"/>
    </row>
    <row r="207" spans="1:14" ht="15.75" customHeight="1" x14ac:dyDescent="0.2">
      <c r="A207" s="622" t="s">
        <v>790</v>
      </c>
      <c r="B207" s="673" t="s">
        <v>86</v>
      </c>
      <c r="C207" s="617"/>
      <c r="D207" s="617"/>
      <c r="E207" s="617"/>
      <c r="F207" s="617"/>
      <c r="G207" s="617"/>
      <c r="H207" s="467"/>
      <c r="I207" s="617"/>
      <c r="J207" s="617"/>
      <c r="K207" s="1693">
        <f>H207</f>
        <v>0</v>
      </c>
      <c r="L207" s="466"/>
    </row>
    <row r="208" spans="1:14" ht="12.75" customHeight="1" thickBot="1" x14ac:dyDescent="0.25">
      <c r="A208" s="1708" t="s">
        <v>659</v>
      </c>
      <c r="B208" s="1709" t="s">
        <v>513</v>
      </c>
      <c r="C208" s="617"/>
      <c r="D208" s="617"/>
      <c r="E208" s="617"/>
      <c r="F208" s="617"/>
      <c r="G208" s="617"/>
      <c r="H208" s="1699">
        <f>SUM(H204,H205,H206,H207)</f>
        <v>0</v>
      </c>
      <c r="I208" s="617"/>
      <c r="J208" s="617"/>
      <c r="K208" s="1699">
        <f>SUM(K204,K205,K206,K207)</f>
        <v>0</v>
      </c>
      <c r="L208" s="1699">
        <f>SUM(L204,L205,L206,L207)</f>
        <v>0</v>
      </c>
    </row>
    <row r="209" spans="1:14" ht="15.75" customHeight="1" thickTop="1" thickBot="1" x14ac:dyDescent="0.25">
      <c r="A209" s="1628" t="s">
        <v>927</v>
      </c>
      <c r="B209" s="1635" t="s">
        <v>916</v>
      </c>
      <c r="C209" s="624"/>
      <c r="D209" s="624"/>
      <c r="E209" s="624"/>
      <c r="F209" s="624"/>
      <c r="G209" s="624"/>
      <c r="H209" s="624"/>
      <c r="I209" s="617"/>
      <c r="J209" s="617"/>
      <c r="K209" s="624"/>
      <c r="L209" s="576"/>
    </row>
    <row r="210" spans="1:14" ht="12.75" customHeight="1" thickTop="1" thickBot="1" x14ac:dyDescent="0.25">
      <c r="A210" s="1714" t="s">
        <v>295</v>
      </c>
      <c r="B210" s="1715"/>
      <c r="C210" s="1692">
        <f>SUM(C184,C185)</f>
        <v>0</v>
      </c>
      <c r="D210" s="1692">
        <f>SUM(D184,D185)</f>
        <v>0</v>
      </c>
      <c r="E210" s="1692">
        <f>SUM(E184,E185,E196)</f>
        <v>695300</v>
      </c>
      <c r="F210" s="1692">
        <f>SUM(F184,F185)</f>
        <v>25051</v>
      </c>
      <c r="G210" s="1692">
        <f>SUM(G184,G185)</f>
        <v>0</v>
      </c>
      <c r="H210" s="1692">
        <f>SUM(H184,H185,H196,H208,H209)</f>
        <v>0</v>
      </c>
      <c r="I210" s="1692">
        <f>SUM(I184,I185)</f>
        <v>0</v>
      </c>
      <c r="J210" s="1692">
        <f>SUM(J184,J185)</f>
        <v>0</v>
      </c>
      <c r="K210" s="1693">
        <f>SUM(K184,K185,K196,K208,K209)</f>
        <v>720351</v>
      </c>
      <c r="L210" s="1692">
        <f>SUM(L184,L185,L196,L208,L209)</f>
        <v>752500</v>
      </c>
    </row>
    <row r="211" spans="1:14" ht="13.5" thickTop="1" x14ac:dyDescent="0.2">
      <c r="A211" s="2200" t="s">
        <v>1053</v>
      </c>
      <c r="B211" s="2201"/>
      <c r="C211" s="619"/>
      <c r="D211" s="619"/>
      <c r="E211" s="619"/>
      <c r="F211" s="619"/>
      <c r="G211" s="619"/>
      <c r="H211" s="619"/>
      <c r="I211" s="617"/>
      <c r="J211" s="617"/>
      <c r="K211" s="1706">
        <f>'Revenues 9-14'!F275-'Expenditures 15-22'!K210</f>
        <v>236316</v>
      </c>
      <c r="L211" s="619"/>
    </row>
    <row r="212" spans="1:14" s="667" customFormat="1" ht="9" customHeight="1" x14ac:dyDescent="0.2">
      <c r="A212" s="664"/>
      <c r="B212" s="674"/>
      <c r="C212" s="651"/>
      <c r="D212" s="651"/>
      <c r="E212" s="651"/>
      <c r="F212" s="651"/>
      <c r="G212" s="651"/>
      <c r="H212" s="651"/>
      <c r="I212" s="651"/>
      <c r="J212" s="651"/>
      <c r="K212" s="651"/>
      <c r="L212" s="651"/>
      <c r="M212" s="666"/>
      <c r="N212" s="666"/>
    </row>
    <row r="213" spans="1:14" s="343" customFormat="1" ht="16.7" customHeight="1" x14ac:dyDescent="0.2">
      <c r="A213" s="2195" t="s">
        <v>1022</v>
      </c>
      <c r="B213" s="2196"/>
      <c r="C213" s="1573"/>
      <c r="D213" s="1574"/>
      <c r="E213" s="1574"/>
      <c r="F213" s="1574"/>
      <c r="G213" s="1574"/>
      <c r="H213" s="1574"/>
      <c r="I213" s="1574"/>
      <c r="J213" s="1574"/>
      <c r="K213" s="1574"/>
      <c r="L213" s="1575"/>
      <c r="M213" s="610"/>
      <c r="N213" s="610"/>
    </row>
    <row r="214" spans="1:14" s="675" customFormat="1" ht="15.75" customHeight="1" x14ac:dyDescent="0.2">
      <c r="A214" s="1645" t="s">
        <v>928</v>
      </c>
      <c r="B214" s="1637" t="s">
        <v>591</v>
      </c>
      <c r="C214" s="617"/>
      <c r="D214" s="624"/>
      <c r="E214" s="617"/>
      <c r="F214" s="617"/>
      <c r="G214" s="617"/>
      <c r="H214" s="617"/>
      <c r="I214" s="617"/>
      <c r="J214" s="617"/>
      <c r="K214" s="624"/>
      <c r="L214" s="624"/>
      <c r="M214" s="666"/>
      <c r="N214" s="666"/>
    </row>
    <row r="215" spans="1:14" x14ac:dyDescent="0.2">
      <c r="A215" s="1526" t="s">
        <v>1018</v>
      </c>
      <c r="B215" s="615">
        <v>1100</v>
      </c>
      <c r="C215" s="617"/>
      <c r="D215" s="466">
        <v>80966</v>
      </c>
      <c r="E215" s="617"/>
      <c r="F215" s="617"/>
      <c r="G215" s="617"/>
      <c r="H215" s="617"/>
      <c r="I215" s="617"/>
      <c r="J215" s="617"/>
      <c r="K215" s="1693">
        <f>D215</f>
        <v>80966</v>
      </c>
      <c r="L215" s="466">
        <v>90196</v>
      </c>
    </row>
    <row r="216" spans="1:14" x14ac:dyDescent="0.2">
      <c r="A216" s="1526" t="s">
        <v>165</v>
      </c>
      <c r="B216" s="615" t="s">
        <v>1024</v>
      </c>
      <c r="C216" s="617"/>
      <c r="D216" s="467">
        <v>14569</v>
      </c>
      <c r="E216" s="617"/>
      <c r="F216" s="617"/>
      <c r="G216" s="617"/>
      <c r="H216" s="617"/>
      <c r="I216" s="617"/>
      <c r="J216" s="617"/>
      <c r="K216" s="1693">
        <f t="shared" ref="K216:K228" si="19">D216</f>
        <v>14569</v>
      </c>
      <c r="L216" s="466">
        <v>20503</v>
      </c>
    </row>
    <row r="217" spans="1:14" x14ac:dyDescent="0.2">
      <c r="A217" s="1526" t="s">
        <v>166</v>
      </c>
      <c r="B217" s="615">
        <v>1200</v>
      </c>
      <c r="C217" s="617"/>
      <c r="D217" s="466">
        <v>149396</v>
      </c>
      <c r="E217" s="617"/>
      <c r="F217" s="617"/>
      <c r="G217" s="617"/>
      <c r="H217" s="617"/>
      <c r="I217" s="617"/>
      <c r="J217" s="617"/>
      <c r="K217" s="1693">
        <f t="shared" si="19"/>
        <v>149396</v>
      </c>
      <c r="L217" s="466">
        <v>186984</v>
      </c>
    </row>
    <row r="218" spans="1:14" x14ac:dyDescent="0.2">
      <c r="A218" s="1526" t="s">
        <v>296</v>
      </c>
      <c r="B218" s="615" t="s">
        <v>1025</v>
      </c>
      <c r="C218" s="617"/>
      <c r="D218" s="467">
        <v>1200</v>
      </c>
      <c r="E218" s="617"/>
      <c r="F218" s="617"/>
      <c r="G218" s="617"/>
      <c r="H218" s="617"/>
      <c r="I218" s="617"/>
      <c r="J218" s="617"/>
      <c r="K218" s="1693">
        <f t="shared" si="19"/>
        <v>1200</v>
      </c>
      <c r="L218" s="466">
        <v>18</v>
      </c>
    </row>
    <row r="219" spans="1:14" x14ac:dyDescent="0.2">
      <c r="A219" s="1526" t="s">
        <v>297</v>
      </c>
      <c r="B219" s="615">
        <v>1250</v>
      </c>
      <c r="C219" s="617"/>
      <c r="D219" s="466">
        <v>39595</v>
      </c>
      <c r="E219" s="617"/>
      <c r="F219" s="617"/>
      <c r="G219" s="617"/>
      <c r="H219" s="617"/>
      <c r="I219" s="617"/>
      <c r="J219" s="617"/>
      <c r="K219" s="1693">
        <f t="shared" si="19"/>
        <v>39595</v>
      </c>
      <c r="L219" s="466">
        <v>48751</v>
      </c>
    </row>
    <row r="220" spans="1:14" x14ac:dyDescent="0.2">
      <c r="A220" s="1526" t="s">
        <v>298</v>
      </c>
      <c r="B220" s="615" t="s">
        <v>163</v>
      </c>
      <c r="C220" s="617"/>
      <c r="D220" s="467"/>
      <c r="E220" s="617"/>
      <c r="F220" s="617"/>
      <c r="G220" s="617"/>
      <c r="H220" s="617"/>
      <c r="I220" s="617"/>
      <c r="J220" s="617"/>
      <c r="K220" s="1693">
        <f t="shared" si="19"/>
        <v>0</v>
      </c>
      <c r="L220" s="466"/>
    </row>
    <row r="221" spans="1:14" x14ac:dyDescent="0.2">
      <c r="A221" s="1526" t="s">
        <v>1019</v>
      </c>
      <c r="B221" s="615">
        <v>1300</v>
      </c>
      <c r="C221" s="617"/>
      <c r="D221" s="466"/>
      <c r="E221" s="617"/>
      <c r="F221" s="617"/>
      <c r="G221" s="617"/>
      <c r="H221" s="617"/>
      <c r="I221" s="617"/>
      <c r="J221" s="617"/>
      <c r="K221" s="1693">
        <f t="shared" si="19"/>
        <v>0</v>
      </c>
      <c r="L221" s="466"/>
    </row>
    <row r="222" spans="1:14" x14ac:dyDescent="0.2">
      <c r="A222" s="1526" t="s">
        <v>747</v>
      </c>
      <c r="B222" s="615">
        <v>1400</v>
      </c>
      <c r="C222" s="617"/>
      <c r="D222" s="466"/>
      <c r="E222" s="617"/>
      <c r="F222" s="617"/>
      <c r="G222" s="617"/>
      <c r="H222" s="617"/>
      <c r="I222" s="617"/>
      <c r="J222" s="617"/>
      <c r="K222" s="1693">
        <f t="shared" si="19"/>
        <v>0</v>
      </c>
      <c r="L222" s="466"/>
    </row>
    <row r="223" spans="1:14" x14ac:dyDescent="0.2">
      <c r="A223" s="1526" t="s">
        <v>1020</v>
      </c>
      <c r="B223" s="615">
        <v>1500</v>
      </c>
      <c r="C223" s="617"/>
      <c r="D223" s="466"/>
      <c r="E223" s="617"/>
      <c r="F223" s="617"/>
      <c r="G223" s="617"/>
      <c r="H223" s="617"/>
      <c r="I223" s="617"/>
      <c r="J223" s="617"/>
      <c r="K223" s="1693">
        <f t="shared" si="19"/>
        <v>0</v>
      </c>
      <c r="L223" s="466"/>
    </row>
    <row r="224" spans="1:14" x14ac:dyDescent="0.2">
      <c r="A224" s="1526" t="s">
        <v>1021</v>
      </c>
      <c r="B224" s="615">
        <v>1600</v>
      </c>
      <c r="C224" s="617"/>
      <c r="D224" s="466">
        <v>95</v>
      </c>
      <c r="E224" s="617"/>
      <c r="F224" s="617"/>
      <c r="G224" s="617"/>
      <c r="H224" s="617"/>
      <c r="I224" s="617"/>
      <c r="J224" s="617"/>
      <c r="K224" s="1693">
        <f t="shared" si="19"/>
        <v>95</v>
      </c>
      <c r="L224" s="466">
        <v>50</v>
      </c>
    </row>
    <row r="225" spans="1:12" x14ac:dyDescent="0.2">
      <c r="A225" s="1526" t="s">
        <v>1044</v>
      </c>
      <c r="B225" s="615">
        <v>1650</v>
      </c>
      <c r="C225" s="617"/>
      <c r="D225" s="466"/>
      <c r="E225" s="617"/>
      <c r="F225" s="617"/>
      <c r="G225" s="617"/>
      <c r="H225" s="617"/>
      <c r="I225" s="617"/>
      <c r="J225" s="617"/>
      <c r="K225" s="1693">
        <f t="shared" si="19"/>
        <v>0</v>
      </c>
      <c r="L225" s="466"/>
    </row>
    <row r="226" spans="1:12" x14ac:dyDescent="0.2">
      <c r="A226" s="1526" t="s">
        <v>748</v>
      </c>
      <c r="B226" s="615" t="s">
        <v>164</v>
      </c>
      <c r="C226" s="617"/>
      <c r="D226" s="467"/>
      <c r="E226" s="617"/>
      <c r="F226" s="617"/>
      <c r="G226" s="617"/>
      <c r="H226" s="617"/>
      <c r="I226" s="617"/>
      <c r="J226" s="617"/>
      <c r="K226" s="1693">
        <f t="shared" si="19"/>
        <v>0</v>
      </c>
      <c r="L226" s="466"/>
    </row>
    <row r="227" spans="1:12" x14ac:dyDescent="0.2">
      <c r="A227" s="1526" t="s">
        <v>1148</v>
      </c>
      <c r="B227" s="615">
        <v>1800</v>
      </c>
      <c r="C227" s="617"/>
      <c r="D227" s="466">
        <v>18902</v>
      </c>
      <c r="E227" s="617"/>
      <c r="F227" s="617"/>
      <c r="G227" s="617"/>
      <c r="H227" s="617"/>
      <c r="I227" s="617"/>
      <c r="J227" s="617"/>
      <c r="K227" s="1693">
        <f t="shared" si="19"/>
        <v>18902</v>
      </c>
      <c r="L227" s="466">
        <v>25801</v>
      </c>
    </row>
    <row r="228" spans="1:12" x14ac:dyDescent="0.2">
      <c r="A228" s="1526" t="s">
        <v>1149</v>
      </c>
      <c r="B228" s="615">
        <v>1900</v>
      </c>
      <c r="C228" s="617"/>
      <c r="D228" s="466"/>
      <c r="E228" s="617"/>
      <c r="F228" s="617"/>
      <c r="G228" s="617"/>
      <c r="H228" s="617"/>
      <c r="I228" s="617"/>
      <c r="J228" s="617"/>
      <c r="K228" s="1693">
        <f t="shared" si="19"/>
        <v>0</v>
      </c>
      <c r="L228" s="466"/>
    </row>
    <row r="229" spans="1:12" ht="12.75" customHeight="1" thickBot="1" x14ac:dyDescent="0.25">
      <c r="A229" s="1690" t="s">
        <v>739</v>
      </c>
      <c r="B229" s="1697" t="s">
        <v>591</v>
      </c>
      <c r="C229" s="617"/>
      <c r="D229" s="1692">
        <f>SUM(D215:D228)</f>
        <v>304723</v>
      </c>
      <c r="E229" s="617"/>
      <c r="F229" s="617"/>
      <c r="G229" s="617"/>
      <c r="H229" s="617"/>
      <c r="I229" s="617"/>
      <c r="J229" s="617"/>
      <c r="K229" s="1692">
        <f>SUM(K215:K228)</f>
        <v>304723</v>
      </c>
      <c r="L229" s="1692">
        <f>SUM(L215:L228)</f>
        <v>372303</v>
      </c>
    </row>
    <row r="230" spans="1:12" ht="15.75" customHeight="1" thickTop="1" x14ac:dyDescent="0.2">
      <c r="A230" s="1634" t="s">
        <v>929</v>
      </c>
      <c r="B230" s="1635" t="s">
        <v>590</v>
      </c>
      <c r="C230" s="617"/>
      <c r="D230" s="617"/>
      <c r="E230" s="617"/>
      <c r="F230" s="617"/>
      <c r="G230" s="617"/>
      <c r="H230" s="617"/>
      <c r="I230" s="617"/>
      <c r="J230" s="617"/>
      <c r="K230" s="617"/>
      <c r="L230" s="617"/>
    </row>
    <row r="231" spans="1:12" ht="15.75" customHeight="1" x14ac:dyDescent="0.2">
      <c r="A231" s="654" t="s">
        <v>612</v>
      </c>
      <c r="B231" s="623"/>
      <c r="C231" s="617"/>
      <c r="D231" s="617"/>
      <c r="E231" s="617"/>
      <c r="F231" s="617"/>
      <c r="G231" s="617"/>
      <c r="H231" s="617"/>
      <c r="I231" s="617"/>
      <c r="J231" s="617"/>
      <c r="K231" s="617"/>
      <c r="L231" s="617"/>
    </row>
    <row r="232" spans="1:12" x14ac:dyDescent="0.2">
      <c r="A232" s="1526" t="s">
        <v>1150</v>
      </c>
      <c r="B232" s="615">
        <v>2110</v>
      </c>
      <c r="C232" s="617"/>
      <c r="D232" s="466">
        <v>4571</v>
      </c>
      <c r="E232" s="617"/>
      <c r="F232" s="617"/>
      <c r="G232" s="617"/>
      <c r="H232" s="617"/>
      <c r="I232" s="617"/>
      <c r="J232" s="617"/>
      <c r="K232" s="1693">
        <f t="shared" ref="K232:K237" si="20">D232</f>
        <v>4571</v>
      </c>
      <c r="L232" s="466">
        <v>4881</v>
      </c>
    </row>
    <row r="233" spans="1:12" x14ac:dyDescent="0.2">
      <c r="A233" s="1526" t="s">
        <v>1151</v>
      </c>
      <c r="B233" s="615">
        <v>2120</v>
      </c>
      <c r="C233" s="617"/>
      <c r="D233" s="466"/>
      <c r="E233" s="617"/>
      <c r="F233" s="617"/>
      <c r="G233" s="617"/>
      <c r="H233" s="617"/>
      <c r="I233" s="617"/>
      <c r="J233" s="617"/>
      <c r="K233" s="1693">
        <f t="shared" si="20"/>
        <v>0</v>
      </c>
      <c r="L233" s="466"/>
    </row>
    <row r="234" spans="1:12" x14ac:dyDescent="0.2">
      <c r="A234" s="1526" t="s">
        <v>207</v>
      </c>
      <c r="B234" s="615">
        <v>2130</v>
      </c>
      <c r="C234" s="617"/>
      <c r="D234" s="466">
        <v>35958</v>
      </c>
      <c r="E234" s="617"/>
      <c r="F234" s="617"/>
      <c r="G234" s="617"/>
      <c r="H234" s="617"/>
      <c r="I234" s="617"/>
      <c r="J234" s="617"/>
      <c r="K234" s="1693">
        <f t="shared" si="20"/>
        <v>35958</v>
      </c>
      <c r="L234" s="466">
        <v>31500</v>
      </c>
    </row>
    <row r="235" spans="1:12" x14ac:dyDescent="0.2">
      <c r="A235" s="1526" t="s">
        <v>208</v>
      </c>
      <c r="B235" s="615">
        <v>2140</v>
      </c>
      <c r="C235" s="617"/>
      <c r="D235" s="466">
        <v>2895</v>
      </c>
      <c r="E235" s="617"/>
      <c r="F235" s="617"/>
      <c r="G235" s="617"/>
      <c r="H235" s="617"/>
      <c r="I235" s="617"/>
      <c r="J235" s="617"/>
      <c r="K235" s="1693">
        <f t="shared" si="20"/>
        <v>2895</v>
      </c>
      <c r="L235" s="466">
        <v>2954</v>
      </c>
    </row>
    <row r="236" spans="1:12" x14ac:dyDescent="0.2">
      <c r="A236" s="1526" t="s">
        <v>209</v>
      </c>
      <c r="B236" s="615">
        <v>2150</v>
      </c>
      <c r="C236" s="617"/>
      <c r="D236" s="466">
        <v>2641</v>
      </c>
      <c r="E236" s="617"/>
      <c r="F236" s="617"/>
      <c r="G236" s="617"/>
      <c r="H236" s="617"/>
      <c r="I236" s="617"/>
      <c r="J236" s="617"/>
      <c r="K236" s="1693">
        <f t="shared" si="20"/>
        <v>2641</v>
      </c>
      <c r="L236" s="466">
        <v>2833</v>
      </c>
    </row>
    <row r="237" spans="1:12" x14ac:dyDescent="0.2">
      <c r="A237" s="1526" t="s">
        <v>167</v>
      </c>
      <c r="B237" s="615">
        <v>2190</v>
      </c>
      <c r="C237" s="617"/>
      <c r="D237" s="466"/>
      <c r="E237" s="617"/>
      <c r="F237" s="617"/>
      <c r="G237" s="617"/>
      <c r="H237" s="617"/>
      <c r="I237" s="617"/>
      <c r="J237" s="617"/>
      <c r="K237" s="1693">
        <f t="shared" si="20"/>
        <v>0</v>
      </c>
      <c r="L237" s="466"/>
    </row>
    <row r="238" spans="1:12" ht="12.75" customHeight="1" thickBot="1" x14ac:dyDescent="0.25">
      <c r="A238" s="1690" t="s">
        <v>581</v>
      </c>
      <c r="B238" s="1697" t="s">
        <v>740</v>
      </c>
      <c r="C238" s="617"/>
      <c r="D238" s="1692">
        <f>SUM(D232:D237)</f>
        <v>46065</v>
      </c>
      <c r="E238" s="617"/>
      <c r="F238" s="617"/>
      <c r="G238" s="617"/>
      <c r="H238" s="617"/>
      <c r="I238" s="617"/>
      <c r="J238" s="617"/>
      <c r="K238" s="1692">
        <f>SUM(K232:K237)</f>
        <v>46065</v>
      </c>
      <c r="L238" s="1692">
        <f>SUM(L232:L237)</f>
        <v>42168</v>
      </c>
    </row>
    <row r="239" spans="1:12" ht="15.75" customHeight="1" thickTop="1" x14ac:dyDescent="0.2">
      <c r="A239" s="625" t="s">
        <v>613</v>
      </c>
      <c r="B239" s="632"/>
      <c r="C239" s="617"/>
      <c r="D239" s="627"/>
      <c r="E239" s="617"/>
      <c r="F239" s="617"/>
      <c r="G239" s="617"/>
      <c r="H239" s="617"/>
      <c r="I239" s="617"/>
      <c r="J239" s="617"/>
      <c r="K239" s="627"/>
      <c r="L239" s="627"/>
    </row>
    <row r="240" spans="1:12" x14ac:dyDescent="0.2">
      <c r="A240" s="1526" t="s">
        <v>868</v>
      </c>
      <c r="B240" s="615">
        <v>2210</v>
      </c>
      <c r="C240" s="617"/>
      <c r="D240" s="481">
        <v>3031</v>
      </c>
      <c r="E240" s="617"/>
      <c r="F240" s="617"/>
      <c r="G240" s="617"/>
      <c r="H240" s="617"/>
      <c r="I240" s="617"/>
      <c r="J240" s="617"/>
      <c r="K240" s="1694">
        <f>D240</f>
        <v>3031</v>
      </c>
      <c r="L240" s="481">
        <v>2370</v>
      </c>
    </row>
    <row r="241" spans="1:12" x14ac:dyDescent="0.2">
      <c r="A241" s="1526" t="s">
        <v>869</v>
      </c>
      <c r="B241" s="615">
        <v>2220</v>
      </c>
      <c r="C241" s="617"/>
      <c r="D241" s="466">
        <v>10753</v>
      </c>
      <c r="E241" s="617"/>
      <c r="F241" s="617"/>
      <c r="G241" s="617"/>
      <c r="H241" s="617"/>
      <c r="I241" s="617"/>
      <c r="J241" s="617"/>
      <c r="K241" s="1694">
        <f>D241</f>
        <v>10753</v>
      </c>
      <c r="L241" s="466">
        <v>10410</v>
      </c>
    </row>
    <row r="242" spans="1:12" x14ac:dyDescent="0.2">
      <c r="A242" s="1526" t="s">
        <v>870</v>
      </c>
      <c r="B242" s="615">
        <v>2230</v>
      </c>
      <c r="C242" s="617"/>
      <c r="D242" s="466"/>
      <c r="E242" s="617"/>
      <c r="F242" s="617"/>
      <c r="G242" s="617"/>
      <c r="H242" s="617"/>
      <c r="I242" s="617"/>
      <c r="J242" s="617"/>
      <c r="K242" s="1694">
        <f>D242</f>
        <v>0</v>
      </c>
      <c r="L242" s="466"/>
    </row>
    <row r="243" spans="1:12" ht="12.75" customHeight="1" thickBot="1" x14ac:dyDescent="0.25">
      <c r="A243" s="1716" t="s">
        <v>582</v>
      </c>
      <c r="B243" s="1717">
        <v>2200</v>
      </c>
      <c r="C243" s="617"/>
      <c r="D243" s="1692">
        <f>SUM(D240:D242)</f>
        <v>13784</v>
      </c>
      <c r="E243" s="617"/>
      <c r="F243" s="617"/>
      <c r="G243" s="617"/>
      <c r="H243" s="617"/>
      <c r="I243" s="617"/>
      <c r="J243" s="617"/>
      <c r="K243" s="1692">
        <f>SUM(K240:K242)</f>
        <v>13784</v>
      </c>
      <c r="L243" s="1692">
        <f>SUM(L240:L242)</f>
        <v>12780</v>
      </c>
    </row>
    <row r="244" spans="1:12" ht="15.75" customHeight="1" thickTop="1" x14ac:dyDescent="0.2">
      <c r="A244" s="625" t="s">
        <v>631</v>
      </c>
      <c r="B244" s="683"/>
      <c r="C244" s="617"/>
      <c r="D244" s="627"/>
      <c r="E244" s="617"/>
      <c r="F244" s="617"/>
      <c r="G244" s="617"/>
      <c r="H244" s="617"/>
      <c r="I244" s="617"/>
      <c r="J244" s="617"/>
      <c r="K244" s="627"/>
      <c r="L244" s="627"/>
    </row>
    <row r="245" spans="1:12" x14ac:dyDescent="0.2">
      <c r="A245" s="1526" t="s">
        <v>871</v>
      </c>
      <c r="B245" s="615">
        <v>2310</v>
      </c>
      <c r="C245" s="617"/>
      <c r="D245" s="481"/>
      <c r="E245" s="617"/>
      <c r="F245" s="617"/>
      <c r="G245" s="617"/>
      <c r="H245" s="617"/>
      <c r="I245" s="617"/>
      <c r="J245" s="617"/>
      <c r="K245" s="1694">
        <f>D245</f>
        <v>0</v>
      </c>
      <c r="L245" s="481"/>
    </row>
    <row r="246" spans="1:12" x14ac:dyDescent="0.2">
      <c r="A246" s="1526" t="s">
        <v>872</v>
      </c>
      <c r="B246" s="615">
        <v>2320</v>
      </c>
      <c r="C246" s="617"/>
      <c r="D246" s="466">
        <v>22085</v>
      </c>
      <c r="E246" s="617"/>
      <c r="F246" s="617"/>
      <c r="G246" s="617"/>
      <c r="H246" s="617"/>
      <c r="I246" s="617"/>
      <c r="J246" s="617"/>
      <c r="K246" s="1694">
        <f t="shared" ref="K246:K256" si="21">D246</f>
        <v>22085</v>
      </c>
      <c r="L246" s="466">
        <v>17500</v>
      </c>
    </row>
    <row r="247" spans="1:12" x14ac:dyDescent="0.2">
      <c r="A247" s="1526" t="s">
        <v>873</v>
      </c>
      <c r="B247" s="615">
        <v>2330</v>
      </c>
      <c r="C247" s="617"/>
      <c r="D247" s="466"/>
      <c r="E247" s="617"/>
      <c r="F247" s="617"/>
      <c r="G247" s="617"/>
      <c r="H247" s="617"/>
      <c r="I247" s="617"/>
      <c r="J247" s="617"/>
      <c r="K247" s="1694">
        <f t="shared" si="21"/>
        <v>0</v>
      </c>
      <c r="L247" s="466"/>
    </row>
    <row r="248" spans="1:12" x14ac:dyDescent="0.2">
      <c r="A248" s="1527" t="s">
        <v>317</v>
      </c>
      <c r="B248" s="603" t="s">
        <v>299</v>
      </c>
      <c r="C248" s="617"/>
      <c r="D248" s="474"/>
      <c r="E248" s="617"/>
      <c r="F248" s="617"/>
      <c r="G248" s="617"/>
      <c r="H248" s="617"/>
      <c r="I248" s="617"/>
      <c r="J248" s="617"/>
      <c r="K248" s="1694">
        <f t="shared" si="21"/>
        <v>0</v>
      </c>
      <c r="L248" s="466"/>
    </row>
    <row r="249" spans="1:12" x14ac:dyDescent="0.2">
      <c r="A249" s="1528" t="s">
        <v>1906</v>
      </c>
      <c r="B249" s="684" t="s">
        <v>300</v>
      </c>
      <c r="C249" s="617"/>
      <c r="D249" s="474"/>
      <c r="E249" s="617"/>
      <c r="F249" s="617"/>
      <c r="G249" s="617"/>
      <c r="H249" s="617"/>
      <c r="I249" s="617"/>
      <c r="J249" s="617"/>
      <c r="K249" s="1694">
        <f t="shared" si="21"/>
        <v>0</v>
      </c>
      <c r="L249" s="466"/>
    </row>
    <row r="250" spans="1:12" x14ac:dyDescent="0.2">
      <c r="A250" s="1527" t="s">
        <v>1907</v>
      </c>
      <c r="B250" s="603" t="s">
        <v>301</v>
      </c>
      <c r="C250" s="617"/>
      <c r="D250" s="474"/>
      <c r="E250" s="617"/>
      <c r="F250" s="617"/>
      <c r="G250" s="617"/>
      <c r="H250" s="617"/>
      <c r="I250" s="617"/>
      <c r="J250" s="617"/>
      <c r="K250" s="1694">
        <f t="shared" si="21"/>
        <v>0</v>
      </c>
      <c r="L250" s="466"/>
    </row>
    <row r="251" spans="1:12" x14ac:dyDescent="0.2">
      <c r="A251" s="1527" t="s">
        <v>256</v>
      </c>
      <c r="B251" s="603" t="s">
        <v>302</v>
      </c>
      <c r="C251" s="617"/>
      <c r="D251" s="474"/>
      <c r="E251" s="617"/>
      <c r="F251" s="617"/>
      <c r="G251" s="617"/>
      <c r="H251" s="617"/>
      <c r="I251" s="617"/>
      <c r="J251" s="617"/>
      <c r="K251" s="1694">
        <f t="shared" si="21"/>
        <v>0</v>
      </c>
      <c r="L251" s="466"/>
    </row>
    <row r="252" spans="1:12" x14ac:dyDescent="0.2">
      <c r="A252" s="1527" t="s">
        <v>726</v>
      </c>
      <c r="B252" s="603" t="s">
        <v>303</v>
      </c>
      <c r="C252" s="617"/>
      <c r="D252" s="474"/>
      <c r="E252" s="617"/>
      <c r="F252" s="617"/>
      <c r="G252" s="617"/>
      <c r="H252" s="617"/>
      <c r="I252" s="617"/>
      <c r="J252" s="617"/>
      <c r="K252" s="1694">
        <f t="shared" si="21"/>
        <v>0</v>
      </c>
      <c r="L252" s="466"/>
    </row>
    <row r="253" spans="1:12" x14ac:dyDescent="0.2">
      <c r="A253" s="1527" t="s">
        <v>257</v>
      </c>
      <c r="B253" s="603" t="s">
        <v>304</v>
      </c>
      <c r="C253" s="617"/>
      <c r="D253" s="474"/>
      <c r="E253" s="617"/>
      <c r="F253" s="617"/>
      <c r="G253" s="617"/>
      <c r="H253" s="617"/>
      <c r="I253" s="617"/>
      <c r="J253" s="617"/>
      <c r="K253" s="1694">
        <f t="shared" si="21"/>
        <v>0</v>
      </c>
      <c r="L253" s="466"/>
    </row>
    <row r="254" spans="1:12" ht="22.5" x14ac:dyDescent="0.2">
      <c r="A254" s="1527" t="s">
        <v>1087</v>
      </c>
      <c r="B254" s="684" t="s">
        <v>305</v>
      </c>
      <c r="C254" s="617"/>
      <c r="D254" s="474"/>
      <c r="E254" s="617"/>
      <c r="F254" s="617"/>
      <c r="G254" s="617"/>
      <c r="H254" s="617"/>
      <c r="I254" s="617"/>
      <c r="J254" s="617"/>
      <c r="K254" s="1694">
        <f t="shared" si="21"/>
        <v>0</v>
      </c>
      <c r="L254" s="466"/>
    </row>
    <row r="255" spans="1:12" x14ac:dyDescent="0.2">
      <c r="A255" s="1527" t="s">
        <v>1088</v>
      </c>
      <c r="B255" s="603" t="s">
        <v>306</v>
      </c>
      <c r="C255" s="617"/>
      <c r="D255" s="474"/>
      <c r="E255" s="617"/>
      <c r="F255" s="617"/>
      <c r="G255" s="617"/>
      <c r="H255" s="617"/>
      <c r="I255" s="617"/>
      <c r="J255" s="617"/>
      <c r="K255" s="1694">
        <f t="shared" si="21"/>
        <v>0</v>
      </c>
      <c r="L255" s="466"/>
    </row>
    <row r="256" spans="1:12" x14ac:dyDescent="0.2">
      <c r="A256" s="1527" t="s">
        <v>1028</v>
      </c>
      <c r="B256" s="615" t="s">
        <v>307</v>
      </c>
      <c r="C256" s="617"/>
      <c r="D256" s="474"/>
      <c r="E256" s="617"/>
      <c r="F256" s="617"/>
      <c r="G256" s="617"/>
      <c r="H256" s="617"/>
      <c r="I256" s="617"/>
      <c r="J256" s="617"/>
      <c r="K256" s="1694">
        <f t="shared" si="21"/>
        <v>0</v>
      </c>
      <c r="L256" s="466"/>
    </row>
    <row r="257" spans="1:14" ht="12.75" customHeight="1" thickBot="1" x14ac:dyDescent="0.25">
      <c r="A257" s="1690" t="s">
        <v>741</v>
      </c>
      <c r="B257" s="1718">
        <v>2300</v>
      </c>
      <c r="C257" s="617"/>
      <c r="D257" s="1692">
        <f>SUM(D245:D256)</f>
        <v>22085</v>
      </c>
      <c r="E257" s="617"/>
      <c r="F257" s="617"/>
      <c r="G257" s="617"/>
      <c r="H257" s="617"/>
      <c r="I257" s="617"/>
      <c r="J257" s="617"/>
      <c r="K257" s="1692">
        <f>SUM(K245:K256)</f>
        <v>22085</v>
      </c>
      <c r="L257" s="1692">
        <f>SUM(L245:L256)</f>
        <v>17500</v>
      </c>
    </row>
    <row r="258" spans="1:14" ht="15.75" customHeight="1" thickTop="1" x14ac:dyDescent="0.2">
      <c r="A258" s="625" t="s">
        <v>632</v>
      </c>
      <c r="B258" s="685"/>
      <c r="C258" s="617"/>
      <c r="D258" s="627"/>
      <c r="E258" s="617"/>
      <c r="F258" s="617"/>
      <c r="G258" s="617"/>
      <c r="H258" s="617"/>
      <c r="I258" s="617"/>
      <c r="J258" s="617"/>
      <c r="K258" s="627"/>
      <c r="L258" s="627"/>
    </row>
    <row r="259" spans="1:14" x14ac:dyDescent="0.2">
      <c r="A259" s="1526" t="s">
        <v>1127</v>
      </c>
      <c r="B259" s="686">
        <v>2410</v>
      </c>
      <c r="C259" s="617"/>
      <c r="D259" s="481">
        <v>56524</v>
      </c>
      <c r="E259" s="617"/>
      <c r="F259" s="617"/>
      <c r="G259" s="617"/>
      <c r="H259" s="617"/>
      <c r="I259" s="617"/>
      <c r="J259" s="617"/>
      <c r="K259" s="1694">
        <f>D259</f>
        <v>56524</v>
      </c>
      <c r="L259" s="481">
        <v>52628</v>
      </c>
    </row>
    <row r="260" spans="1:14" s="598" customFormat="1" x14ac:dyDescent="0.2">
      <c r="A260" s="1544" t="s">
        <v>1905</v>
      </c>
      <c r="B260" s="629">
        <v>2490</v>
      </c>
      <c r="C260" s="617"/>
      <c r="D260" s="466"/>
      <c r="E260" s="617"/>
      <c r="F260" s="617"/>
      <c r="G260" s="617"/>
      <c r="H260" s="617"/>
      <c r="I260" s="617"/>
      <c r="J260" s="617"/>
      <c r="K260" s="1694">
        <f>D260</f>
        <v>0</v>
      </c>
      <c r="L260" s="466"/>
      <c r="M260" s="210"/>
      <c r="N260" s="210"/>
    </row>
    <row r="261" spans="1:14" ht="12.75" customHeight="1" thickBot="1" x14ac:dyDescent="0.25">
      <c r="A261" s="1714" t="s">
        <v>281</v>
      </c>
      <c r="B261" s="1719" t="s">
        <v>34</v>
      </c>
      <c r="C261" s="617"/>
      <c r="D261" s="1692">
        <f>SUM(D259:D260)</f>
        <v>56524</v>
      </c>
      <c r="E261" s="617"/>
      <c r="F261" s="617"/>
      <c r="G261" s="617"/>
      <c r="H261" s="617"/>
      <c r="I261" s="617"/>
      <c r="J261" s="617"/>
      <c r="K261" s="1692">
        <f>SUM(K259:K260)</f>
        <v>56524</v>
      </c>
      <c r="L261" s="1692">
        <f>SUM(L259:L260)</f>
        <v>52628</v>
      </c>
    </row>
    <row r="262" spans="1:14" ht="15.75" customHeight="1" thickTop="1" x14ac:dyDescent="0.2">
      <c r="A262" s="625" t="s">
        <v>633</v>
      </c>
      <c r="B262" s="685"/>
      <c r="C262" s="617"/>
      <c r="D262" s="617"/>
      <c r="E262" s="617"/>
      <c r="F262" s="617"/>
      <c r="G262" s="617"/>
      <c r="H262" s="617"/>
      <c r="I262" s="617"/>
      <c r="J262" s="617"/>
      <c r="K262" s="627"/>
      <c r="L262" s="627"/>
    </row>
    <row r="263" spans="1:14" x14ac:dyDescent="0.2">
      <c r="A263" s="1526" t="s">
        <v>1128</v>
      </c>
      <c r="B263" s="686">
        <v>2510</v>
      </c>
      <c r="C263" s="617"/>
      <c r="D263" s="466"/>
      <c r="E263" s="617"/>
      <c r="F263" s="617"/>
      <c r="G263" s="617"/>
      <c r="H263" s="617"/>
      <c r="I263" s="617"/>
      <c r="J263" s="617"/>
      <c r="K263" s="1694">
        <f>D263</f>
        <v>0</v>
      </c>
      <c r="L263" s="481"/>
    </row>
    <row r="264" spans="1:14" x14ac:dyDescent="0.2">
      <c r="A264" s="1526" t="s">
        <v>483</v>
      </c>
      <c r="B264" s="686">
        <v>2520</v>
      </c>
      <c r="C264" s="617"/>
      <c r="D264" s="466">
        <v>14585</v>
      </c>
      <c r="E264" s="617"/>
      <c r="F264" s="617"/>
      <c r="G264" s="617"/>
      <c r="H264" s="617"/>
      <c r="I264" s="617"/>
      <c r="J264" s="617"/>
      <c r="K264" s="1694">
        <f t="shared" ref="K264:K269" si="22">D264</f>
        <v>14585</v>
      </c>
      <c r="L264" s="466">
        <v>18244</v>
      </c>
    </row>
    <row r="265" spans="1:14" x14ac:dyDescent="0.2">
      <c r="A265" s="1526" t="s">
        <v>4</v>
      </c>
      <c r="B265" s="615">
        <v>2530</v>
      </c>
      <c r="C265" s="617"/>
      <c r="D265" s="466"/>
      <c r="E265" s="617"/>
      <c r="F265" s="617"/>
      <c r="G265" s="617"/>
      <c r="H265" s="617"/>
      <c r="I265" s="617"/>
      <c r="J265" s="617"/>
      <c r="K265" s="1694">
        <f t="shared" si="22"/>
        <v>0</v>
      </c>
      <c r="L265" s="466"/>
    </row>
    <row r="266" spans="1:14" x14ac:dyDescent="0.2">
      <c r="A266" s="1526" t="s">
        <v>206</v>
      </c>
      <c r="B266" s="615">
        <v>2540</v>
      </c>
      <c r="C266" s="617"/>
      <c r="D266" s="466">
        <v>71840</v>
      </c>
      <c r="E266" s="617"/>
      <c r="F266" s="617"/>
      <c r="G266" s="617"/>
      <c r="H266" s="617"/>
      <c r="I266" s="617"/>
      <c r="J266" s="617"/>
      <c r="K266" s="1694">
        <f t="shared" si="22"/>
        <v>71840</v>
      </c>
      <c r="L266" s="466">
        <v>82269</v>
      </c>
    </row>
    <row r="267" spans="1:14" x14ac:dyDescent="0.2">
      <c r="A267" s="1526" t="s">
        <v>1010</v>
      </c>
      <c r="B267" s="615">
        <v>2550</v>
      </c>
      <c r="C267" s="617"/>
      <c r="D267" s="466"/>
      <c r="E267" s="617"/>
      <c r="F267" s="617"/>
      <c r="G267" s="617"/>
      <c r="H267" s="617"/>
      <c r="I267" s="617"/>
      <c r="J267" s="617"/>
      <c r="K267" s="1694">
        <f t="shared" si="22"/>
        <v>0</v>
      </c>
      <c r="L267" s="466"/>
    </row>
    <row r="268" spans="1:14" x14ac:dyDescent="0.2">
      <c r="A268" s="1526" t="s">
        <v>102</v>
      </c>
      <c r="B268" s="615">
        <v>2560</v>
      </c>
      <c r="C268" s="617"/>
      <c r="D268" s="466">
        <v>47201</v>
      </c>
      <c r="E268" s="617"/>
      <c r="F268" s="617"/>
      <c r="G268" s="617"/>
      <c r="H268" s="617"/>
      <c r="I268" s="617"/>
      <c r="J268" s="617"/>
      <c r="K268" s="1694">
        <f t="shared" si="22"/>
        <v>47201</v>
      </c>
      <c r="L268" s="466">
        <v>50700</v>
      </c>
    </row>
    <row r="269" spans="1:14" x14ac:dyDescent="0.2">
      <c r="A269" s="1526" t="s">
        <v>103</v>
      </c>
      <c r="B269" s="615">
        <v>2570</v>
      </c>
      <c r="C269" s="617"/>
      <c r="D269" s="466">
        <v>6136</v>
      </c>
      <c r="E269" s="617"/>
      <c r="F269" s="617"/>
      <c r="G269" s="617"/>
      <c r="H269" s="617"/>
      <c r="I269" s="617"/>
      <c r="J269" s="617"/>
      <c r="K269" s="1694">
        <f t="shared" si="22"/>
        <v>6136</v>
      </c>
      <c r="L269" s="466">
        <v>6264</v>
      </c>
    </row>
    <row r="270" spans="1:14" ht="12.75" customHeight="1" thickBot="1" x14ac:dyDescent="0.25">
      <c r="A270" s="1690" t="s">
        <v>743</v>
      </c>
      <c r="B270" s="1697" t="s">
        <v>35</v>
      </c>
      <c r="C270" s="617"/>
      <c r="D270" s="1692">
        <f>SUM(D263:D269)</f>
        <v>139762</v>
      </c>
      <c r="E270" s="617"/>
      <c r="F270" s="617"/>
      <c r="G270" s="617"/>
      <c r="H270" s="617"/>
      <c r="I270" s="617"/>
      <c r="J270" s="617"/>
      <c r="K270" s="1692">
        <f>SUM(K263:K269)</f>
        <v>139762</v>
      </c>
      <c r="L270" s="1692">
        <f>SUM(L263:L269)</f>
        <v>157477</v>
      </c>
    </row>
    <row r="271" spans="1:14" ht="15.75" customHeight="1" thickTop="1" x14ac:dyDescent="0.2">
      <c r="A271" s="670" t="s">
        <v>634</v>
      </c>
      <c r="B271" s="626"/>
      <c r="C271" s="617"/>
      <c r="D271" s="627"/>
      <c r="E271" s="617"/>
      <c r="F271" s="617"/>
      <c r="G271" s="617"/>
      <c r="H271" s="617"/>
      <c r="I271" s="617"/>
      <c r="J271" s="617"/>
      <c r="K271" s="627"/>
      <c r="L271" s="627"/>
    </row>
    <row r="272" spans="1:14" x14ac:dyDescent="0.2">
      <c r="A272" s="1526" t="s">
        <v>1120</v>
      </c>
      <c r="B272" s="615">
        <v>2610</v>
      </c>
      <c r="C272" s="617"/>
      <c r="D272" s="481"/>
      <c r="E272" s="617"/>
      <c r="F272" s="617"/>
      <c r="G272" s="617"/>
      <c r="H272" s="617"/>
      <c r="I272" s="617"/>
      <c r="J272" s="617"/>
      <c r="K272" s="1694">
        <f>D272</f>
        <v>0</v>
      </c>
      <c r="L272" s="481"/>
    </row>
    <row r="273" spans="1:12" x14ac:dyDescent="0.2">
      <c r="A273" s="1526" t="s">
        <v>628</v>
      </c>
      <c r="B273" s="629">
        <v>2620</v>
      </c>
      <c r="C273" s="617"/>
      <c r="D273" s="466"/>
      <c r="E273" s="617"/>
      <c r="F273" s="617"/>
      <c r="G273" s="617"/>
      <c r="H273" s="617"/>
      <c r="I273" s="617"/>
      <c r="J273" s="617"/>
      <c r="K273" s="1694">
        <f>D273</f>
        <v>0</v>
      </c>
      <c r="L273" s="466"/>
    </row>
    <row r="274" spans="1:12" ht="12" customHeight="1" x14ac:dyDescent="0.2">
      <c r="A274" s="1526" t="s">
        <v>1121</v>
      </c>
      <c r="B274" s="615">
        <v>2630</v>
      </c>
      <c r="C274" s="617"/>
      <c r="D274" s="466"/>
      <c r="E274" s="617"/>
      <c r="F274" s="617"/>
      <c r="G274" s="617"/>
      <c r="H274" s="617"/>
      <c r="I274" s="617"/>
      <c r="J274" s="617"/>
      <c r="K274" s="1694">
        <f>D274</f>
        <v>0</v>
      </c>
      <c r="L274" s="466"/>
    </row>
    <row r="275" spans="1:12" x14ac:dyDescent="0.2">
      <c r="A275" s="1526" t="s">
        <v>423</v>
      </c>
      <c r="B275" s="615">
        <v>2640</v>
      </c>
      <c r="C275" s="617"/>
      <c r="D275" s="466"/>
      <c r="E275" s="617"/>
      <c r="F275" s="617"/>
      <c r="G275" s="617"/>
      <c r="H275" s="617"/>
      <c r="I275" s="617"/>
      <c r="J275" s="617"/>
      <c r="K275" s="1694">
        <f>D275</f>
        <v>0</v>
      </c>
      <c r="L275" s="466"/>
    </row>
    <row r="276" spans="1:12" x14ac:dyDescent="0.2">
      <c r="A276" s="1526" t="s">
        <v>424</v>
      </c>
      <c r="B276" s="615">
        <v>2660</v>
      </c>
      <c r="C276" s="617"/>
      <c r="D276" s="466"/>
      <c r="E276" s="617"/>
      <c r="F276" s="617"/>
      <c r="G276" s="617"/>
      <c r="H276" s="617"/>
      <c r="I276" s="617"/>
      <c r="J276" s="617"/>
      <c r="K276" s="1694">
        <f>D276</f>
        <v>0</v>
      </c>
      <c r="L276" s="466"/>
    </row>
    <row r="277" spans="1:12" ht="12.75" customHeight="1" thickBot="1" x14ac:dyDescent="0.25">
      <c r="A277" s="1713" t="s">
        <v>37</v>
      </c>
      <c r="B277" s="1691" t="s">
        <v>36</v>
      </c>
      <c r="C277" s="617"/>
      <c r="D277" s="1692">
        <f>SUM(D272:D276)</f>
        <v>0</v>
      </c>
      <c r="E277" s="617"/>
      <c r="F277" s="617"/>
      <c r="G277" s="617"/>
      <c r="H277" s="617"/>
      <c r="I277" s="617"/>
      <c r="J277" s="617"/>
      <c r="K277" s="1692">
        <f>SUM(K272:K276)</f>
        <v>0</v>
      </c>
      <c r="L277" s="1692">
        <f>SUM(L272:L276)</f>
        <v>0</v>
      </c>
    </row>
    <row r="278" spans="1:12" ht="13.5" customHeight="1" thickTop="1" x14ac:dyDescent="0.2">
      <c r="A278" s="1532" t="s">
        <v>1037</v>
      </c>
      <c r="B278" s="656" t="s">
        <v>595</v>
      </c>
      <c r="C278" s="617"/>
      <c r="D278" s="657"/>
      <c r="E278" s="617"/>
      <c r="F278" s="617"/>
      <c r="G278" s="617"/>
      <c r="H278" s="617"/>
      <c r="I278" s="617"/>
      <c r="J278" s="617"/>
      <c r="K278" s="1707">
        <f>D278</f>
        <v>0</v>
      </c>
      <c r="L278" s="657"/>
    </row>
    <row r="279" spans="1:12" ht="12.75" customHeight="1" thickBot="1" x14ac:dyDescent="0.25">
      <c r="A279" s="1720" t="s">
        <v>865</v>
      </c>
      <c r="B279" s="1703">
        <v>2000</v>
      </c>
      <c r="C279" s="617"/>
      <c r="D279" s="1699">
        <f>SUM(D238,D243,D257,D261,D270,D277,D278)</f>
        <v>278220</v>
      </c>
      <c r="E279" s="617"/>
      <c r="F279" s="617"/>
      <c r="G279" s="617"/>
      <c r="H279" s="617"/>
      <c r="I279" s="617"/>
      <c r="J279" s="617"/>
      <c r="K279" s="1699">
        <f>SUM(K238,K243,K257,K261,K270,K277,K278)</f>
        <v>278220</v>
      </c>
      <c r="L279" s="1699">
        <f>SUM(L238,L243,L257,L261,L270,L277,L278)</f>
        <v>282553</v>
      </c>
    </row>
    <row r="280" spans="1:12" ht="15.75" customHeight="1" thickTop="1" thickBot="1" x14ac:dyDescent="0.25">
      <c r="A280" s="1646" t="s">
        <v>930</v>
      </c>
      <c r="B280" s="1635">
        <v>3000</v>
      </c>
      <c r="C280" s="617"/>
      <c r="D280" s="576"/>
      <c r="E280" s="617"/>
      <c r="F280" s="617"/>
      <c r="G280" s="617"/>
      <c r="H280" s="617"/>
      <c r="I280" s="617"/>
      <c r="J280" s="617"/>
      <c r="K280" s="1701">
        <f>D280</f>
        <v>0</v>
      </c>
      <c r="L280" s="576"/>
    </row>
    <row r="281" spans="1:12" ht="15.75" customHeight="1" thickTop="1" x14ac:dyDescent="0.2">
      <c r="A281" s="1636" t="s">
        <v>144</v>
      </c>
      <c r="B281" s="1637" t="s">
        <v>915</v>
      </c>
      <c r="C281" s="617"/>
      <c r="D281" s="566"/>
      <c r="E281" s="617"/>
      <c r="F281" s="617"/>
      <c r="G281" s="617"/>
      <c r="H281" s="617"/>
      <c r="I281" s="617"/>
      <c r="J281" s="617"/>
      <c r="K281" s="617"/>
      <c r="L281" s="617"/>
    </row>
    <row r="282" spans="1:12" ht="15.75" customHeight="1" x14ac:dyDescent="0.2">
      <c r="A282" s="1853" t="s">
        <v>517</v>
      </c>
      <c r="B282" s="691" t="s">
        <v>1954</v>
      </c>
      <c r="C282" s="617"/>
      <c r="D282" s="467"/>
      <c r="E282" s="617"/>
      <c r="F282" s="617"/>
      <c r="G282" s="617"/>
      <c r="H282" s="617"/>
      <c r="I282" s="617"/>
      <c r="J282" s="617"/>
      <c r="K282" s="1693">
        <f>D282</f>
        <v>0</v>
      </c>
      <c r="L282" s="467"/>
    </row>
    <row r="283" spans="1:12" x14ac:dyDescent="0.2">
      <c r="A283" s="1526" t="s">
        <v>322</v>
      </c>
      <c r="B283" s="615">
        <v>4120</v>
      </c>
      <c r="C283" s="617"/>
      <c r="D283" s="466"/>
      <c r="E283" s="617"/>
      <c r="F283" s="617"/>
      <c r="G283" s="617"/>
      <c r="H283" s="617"/>
      <c r="I283" s="617"/>
      <c r="J283" s="617"/>
      <c r="K283" s="1693">
        <f>D283</f>
        <v>0</v>
      </c>
      <c r="L283" s="466"/>
    </row>
    <row r="284" spans="1:12" x14ac:dyDescent="0.2">
      <c r="A284" s="1526" t="s">
        <v>721</v>
      </c>
      <c r="B284" s="615">
        <v>4140</v>
      </c>
      <c r="C284" s="617"/>
      <c r="D284" s="467"/>
      <c r="E284" s="617"/>
      <c r="F284" s="617"/>
      <c r="G284" s="617"/>
      <c r="H284" s="617"/>
      <c r="I284" s="617"/>
      <c r="J284" s="617"/>
      <c r="K284" s="1693">
        <f>D284</f>
        <v>0</v>
      </c>
      <c r="L284" s="466"/>
    </row>
    <row r="285" spans="1:12" ht="12.75" customHeight="1" thickBot="1" x14ac:dyDescent="0.25">
      <c r="A285" s="1690" t="s">
        <v>1567</v>
      </c>
      <c r="B285" s="1691" t="s">
        <v>915</v>
      </c>
      <c r="C285" s="617"/>
      <c r="D285" s="1692">
        <f>SUM(D282:D284)</f>
        <v>0</v>
      </c>
      <c r="E285" s="617"/>
      <c r="F285" s="617"/>
      <c r="G285" s="617"/>
      <c r="H285" s="617"/>
      <c r="I285" s="617"/>
      <c r="J285" s="617"/>
      <c r="K285" s="1692">
        <f>SUM(K282:K284)</f>
        <v>0</v>
      </c>
      <c r="L285" s="1692">
        <f>SUM(L282:L284)</f>
        <v>0</v>
      </c>
    </row>
    <row r="286" spans="1:12" ht="15.75" customHeight="1" thickTop="1" x14ac:dyDescent="0.2">
      <c r="A286" s="1634" t="s">
        <v>931</v>
      </c>
      <c r="B286" s="1631" t="s">
        <v>513</v>
      </c>
      <c r="C286" s="617"/>
      <c r="D286" s="617"/>
      <c r="E286" s="617"/>
      <c r="F286" s="617"/>
      <c r="G286" s="617"/>
      <c r="H286" s="617"/>
      <c r="I286" s="617"/>
      <c r="J286" s="617"/>
      <c r="K286" s="617"/>
      <c r="L286" s="617"/>
    </row>
    <row r="287" spans="1:12" ht="15.75" customHeight="1" x14ac:dyDescent="0.2">
      <c r="A287" s="654" t="s">
        <v>95</v>
      </c>
      <c r="B287" s="623"/>
      <c r="C287" s="617"/>
      <c r="D287" s="617"/>
      <c r="E287" s="617"/>
      <c r="F287" s="617"/>
      <c r="G287" s="617"/>
      <c r="H287" s="624"/>
      <c r="I287" s="617"/>
      <c r="J287" s="617"/>
      <c r="K287" s="617"/>
      <c r="L287" s="617"/>
    </row>
    <row r="288" spans="1:12" x14ac:dyDescent="0.2">
      <c r="A288" s="1526" t="s">
        <v>89</v>
      </c>
      <c r="B288" s="615">
        <v>5110</v>
      </c>
      <c r="C288" s="617"/>
      <c r="D288" s="617"/>
      <c r="E288" s="617"/>
      <c r="F288" s="617"/>
      <c r="G288" s="617"/>
      <c r="H288" s="466"/>
      <c r="I288" s="617"/>
      <c r="J288" s="617"/>
      <c r="K288" s="1693">
        <f>H288</f>
        <v>0</v>
      </c>
      <c r="L288" s="466"/>
    </row>
    <row r="289" spans="1:14" x14ac:dyDescent="0.2">
      <c r="A289" s="1526" t="s">
        <v>90</v>
      </c>
      <c r="B289" s="615">
        <v>5120</v>
      </c>
      <c r="C289" s="617"/>
      <c r="D289" s="617"/>
      <c r="E289" s="617"/>
      <c r="F289" s="617"/>
      <c r="G289" s="617"/>
      <c r="H289" s="466"/>
      <c r="I289" s="617"/>
      <c r="J289" s="617"/>
      <c r="K289" s="1693">
        <f>H289</f>
        <v>0</v>
      </c>
      <c r="L289" s="466"/>
    </row>
    <row r="290" spans="1:14" ht="12.75" customHeight="1" x14ac:dyDescent="0.2">
      <c r="A290" s="1526" t="s">
        <v>1232</v>
      </c>
      <c r="B290" s="629" t="s">
        <v>638</v>
      </c>
      <c r="C290" s="617"/>
      <c r="D290" s="617"/>
      <c r="E290" s="617"/>
      <c r="F290" s="617"/>
      <c r="G290" s="617"/>
      <c r="H290" s="466"/>
      <c r="I290" s="617"/>
      <c r="J290" s="617"/>
      <c r="K290" s="1693">
        <f>H290</f>
        <v>0</v>
      </c>
      <c r="L290" s="466"/>
    </row>
    <row r="291" spans="1:14" x14ac:dyDescent="0.2">
      <c r="A291" s="1526" t="s">
        <v>91</v>
      </c>
      <c r="B291" s="615" t="s">
        <v>610</v>
      </c>
      <c r="C291" s="617"/>
      <c r="D291" s="617"/>
      <c r="E291" s="617"/>
      <c r="F291" s="617"/>
      <c r="G291" s="617"/>
      <c r="H291" s="466"/>
      <c r="I291" s="617"/>
      <c r="J291" s="617"/>
      <c r="K291" s="1693">
        <f>H291</f>
        <v>0</v>
      </c>
      <c r="L291" s="466"/>
    </row>
    <row r="292" spans="1:14" x14ac:dyDescent="0.2">
      <c r="A292" s="1526" t="s">
        <v>786</v>
      </c>
      <c r="B292" s="615" t="s">
        <v>639</v>
      </c>
      <c r="C292" s="617"/>
      <c r="D292" s="617"/>
      <c r="E292" s="617"/>
      <c r="F292" s="617"/>
      <c r="G292" s="617"/>
      <c r="H292" s="466"/>
      <c r="I292" s="617"/>
      <c r="J292" s="617"/>
      <c r="K292" s="1693">
        <f>H292</f>
        <v>0</v>
      </c>
      <c r="L292" s="466"/>
    </row>
    <row r="293" spans="1:14" ht="12.75" customHeight="1" thickBot="1" x14ac:dyDescent="0.25">
      <c r="A293" s="1690" t="s">
        <v>505</v>
      </c>
      <c r="B293" s="1691" t="s">
        <v>513</v>
      </c>
      <c r="C293" s="617"/>
      <c r="D293" s="617"/>
      <c r="E293" s="617"/>
      <c r="F293" s="617"/>
      <c r="G293" s="617"/>
      <c r="H293" s="1692">
        <f>SUM(H288:H292)</f>
        <v>0</v>
      </c>
      <c r="I293" s="617"/>
      <c r="J293" s="617"/>
      <c r="K293" s="1692">
        <f>SUM(K288:K292)</f>
        <v>0</v>
      </c>
      <c r="L293" s="1692">
        <f>SUM(L288:L292)</f>
        <v>0</v>
      </c>
    </row>
    <row r="294" spans="1:14" ht="15.75" customHeight="1" thickTop="1" thickBot="1" x14ac:dyDescent="0.25">
      <c r="A294" s="1647" t="s">
        <v>932</v>
      </c>
      <c r="B294" s="1635" t="s">
        <v>916</v>
      </c>
      <c r="C294" s="617"/>
      <c r="D294" s="624"/>
      <c r="E294" s="617"/>
      <c r="F294" s="617"/>
      <c r="G294" s="617"/>
      <c r="H294" s="687"/>
      <c r="I294" s="617"/>
      <c r="J294" s="617"/>
      <c r="K294" s="687"/>
      <c r="L294" s="578"/>
    </row>
    <row r="295" spans="1:14" ht="12.75" customHeight="1" thickTop="1" thickBot="1" x14ac:dyDescent="0.25">
      <c r="A295" s="2191" t="s">
        <v>526</v>
      </c>
      <c r="B295" s="2192"/>
      <c r="C295" s="617"/>
      <c r="D295" s="1692">
        <f>SUM(D229,D279,D280,D285)</f>
        <v>582943</v>
      </c>
      <c r="E295" s="617"/>
      <c r="F295" s="617"/>
      <c r="G295" s="617"/>
      <c r="H295" s="1692">
        <f>H293</f>
        <v>0</v>
      </c>
      <c r="I295" s="617"/>
      <c r="J295" s="617"/>
      <c r="K295" s="1692">
        <f>SUM(K229,K279,K280,K285,K293,K294)</f>
        <v>582943</v>
      </c>
      <c r="L295" s="1692">
        <f>SUM(L229,L279,L280,L285,L293,L294)</f>
        <v>654856</v>
      </c>
    </row>
    <row r="296" spans="1:14" ht="13.5" thickTop="1" x14ac:dyDescent="0.2">
      <c r="A296" s="2200" t="s">
        <v>1053</v>
      </c>
      <c r="B296" s="2201"/>
      <c r="C296" s="617"/>
      <c r="D296" s="619"/>
      <c r="E296" s="617"/>
      <c r="F296" s="617"/>
      <c r="G296" s="617"/>
      <c r="H296" s="688"/>
      <c r="I296" s="617"/>
      <c r="J296" s="617"/>
      <c r="K296" s="1706">
        <f>'Revenues 9-14'!G275-'Expenditures 15-22'!K295</f>
        <v>31965</v>
      </c>
      <c r="L296" s="688"/>
    </row>
    <row r="297" spans="1:14" s="667" customFormat="1" ht="9" customHeight="1" x14ac:dyDescent="0.2">
      <c r="A297" s="664"/>
      <c r="B297" s="674"/>
      <c r="C297" s="651"/>
      <c r="D297" s="651"/>
      <c r="E297" s="651"/>
      <c r="F297" s="651"/>
      <c r="G297" s="651"/>
      <c r="H297" s="651"/>
      <c r="I297" s="651"/>
      <c r="J297" s="651"/>
      <c r="K297" s="651"/>
      <c r="L297" s="651"/>
      <c r="M297" s="666"/>
      <c r="N297" s="666"/>
    </row>
    <row r="298" spans="1:14" ht="16.7" customHeight="1" x14ac:dyDescent="0.2">
      <c r="A298" s="2183" t="s">
        <v>145</v>
      </c>
      <c r="B298" s="2177"/>
      <c r="C298" s="1573"/>
      <c r="D298" s="1574"/>
      <c r="E298" s="1574"/>
      <c r="F298" s="1574"/>
      <c r="G298" s="1574"/>
      <c r="H298" s="1574"/>
      <c r="I298" s="1574"/>
      <c r="J298" s="1574"/>
      <c r="K298" s="1574"/>
      <c r="L298" s="1575"/>
    </row>
    <row r="299" spans="1:14" ht="15.75" customHeight="1" x14ac:dyDescent="0.2">
      <c r="A299" s="1634" t="s">
        <v>146</v>
      </c>
      <c r="B299" s="1637" t="s">
        <v>590</v>
      </c>
      <c r="C299" s="617"/>
      <c r="D299" s="617"/>
      <c r="E299" s="617"/>
      <c r="F299" s="617"/>
      <c r="G299" s="617"/>
      <c r="H299" s="617"/>
      <c r="I299" s="617"/>
      <c r="J299" s="617"/>
      <c r="K299" s="617"/>
      <c r="L299" s="617"/>
    </row>
    <row r="300" spans="1:14" ht="15.75" customHeight="1" x14ac:dyDescent="0.2">
      <c r="A300" s="689" t="s">
        <v>633</v>
      </c>
      <c r="B300" s="632"/>
      <c r="C300" s="624"/>
      <c r="D300" s="624"/>
      <c r="E300" s="624"/>
      <c r="F300" s="624"/>
      <c r="G300" s="624"/>
      <c r="H300" s="624"/>
      <c r="I300" s="617"/>
      <c r="J300" s="617"/>
      <c r="K300" s="624"/>
      <c r="L300" s="624"/>
    </row>
    <row r="301" spans="1:14" x14ac:dyDescent="0.2">
      <c r="A301" s="1539" t="s">
        <v>629</v>
      </c>
      <c r="B301" s="690">
        <v>2530</v>
      </c>
      <c r="C301" s="466"/>
      <c r="D301" s="466"/>
      <c r="E301" s="466">
        <v>537214</v>
      </c>
      <c r="F301" s="466"/>
      <c r="G301" s="466">
        <v>2982714</v>
      </c>
      <c r="H301" s="466"/>
      <c r="I301" s="467"/>
      <c r="J301" s="467"/>
      <c r="K301" s="1693">
        <f>SUM(C301:J301)</f>
        <v>3519928</v>
      </c>
      <c r="L301" s="467">
        <v>5545000</v>
      </c>
    </row>
    <row r="302" spans="1:14" ht="13.5" customHeight="1" x14ac:dyDescent="0.2">
      <c r="A302" s="1539" t="s">
        <v>1037</v>
      </c>
      <c r="B302" s="615" t="s">
        <v>595</v>
      </c>
      <c r="C302" s="466"/>
      <c r="D302" s="466"/>
      <c r="E302" s="466"/>
      <c r="F302" s="466"/>
      <c r="G302" s="466"/>
      <c r="H302" s="466"/>
      <c r="I302" s="467"/>
      <c r="J302" s="467"/>
      <c r="K302" s="1693">
        <f>SUM(C302:J302)</f>
        <v>0</v>
      </c>
      <c r="L302" s="466"/>
    </row>
    <row r="303" spans="1:14" ht="12.75" customHeight="1" thickBot="1" x14ac:dyDescent="0.25">
      <c r="A303" s="1690" t="s">
        <v>865</v>
      </c>
      <c r="B303" s="1691" t="s">
        <v>590</v>
      </c>
      <c r="C303" s="1699">
        <f>SUM(C301:C302)</f>
        <v>0</v>
      </c>
      <c r="D303" s="1699">
        <f t="shared" ref="D303:L303" si="23">SUM(D301:D302)</f>
        <v>0</v>
      </c>
      <c r="E303" s="1699">
        <f t="shared" si="23"/>
        <v>537214</v>
      </c>
      <c r="F303" s="1699">
        <f t="shared" si="23"/>
        <v>0</v>
      </c>
      <c r="G303" s="1699">
        <f t="shared" si="23"/>
        <v>2982714</v>
      </c>
      <c r="H303" s="1699">
        <f t="shared" si="23"/>
        <v>0</v>
      </c>
      <c r="I303" s="1699">
        <f t="shared" si="23"/>
        <v>0</v>
      </c>
      <c r="J303" s="1699">
        <f t="shared" si="23"/>
        <v>0</v>
      </c>
      <c r="K303" s="1699">
        <f t="shared" si="23"/>
        <v>3519928</v>
      </c>
      <c r="L303" s="1699">
        <f t="shared" si="23"/>
        <v>5545000</v>
      </c>
    </row>
    <row r="304" spans="1:14" ht="15.75" customHeight="1" thickTop="1" x14ac:dyDescent="0.2">
      <c r="A304" s="1634" t="s">
        <v>147</v>
      </c>
      <c r="B304" s="1635" t="s">
        <v>915</v>
      </c>
      <c r="C304" s="617"/>
      <c r="D304" s="617"/>
      <c r="E304" s="617"/>
      <c r="F304" s="617"/>
      <c r="G304" s="617"/>
      <c r="H304" s="617"/>
      <c r="I304" s="617"/>
      <c r="J304" s="617"/>
      <c r="K304" s="617"/>
      <c r="L304" s="617"/>
    </row>
    <row r="305" spans="1:14" ht="15.75" customHeight="1" x14ac:dyDescent="0.2">
      <c r="A305" s="654" t="s">
        <v>953</v>
      </c>
      <c r="B305" s="623"/>
      <c r="C305" s="617"/>
      <c r="D305" s="617"/>
      <c r="E305" s="617"/>
      <c r="F305" s="617"/>
      <c r="G305" s="617"/>
      <c r="H305" s="617"/>
      <c r="I305" s="617"/>
      <c r="J305" s="617"/>
      <c r="K305" s="617"/>
      <c r="L305" s="617"/>
    </row>
    <row r="306" spans="1:14" x14ac:dyDescent="0.2">
      <c r="A306" s="1540" t="s">
        <v>1959</v>
      </c>
      <c r="B306" s="691" t="s">
        <v>1954</v>
      </c>
      <c r="C306" s="617"/>
      <c r="D306" s="617"/>
      <c r="E306" s="467"/>
      <c r="F306" s="617"/>
      <c r="G306" s="617"/>
      <c r="H306" s="467"/>
      <c r="I306" s="617"/>
      <c r="J306" s="617"/>
      <c r="K306" s="1693">
        <f>SUM(E306,H306)</f>
        <v>0</v>
      </c>
      <c r="L306" s="467"/>
    </row>
    <row r="307" spans="1:14" x14ac:dyDescent="0.2">
      <c r="A307" s="1526" t="s">
        <v>322</v>
      </c>
      <c r="B307" s="615">
        <v>4120</v>
      </c>
      <c r="C307" s="617"/>
      <c r="D307" s="617"/>
      <c r="E307" s="467"/>
      <c r="F307" s="617"/>
      <c r="G307" s="617"/>
      <c r="H307" s="467"/>
      <c r="I307" s="477"/>
      <c r="J307" s="617"/>
      <c r="K307" s="1693">
        <f>SUM(E307,H307)</f>
        <v>0</v>
      </c>
      <c r="L307" s="466"/>
    </row>
    <row r="308" spans="1:14" x14ac:dyDescent="0.2">
      <c r="A308" s="1526" t="s">
        <v>721</v>
      </c>
      <c r="B308" s="615">
        <v>4140</v>
      </c>
      <c r="C308" s="617"/>
      <c r="D308" s="617"/>
      <c r="E308" s="467"/>
      <c r="F308" s="617"/>
      <c r="G308" s="617"/>
      <c r="H308" s="467"/>
      <c r="I308" s="477"/>
      <c r="J308" s="617"/>
      <c r="K308" s="1693">
        <f>SUM(E308,H308)</f>
        <v>0</v>
      </c>
      <c r="L308" s="466"/>
    </row>
    <row r="309" spans="1:14" ht="12.75" customHeight="1" x14ac:dyDescent="0.2">
      <c r="A309" s="1530" t="s">
        <v>722</v>
      </c>
      <c r="B309" s="629">
        <v>4190</v>
      </c>
      <c r="C309" s="617"/>
      <c r="D309" s="617"/>
      <c r="E309" s="467"/>
      <c r="F309" s="617"/>
      <c r="G309" s="617"/>
      <c r="H309" s="467"/>
      <c r="I309" s="477"/>
      <c r="J309" s="617"/>
      <c r="K309" s="1693">
        <f>SUM(E309,H309)</f>
        <v>0</v>
      </c>
      <c r="L309" s="466"/>
    </row>
    <row r="310" spans="1:14" ht="12.75" customHeight="1" thickBot="1" x14ac:dyDescent="0.25">
      <c r="A310" s="1690" t="s">
        <v>1567</v>
      </c>
      <c r="B310" s="1697" t="s">
        <v>915</v>
      </c>
      <c r="C310" s="617"/>
      <c r="D310" s="617"/>
      <c r="E310" s="1692">
        <f>SUM(E306:E309)</f>
        <v>0</v>
      </c>
      <c r="F310" s="617"/>
      <c r="G310" s="617"/>
      <c r="H310" s="1692">
        <f>SUM(H306:H309)</f>
        <v>0</v>
      </c>
      <c r="I310" s="477"/>
      <c r="J310" s="617"/>
      <c r="K310" s="1692">
        <f>SUM(K306:K309)</f>
        <v>0</v>
      </c>
      <c r="L310" s="1699">
        <f>SUM(L306:L309)</f>
        <v>0</v>
      </c>
    </row>
    <row r="311" spans="1:14" ht="15.75" customHeight="1" thickTop="1" thickBot="1" x14ac:dyDescent="0.25">
      <c r="A311" s="1641" t="s">
        <v>951</v>
      </c>
      <c r="B311" s="1633" t="s">
        <v>916</v>
      </c>
      <c r="C311" s="624"/>
      <c r="D311" s="624"/>
      <c r="E311" s="624"/>
      <c r="F311" s="624"/>
      <c r="G311" s="624"/>
      <c r="H311" s="624"/>
      <c r="I311" s="624"/>
      <c r="J311" s="617"/>
      <c r="K311" s="624"/>
      <c r="L311" s="576"/>
    </row>
    <row r="312" spans="1:14" s="675" customFormat="1" ht="12.75" customHeight="1" thickTop="1" thickBot="1" x14ac:dyDescent="0.25">
      <c r="A312" s="2188" t="s">
        <v>295</v>
      </c>
      <c r="B312" s="2189"/>
      <c r="C312" s="1692">
        <f>SUM(C303)</f>
        <v>0</v>
      </c>
      <c r="D312" s="1692">
        <f>SUM(D303)</f>
        <v>0</v>
      </c>
      <c r="E312" s="1692">
        <f>SUM(E303,E310)</f>
        <v>537214</v>
      </c>
      <c r="F312" s="1692">
        <f>SUM(F303)</f>
        <v>0</v>
      </c>
      <c r="G312" s="1692">
        <f>SUM(G303)</f>
        <v>2982714</v>
      </c>
      <c r="H312" s="1692">
        <f>SUM(H303,H310)</f>
        <v>0</v>
      </c>
      <c r="I312" s="1692">
        <f>SUM(I303)</f>
        <v>0</v>
      </c>
      <c r="J312" s="1692">
        <f>SUM(J303)</f>
        <v>0</v>
      </c>
      <c r="K312" s="1692">
        <f>SUM(K303,K310,K311)</f>
        <v>3519928</v>
      </c>
      <c r="L312" s="1692">
        <f>SUM(L303,L310,L311)</f>
        <v>5545000</v>
      </c>
      <c r="M312" s="666"/>
      <c r="N312" s="666"/>
    </row>
    <row r="313" spans="1:14" ht="13.5" thickTop="1" x14ac:dyDescent="0.2">
      <c r="A313" s="2184" t="s">
        <v>1053</v>
      </c>
      <c r="B313" s="2185"/>
      <c r="C313" s="627"/>
      <c r="D313" s="627"/>
      <c r="E313" s="627"/>
      <c r="F313" s="627"/>
      <c r="G313" s="627"/>
      <c r="H313" s="627"/>
      <c r="I313" s="627"/>
      <c r="J313" s="627"/>
      <c r="K313" s="1707">
        <f>'Revenues 9-14'!H275-'Expenditures 15-22'!K312</f>
        <v>-3293666</v>
      </c>
      <c r="L313" s="627"/>
    </row>
    <row r="314" spans="1:14" s="667" customFormat="1" ht="9" customHeight="1" x14ac:dyDescent="0.2">
      <c r="A314" s="692"/>
      <c r="B314" s="693"/>
      <c r="C314" s="694"/>
      <c r="D314" s="694"/>
      <c r="E314" s="694"/>
      <c r="F314" s="694"/>
      <c r="G314" s="694"/>
      <c r="H314" s="694"/>
      <c r="I314" s="694"/>
      <c r="J314" s="694"/>
      <c r="K314" s="694"/>
      <c r="L314" s="694"/>
      <c r="M314" s="666"/>
      <c r="N314" s="666"/>
    </row>
    <row r="315" spans="1:14" ht="16.7" customHeight="1" x14ac:dyDescent="0.2">
      <c r="A315" s="2197" t="s">
        <v>151</v>
      </c>
      <c r="B315" s="2198"/>
      <c r="C315" s="1578"/>
      <c r="D315" s="1579"/>
      <c r="E315" s="1579"/>
      <c r="F315" s="1579"/>
      <c r="G315" s="1579"/>
      <c r="H315" s="1579"/>
      <c r="I315" s="1579"/>
      <c r="J315" s="1579"/>
      <c r="K315" s="1579"/>
      <c r="L315" s="1580"/>
    </row>
    <row r="316" spans="1:14" s="675" customFormat="1" ht="9" customHeight="1" x14ac:dyDescent="0.2">
      <c r="A316" s="692"/>
      <c r="B316" s="693"/>
      <c r="C316" s="695"/>
      <c r="D316" s="695"/>
      <c r="E316" s="695"/>
      <c r="F316" s="695"/>
      <c r="G316" s="695"/>
      <c r="H316" s="695"/>
      <c r="I316" s="695"/>
      <c r="J316" s="695"/>
      <c r="K316" s="695"/>
      <c r="L316" s="695"/>
      <c r="M316" s="666"/>
      <c r="N316" s="666"/>
    </row>
    <row r="317" spans="1:14" ht="16.7" customHeight="1" x14ac:dyDescent="0.2">
      <c r="A317" s="2199" t="s">
        <v>954</v>
      </c>
      <c r="B317" s="2198"/>
      <c r="C317" s="1578"/>
      <c r="D317" s="1579"/>
      <c r="E317" s="1579"/>
      <c r="F317" s="1579"/>
      <c r="G317" s="1579"/>
      <c r="H317" s="1579"/>
      <c r="I317" s="1579"/>
      <c r="J317" s="1579"/>
      <c r="K317" s="1579"/>
      <c r="L317" s="1580"/>
    </row>
    <row r="318" spans="1:14" s="675" customFormat="1" ht="15.75" customHeight="1" x14ac:dyDescent="0.2">
      <c r="A318" s="696" t="s">
        <v>631</v>
      </c>
      <c r="B318" s="697"/>
      <c r="C318" s="639"/>
      <c r="D318" s="639"/>
      <c r="E318" s="639"/>
      <c r="F318" s="639"/>
      <c r="G318" s="639"/>
      <c r="H318" s="639"/>
      <c r="I318" s="639"/>
      <c r="J318" s="639"/>
      <c r="K318" s="639"/>
      <c r="L318" s="639"/>
      <c r="M318" s="666"/>
      <c r="N318" s="666"/>
    </row>
    <row r="319" spans="1:14" s="675" customFormat="1" x14ac:dyDescent="0.2">
      <c r="A319" s="1541" t="s">
        <v>317</v>
      </c>
      <c r="B319" s="698" t="s">
        <v>299</v>
      </c>
      <c r="C319" s="467"/>
      <c r="D319" s="467"/>
      <c r="E319" s="467"/>
      <c r="F319" s="467"/>
      <c r="G319" s="467"/>
      <c r="H319" s="467"/>
      <c r="I319" s="467"/>
      <c r="J319" s="467"/>
      <c r="K319" s="1693">
        <f>SUM(C319:J319)</f>
        <v>0</v>
      </c>
      <c r="L319" s="467"/>
      <c r="M319" s="666"/>
      <c r="N319" s="666"/>
    </row>
    <row r="320" spans="1:14" s="675" customFormat="1" x14ac:dyDescent="0.2">
      <c r="A320" s="1545" t="s">
        <v>1906</v>
      </c>
      <c r="B320" s="699" t="s">
        <v>300</v>
      </c>
      <c r="C320" s="467"/>
      <c r="D320" s="467"/>
      <c r="E320" s="467">
        <v>125208</v>
      </c>
      <c r="F320" s="467"/>
      <c r="G320" s="467"/>
      <c r="H320" s="467"/>
      <c r="I320" s="467"/>
      <c r="J320" s="467"/>
      <c r="K320" s="1693">
        <f t="shared" ref="K320:K327" si="24">SUM(C320:J320)</f>
        <v>125208</v>
      </c>
      <c r="L320" s="467">
        <v>116057</v>
      </c>
      <c r="M320" s="666"/>
      <c r="N320" s="666"/>
    </row>
    <row r="321" spans="1:14" s="675" customFormat="1" x14ac:dyDescent="0.2">
      <c r="A321" s="1541" t="s">
        <v>318</v>
      </c>
      <c r="B321" s="698" t="s">
        <v>301</v>
      </c>
      <c r="C321" s="467"/>
      <c r="D321" s="467"/>
      <c r="E321" s="467">
        <v>4521</v>
      </c>
      <c r="F321" s="467"/>
      <c r="G321" s="467"/>
      <c r="H321" s="467"/>
      <c r="I321" s="467"/>
      <c r="J321" s="467"/>
      <c r="K321" s="1693">
        <f t="shared" si="24"/>
        <v>4521</v>
      </c>
      <c r="L321" s="467">
        <v>15000</v>
      </c>
      <c r="M321" s="666"/>
      <c r="N321" s="666"/>
    </row>
    <row r="322" spans="1:14" s="675" customFormat="1" x14ac:dyDescent="0.2">
      <c r="A322" s="1541" t="s">
        <v>256</v>
      </c>
      <c r="B322" s="698" t="s">
        <v>302</v>
      </c>
      <c r="C322" s="467"/>
      <c r="D322" s="467"/>
      <c r="E322" s="467">
        <v>10110</v>
      </c>
      <c r="F322" s="467"/>
      <c r="G322" s="467"/>
      <c r="H322" s="467"/>
      <c r="I322" s="467"/>
      <c r="J322" s="467"/>
      <c r="K322" s="1693">
        <f t="shared" si="24"/>
        <v>10110</v>
      </c>
      <c r="L322" s="467">
        <v>8915</v>
      </c>
      <c r="M322" s="666"/>
      <c r="N322" s="666"/>
    </row>
    <row r="323" spans="1:14" s="675" customFormat="1" x14ac:dyDescent="0.2">
      <c r="A323" s="1541" t="s">
        <v>726</v>
      </c>
      <c r="B323" s="698" t="s">
        <v>303</v>
      </c>
      <c r="C323" s="467"/>
      <c r="D323" s="467"/>
      <c r="E323" s="467">
        <v>94202</v>
      </c>
      <c r="F323" s="467"/>
      <c r="G323" s="467"/>
      <c r="H323" s="467"/>
      <c r="I323" s="467"/>
      <c r="J323" s="467"/>
      <c r="K323" s="1693">
        <f t="shared" si="24"/>
        <v>94202</v>
      </c>
      <c r="L323" s="467">
        <v>5047</v>
      </c>
      <c r="M323" s="666"/>
      <c r="N323" s="666"/>
    </row>
    <row r="324" spans="1:14" s="675" customFormat="1" x14ac:dyDescent="0.2">
      <c r="A324" s="1541" t="s">
        <v>257</v>
      </c>
      <c r="B324" s="698" t="s">
        <v>304</v>
      </c>
      <c r="C324" s="467"/>
      <c r="D324" s="467"/>
      <c r="E324" s="467"/>
      <c r="F324" s="467"/>
      <c r="G324" s="467"/>
      <c r="H324" s="467"/>
      <c r="I324" s="467"/>
      <c r="J324" s="467"/>
      <c r="K324" s="1693">
        <f t="shared" si="24"/>
        <v>0</v>
      </c>
      <c r="L324" s="467"/>
      <c r="M324" s="666"/>
      <c r="N324" s="666"/>
    </row>
    <row r="325" spans="1:14" s="675" customFormat="1" ht="22.5" x14ac:dyDescent="0.2">
      <c r="A325" s="1541" t="s">
        <v>1087</v>
      </c>
      <c r="B325" s="699" t="s">
        <v>305</v>
      </c>
      <c r="C325" s="467"/>
      <c r="D325" s="467"/>
      <c r="E325" s="467"/>
      <c r="F325" s="467"/>
      <c r="G325" s="467"/>
      <c r="H325" s="467"/>
      <c r="I325" s="467"/>
      <c r="J325" s="467"/>
      <c r="K325" s="1693">
        <f t="shared" si="24"/>
        <v>0</v>
      </c>
      <c r="L325" s="467">
        <v>90000</v>
      </c>
      <c r="M325" s="666"/>
      <c r="N325" s="666"/>
    </row>
    <row r="326" spans="1:14" s="675" customFormat="1" x14ac:dyDescent="0.2">
      <c r="A326" s="1541" t="s">
        <v>1088</v>
      </c>
      <c r="B326" s="698" t="s">
        <v>306</v>
      </c>
      <c r="C326" s="467"/>
      <c r="D326" s="467"/>
      <c r="E326" s="467"/>
      <c r="F326" s="467"/>
      <c r="G326" s="467"/>
      <c r="H326" s="467"/>
      <c r="I326" s="467"/>
      <c r="J326" s="467"/>
      <c r="K326" s="1693">
        <f t="shared" si="24"/>
        <v>0</v>
      </c>
      <c r="L326" s="467"/>
      <c r="M326" s="666"/>
      <c r="N326" s="666"/>
    </row>
    <row r="327" spans="1:14" s="675" customFormat="1" x14ac:dyDescent="0.2">
      <c r="A327" s="1541" t="s">
        <v>1028</v>
      </c>
      <c r="B327" s="698" t="s">
        <v>307</v>
      </c>
      <c r="C327" s="467"/>
      <c r="D327" s="467"/>
      <c r="E327" s="467"/>
      <c r="F327" s="467"/>
      <c r="G327" s="467"/>
      <c r="H327" s="467"/>
      <c r="I327" s="467"/>
      <c r="J327" s="467"/>
      <c r="K327" s="1693">
        <f t="shared" si="24"/>
        <v>0</v>
      </c>
      <c r="L327" s="467"/>
      <c r="M327" s="666"/>
      <c r="N327" s="666"/>
    </row>
    <row r="328" spans="1:14" s="675" customFormat="1" x14ac:dyDescent="0.2">
      <c r="A328" s="1542" t="s">
        <v>492</v>
      </c>
      <c r="B328" s="691" t="s">
        <v>1194</v>
      </c>
      <c r="C328" s="474"/>
      <c r="D328" s="474"/>
      <c r="E328" s="474">
        <v>75498</v>
      </c>
      <c r="F328" s="474"/>
      <c r="G328" s="474"/>
      <c r="H328" s="474"/>
      <c r="I328" s="474"/>
      <c r="J328" s="474"/>
      <c r="K328" s="1721">
        <f>SUM(C328:J328)</f>
        <v>75498</v>
      </c>
      <c r="L328" s="474">
        <v>49274</v>
      </c>
      <c r="M328" s="666"/>
      <c r="N328" s="666"/>
    </row>
    <row r="329" spans="1:14" s="675" customFormat="1" x14ac:dyDescent="0.2">
      <c r="A329" s="1542" t="s">
        <v>1195</v>
      </c>
      <c r="B329" s="691" t="s">
        <v>1196</v>
      </c>
      <c r="C329" s="474"/>
      <c r="D329" s="474"/>
      <c r="E329" s="474">
        <v>2216</v>
      </c>
      <c r="F329" s="474"/>
      <c r="G329" s="474"/>
      <c r="H329" s="474"/>
      <c r="I329" s="474"/>
      <c r="J329" s="474"/>
      <c r="K329" s="1721">
        <f>SUM(C329:J329)</f>
        <v>2216</v>
      </c>
      <c r="L329" s="474">
        <v>2216</v>
      </c>
      <c r="M329" s="666"/>
      <c r="N329" s="666"/>
    </row>
    <row r="330" spans="1:14" s="675" customFormat="1" ht="12.75" customHeight="1" thickBot="1" x14ac:dyDescent="0.25">
      <c r="A330" s="1722" t="s">
        <v>741</v>
      </c>
      <c r="B330" s="1691" t="s">
        <v>590</v>
      </c>
      <c r="C330" s="1692">
        <f>SUM(C319:C329)</f>
        <v>0</v>
      </c>
      <c r="D330" s="1692">
        <f t="shared" ref="D330:J330" si="25">SUM(D319:D329)</f>
        <v>0</v>
      </c>
      <c r="E330" s="1692">
        <f t="shared" si="25"/>
        <v>311755</v>
      </c>
      <c r="F330" s="1692">
        <f t="shared" si="25"/>
        <v>0</v>
      </c>
      <c r="G330" s="1692">
        <f t="shared" si="25"/>
        <v>0</v>
      </c>
      <c r="H330" s="1692">
        <f t="shared" si="25"/>
        <v>0</v>
      </c>
      <c r="I330" s="1692">
        <f t="shared" si="25"/>
        <v>0</v>
      </c>
      <c r="J330" s="1692">
        <f t="shared" si="25"/>
        <v>0</v>
      </c>
      <c r="K330" s="1692">
        <f>SUM(K319:K329)</f>
        <v>311755</v>
      </c>
      <c r="L330" s="1692">
        <f>SUM(L319:L329)</f>
        <v>286509</v>
      </c>
      <c r="M330" s="666"/>
      <c r="N330" s="666"/>
    </row>
    <row r="331" spans="1:14" s="675" customFormat="1" ht="12.75" customHeight="1" thickTop="1" x14ac:dyDescent="0.2">
      <c r="A331" s="1854" t="s">
        <v>1960</v>
      </c>
      <c r="B331" s="648" t="s">
        <v>915</v>
      </c>
      <c r="C331" s="1856"/>
      <c r="D331" s="1856"/>
      <c r="E331" s="1856"/>
      <c r="F331" s="1856"/>
      <c r="G331" s="1856"/>
      <c r="H331" s="1856"/>
      <c r="I331" s="1856"/>
      <c r="J331" s="1856"/>
      <c r="K331" s="1856"/>
      <c r="L331" s="1856"/>
      <c r="M331" s="666"/>
      <c r="N331" s="666"/>
    </row>
    <row r="332" spans="1:14" s="675" customFormat="1" ht="12.75" customHeight="1" x14ac:dyDescent="0.2">
      <c r="A332" s="1855" t="s">
        <v>517</v>
      </c>
      <c r="B332" s="1850" t="s">
        <v>1954</v>
      </c>
      <c r="C332" s="1856"/>
      <c r="D332" s="1856"/>
      <c r="E332" s="1856"/>
      <c r="F332" s="1856"/>
      <c r="G332" s="1856"/>
      <c r="H332" s="467"/>
      <c r="I332" s="1856"/>
      <c r="J332" s="1856"/>
      <c r="K332" s="1693">
        <f>H332</f>
        <v>0</v>
      </c>
      <c r="L332" s="467"/>
      <c r="M332" s="666"/>
      <c r="N332" s="666"/>
    </row>
    <row r="333" spans="1:14" s="675" customFormat="1" ht="12.75" customHeight="1" x14ac:dyDescent="0.2">
      <c r="A333" s="1855" t="s">
        <v>322</v>
      </c>
      <c r="B333" s="1850" t="s">
        <v>1956</v>
      </c>
      <c r="C333" s="1856"/>
      <c r="D333" s="1856"/>
      <c r="E333" s="1856"/>
      <c r="F333" s="1856"/>
      <c r="G333" s="1856"/>
      <c r="H333" s="467"/>
      <c r="I333" s="1856"/>
      <c r="J333" s="1856"/>
      <c r="K333" s="1693">
        <f>H333</f>
        <v>0</v>
      </c>
      <c r="L333" s="467"/>
      <c r="M333" s="666"/>
      <c r="N333" s="666"/>
    </row>
    <row r="334" spans="1:14" s="675" customFormat="1" ht="12.75" customHeight="1" thickBot="1" x14ac:dyDescent="0.25">
      <c r="A334" s="1855" t="s">
        <v>1961</v>
      </c>
      <c r="B334" s="1850" t="s">
        <v>915</v>
      </c>
      <c r="C334" s="1856"/>
      <c r="D334" s="1856"/>
      <c r="E334" s="1856"/>
      <c r="F334" s="1856"/>
      <c r="G334" s="1856"/>
      <c r="H334" s="1692">
        <f>SUM(H332:H333)</f>
        <v>0</v>
      </c>
      <c r="I334" s="1856"/>
      <c r="J334" s="1856"/>
      <c r="K334" s="1692">
        <f>SUM(K332:K333)</f>
        <v>0</v>
      </c>
      <c r="L334" s="1692">
        <f>SUM(L332:L333)</f>
        <v>0</v>
      </c>
      <c r="M334" s="666"/>
      <c r="N334" s="666"/>
    </row>
    <row r="335" spans="1:14" ht="15.75" customHeight="1" thickTop="1" x14ac:dyDescent="0.2">
      <c r="A335" s="1638" t="s">
        <v>955</v>
      </c>
      <c r="B335" s="1629" t="s">
        <v>513</v>
      </c>
      <c r="C335" s="617"/>
      <c r="D335" s="617"/>
      <c r="E335" s="617"/>
      <c r="F335" s="617"/>
      <c r="G335" s="617"/>
      <c r="H335" s="617"/>
      <c r="I335" s="617"/>
      <c r="J335" s="617"/>
      <c r="K335" s="617"/>
      <c r="L335" s="617"/>
    </row>
    <row r="336" spans="1:14" ht="15.75" customHeight="1" x14ac:dyDescent="0.2">
      <c r="A336" s="654" t="s">
        <v>636</v>
      </c>
      <c r="B336" s="623"/>
      <c r="C336" s="617"/>
      <c r="D336" s="617"/>
      <c r="E336" s="617"/>
      <c r="F336" s="617"/>
      <c r="G336" s="617"/>
      <c r="H336" s="624"/>
      <c r="I336" s="617"/>
      <c r="J336" s="617"/>
      <c r="K336" s="624"/>
      <c r="L336" s="624"/>
    </row>
    <row r="337" spans="1:14" x14ac:dyDescent="0.2">
      <c r="A337" s="1540" t="s">
        <v>89</v>
      </c>
      <c r="B337" s="691" t="s">
        <v>956</v>
      </c>
      <c r="C337" s="639"/>
      <c r="D337" s="639"/>
      <c r="E337" s="639"/>
      <c r="F337" s="639"/>
      <c r="G337" s="639"/>
      <c r="H337" s="478"/>
      <c r="I337" s="639"/>
      <c r="J337" s="639"/>
      <c r="K337" s="1693">
        <f>H337</f>
        <v>0</v>
      </c>
      <c r="L337" s="478"/>
    </row>
    <row r="338" spans="1:14" ht="12.75" customHeight="1" x14ac:dyDescent="0.2">
      <c r="A338" s="1540" t="s">
        <v>1232</v>
      </c>
      <c r="B338" s="691" t="s">
        <v>638</v>
      </c>
      <c r="C338" s="639"/>
      <c r="D338" s="639"/>
      <c r="E338" s="639"/>
      <c r="F338" s="639"/>
      <c r="G338" s="639"/>
      <c r="H338" s="478"/>
      <c r="I338" s="639"/>
      <c r="J338" s="639"/>
      <c r="K338" s="1693">
        <f>H338</f>
        <v>0</v>
      </c>
      <c r="L338" s="478"/>
    </row>
    <row r="339" spans="1:14" x14ac:dyDescent="0.2">
      <c r="A339" s="1526" t="s">
        <v>957</v>
      </c>
      <c r="B339" s="629">
        <v>5150</v>
      </c>
      <c r="C339" s="639"/>
      <c r="D339" s="639"/>
      <c r="E339" s="639"/>
      <c r="F339" s="639"/>
      <c r="G339" s="639"/>
      <c r="H339" s="467"/>
      <c r="I339" s="639"/>
      <c r="J339" s="639"/>
      <c r="K339" s="1693">
        <f>H339</f>
        <v>0</v>
      </c>
      <c r="L339" s="467"/>
    </row>
    <row r="340" spans="1:14" ht="13.5" thickBot="1" x14ac:dyDescent="0.25">
      <c r="A340" s="1716" t="s">
        <v>958</v>
      </c>
      <c r="B340" s="1691" t="s">
        <v>513</v>
      </c>
      <c r="C340" s="617"/>
      <c r="D340" s="617"/>
      <c r="E340" s="617"/>
      <c r="F340" s="617"/>
      <c r="G340" s="617"/>
      <c r="H340" s="1710">
        <f>SUM(H337:H339)</f>
        <v>0</v>
      </c>
      <c r="I340" s="617"/>
      <c r="J340" s="617"/>
      <c r="K340" s="1710">
        <f>SUM(K337:K339)</f>
        <v>0</v>
      </c>
      <c r="L340" s="1710">
        <f>SUM(L337:L339)</f>
        <v>0</v>
      </c>
    </row>
    <row r="341" spans="1:14" ht="15.75" customHeight="1" thickTop="1" thickBot="1" x14ac:dyDescent="0.25">
      <c r="A341" s="1641" t="s">
        <v>959</v>
      </c>
      <c r="B341" s="1633" t="s">
        <v>916</v>
      </c>
      <c r="C341" s="617"/>
      <c r="D341" s="617"/>
      <c r="E341" s="477"/>
      <c r="F341" s="468"/>
      <c r="G341" s="468"/>
      <c r="H341" s="477"/>
      <c r="I341" s="477"/>
      <c r="J341" s="468"/>
      <c r="K341" s="477"/>
      <c r="L341" s="576"/>
    </row>
    <row r="342" spans="1:14" ht="12.75" customHeight="1" thickTop="1" thickBot="1" x14ac:dyDescent="0.25">
      <c r="A342" s="1708" t="s">
        <v>526</v>
      </c>
      <c r="B342" s="1723"/>
      <c r="C342" s="1692">
        <f>SUM(C330)</f>
        <v>0</v>
      </c>
      <c r="D342" s="1692">
        <f>SUM(D330)</f>
        <v>0</v>
      </c>
      <c r="E342" s="1692">
        <f>SUM(E330)</f>
        <v>311755</v>
      </c>
      <c r="F342" s="1692">
        <f>SUM(F330)</f>
        <v>0</v>
      </c>
      <c r="G342" s="1692">
        <f>SUM(G330)</f>
        <v>0</v>
      </c>
      <c r="H342" s="1692">
        <f>SUM(H330,H334,H340)</f>
        <v>0</v>
      </c>
      <c r="I342" s="1692">
        <f>SUM(I330)</f>
        <v>0</v>
      </c>
      <c r="J342" s="1692">
        <f>SUM(J330)</f>
        <v>0</v>
      </c>
      <c r="K342" s="1692">
        <f>SUM(K330,K334,K340)</f>
        <v>311755</v>
      </c>
      <c r="L342" s="1699">
        <f>SUM(L330,L340,L341)</f>
        <v>286509</v>
      </c>
    </row>
    <row r="343" spans="1:14" ht="12.75" customHeight="1" thickTop="1" x14ac:dyDescent="0.2">
      <c r="A343" s="2186" t="s">
        <v>1053</v>
      </c>
      <c r="B343" s="2187"/>
      <c r="C343" s="617"/>
      <c r="D343" s="617"/>
      <c r="E343" s="617"/>
      <c r="F343" s="617"/>
      <c r="G343" s="617"/>
      <c r="H343" s="617"/>
      <c r="I343" s="617"/>
      <c r="J343" s="617"/>
      <c r="K343" s="1706">
        <f>'Revenues 9-14'!J275-'Expenditures 15-22'!K342</f>
        <v>-23624</v>
      </c>
      <c r="L343" s="617"/>
    </row>
    <row r="344" spans="1:14" s="667" customFormat="1" ht="6" customHeight="1" x14ac:dyDescent="0.2">
      <c r="A344" s="664"/>
      <c r="B344" s="665"/>
      <c r="C344" s="651"/>
      <c r="D344" s="651"/>
      <c r="E344" s="651"/>
      <c r="F344" s="651"/>
      <c r="G344" s="651"/>
      <c r="H344" s="651"/>
      <c r="I344" s="651"/>
      <c r="J344" s="651"/>
      <c r="K344" s="651"/>
      <c r="L344" s="651"/>
      <c r="M344" s="666"/>
      <c r="N344" s="666"/>
    </row>
    <row r="345" spans="1:14" s="669" customFormat="1" ht="16.7" customHeight="1" x14ac:dyDescent="0.2">
      <c r="A345" s="2176" t="s">
        <v>1023</v>
      </c>
      <c r="B345" s="2177"/>
      <c r="C345" s="1573"/>
      <c r="D345" s="1574"/>
      <c r="E345" s="1574"/>
      <c r="F345" s="1574"/>
      <c r="G345" s="1574"/>
      <c r="H345" s="1574"/>
      <c r="I345" s="1574"/>
      <c r="J345" s="1574"/>
      <c r="K345" s="1574"/>
      <c r="L345" s="1575"/>
      <c r="M345" s="668"/>
      <c r="N345" s="668"/>
    </row>
    <row r="346" spans="1:14" s="343" customFormat="1" ht="15.75" customHeight="1" x14ac:dyDescent="0.2">
      <c r="A346" s="1645" t="s">
        <v>899</v>
      </c>
      <c r="B346" s="1637" t="s">
        <v>590</v>
      </c>
      <c r="C346" s="617"/>
      <c r="D346" s="617"/>
      <c r="E346" s="617"/>
      <c r="F346" s="617"/>
      <c r="G346" s="617"/>
      <c r="H346" s="617"/>
      <c r="I346" s="617"/>
      <c r="J346" s="617"/>
      <c r="K346" s="617"/>
      <c r="L346" s="617"/>
      <c r="M346" s="610"/>
      <c r="N346" s="610"/>
    </row>
    <row r="347" spans="1:14" ht="15.75" customHeight="1" x14ac:dyDescent="0.2">
      <c r="A347" s="700" t="s">
        <v>633</v>
      </c>
      <c r="B347" s="701"/>
      <c r="C347" s="624"/>
      <c r="D347" s="624"/>
      <c r="E347" s="624"/>
      <c r="F347" s="624"/>
      <c r="G347" s="624"/>
      <c r="H347" s="624"/>
      <c r="I347" s="617"/>
      <c r="J347" s="617"/>
      <c r="K347" s="624"/>
      <c r="L347" s="624"/>
    </row>
    <row r="348" spans="1:14" x14ac:dyDescent="0.2">
      <c r="A348" s="1526" t="s">
        <v>4</v>
      </c>
      <c r="B348" s="615">
        <v>2530</v>
      </c>
      <c r="C348" s="466"/>
      <c r="D348" s="466"/>
      <c r="E348" s="466"/>
      <c r="F348" s="466"/>
      <c r="G348" s="466"/>
      <c r="H348" s="466"/>
      <c r="I348" s="467"/>
      <c r="J348" s="467"/>
      <c r="K348" s="1693">
        <f>SUM(C348:J348)</f>
        <v>0</v>
      </c>
      <c r="L348" s="466"/>
    </row>
    <row r="349" spans="1:14" x14ac:dyDescent="0.2">
      <c r="A349" s="1526" t="s">
        <v>206</v>
      </c>
      <c r="B349" s="615">
        <v>2540</v>
      </c>
      <c r="C349" s="466"/>
      <c r="D349" s="466"/>
      <c r="E349" s="466"/>
      <c r="F349" s="466"/>
      <c r="G349" s="466"/>
      <c r="H349" s="466"/>
      <c r="I349" s="467"/>
      <c r="J349" s="467"/>
      <c r="K349" s="1693">
        <f>SUM(C349:J349)</f>
        <v>0</v>
      </c>
      <c r="L349" s="466">
        <v>100000</v>
      </c>
    </row>
    <row r="350" spans="1:14" ht="12.75" customHeight="1" thickBot="1" x14ac:dyDescent="0.25">
      <c r="A350" s="1690" t="s">
        <v>743</v>
      </c>
      <c r="B350" s="1691" t="s">
        <v>35</v>
      </c>
      <c r="C350" s="1692">
        <f>SUM(C348:C349)</f>
        <v>0</v>
      </c>
      <c r="D350" s="1692">
        <f t="shared" ref="D350:L350" si="26">SUM(D348:D349)</f>
        <v>0</v>
      </c>
      <c r="E350" s="1692">
        <f t="shared" si="26"/>
        <v>0</v>
      </c>
      <c r="F350" s="1692">
        <f t="shared" si="26"/>
        <v>0</v>
      </c>
      <c r="G350" s="1692">
        <f t="shared" si="26"/>
        <v>0</v>
      </c>
      <c r="H350" s="1692">
        <f t="shared" si="26"/>
        <v>0</v>
      </c>
      <c r="I350" s="1692">
        <f t="shared" si="26"/>
        <v>0</v>
      </c>
      <c r="J350" s="1692">
        <f t="shared" si="26"/>
        <v>0</v>
      </c>
      <c r="K350" s="1692">
        <f t="shared" si="26"/>
        <v>0</v>
      </c>
      <c r="L350" s="1692">
        <f t="shared" si="26"/>
        <v>100000</v>
      </c>
    </row>
    <row r="351" spans="1:14" ht="12.75" customHeight="1" thickTop="1" x14ac:dyDescent="0.2">
      <c r="A351" s="1532" t="s">
        <v>1037</v>
      </c>
      <c r="B351" s="644" t="s">
        <v>595</v>
      </c>
      <c r="C351" s="481"/>
      <c r="D351" s="481"/>
      <c r="E351" s="481"/>
      <c r="F351" s="481"/>
      <c r="G351" s="481"/>
      <c r="H351" s="481"/>
      <c r="I351" s="478"/>
      <c r="J351" s="478"/>
      <c r="K351" s="616">
        <f>SUM(C351:J351)</f>
        <v>0</v>
      </c>
      <c r="L351" s="481"/>
    </row>
    <row r="352" spans="1:14" ht="12.75" customHeight="1" thickBot="1" x14ac:dyDescent="0.25">
      <c r="A352" s="1690" t="s">
        <v>645</v>
      </c>
      <c r="B352" s="1697" t="s">
        <v>590</v>
      </c>
      <c r="C352" s="1692">
        <f>SUM(C350:C351)</f>
        <v>0</v>
      </c>
      <c r="D352" s="1692">
        <f t="shared" ref="D352:L352" si="27">SUM(D350:D351)</f>
        <v>0</v>
      </c>
      <c r="E352" s="1692">
        <f t="shared" si="27"/>
        <v>0</v>
      </c>
      <c r="F352" s="1692">
        <f t="shared" si="27"/>
        <v>0</v>
      </c>
      <c r="G352" s="1692">
        <f t="shared" si="27"/>
        <v>0</v>
      </c>
      <c r="H352" s="1692">
        <f t="shared" si="27"/>
        <v>0</v>
      </c>
      <c r="I352" s="1692">
        <f t="shared" si="27"/>
        <v>0</v>
      </c>
      <c r="J352" s="1692">
        <f t="shared" si="27"/>
        <v>0</v>
      </c>
      <c r="K352" s="1692">
        <f t="shared" si="27"/>
        <v>0</v>
      </c>
      <c r="L352" s="1692">
        <f t="shared" si="27"/>
        <v>100000</v>
      </c>
    </row>
    <row r="353" spans="1:14" s="343" customFormat="1" ht="15.75" customHeight="1" thickTop="1" x14ac:dyDescent="0.2">
      <c r="A353" s="1634" t="s">
        <v>646</v>
      </c>
      <c r="B353" s="1631" t="s">
        <v>915</v>
      </c>
      <c r="C353" s="617"/>
      <c r="D353" s="617"/>
      <c r="E353" s="617"/>
      <c r="F353" s="617"/>
      <c r="G353" s="617"/>
      <c r="H353" s="617"/>
      <c r="I353" s="617"/>
      <c r="J353" s="617"/>
      <c r="K353" s="617"/>
      <c r="L353" s="617"/>
      <c r="M353" s="610"/>
      <c r="N353" s="610"/>
    </row>
    <row r="354" spans="1:14" x14ac:dyDescent="0.2">
      <c r="A354" s="1857" t="s">
        <v>1962</v>
      </c>
      <c r="B354" s="684" t="s">
        <v>1954</v>
      </c>
      <c r="C354" s="617"/>
      <c r="D354" s="617"/>
      <c r="E354" s="617"/>
      <c r="F354" s="617"/>
      <c r="G354" s="617"/>
      <c r="H354" s="474"/>
      <c r="I354" s="702"/>
      <c r="J354" s="617"/>
      <c r="K354" s="1721">
        <f>H354</f>
        <v>0</v>
      </c>
      <c r="L354" s="471"/>
    </row>
    <row r="355" spans="1:14" ht="12.75" customHeight="1" x14ac:dyDescent="0.2">
      <c r="A355" s="1535" t="s">
        <v>1963</v>
      </c>
      <c r="B355" s="691" t="s">
        <v>1956</v>
      </c>
      <c r="C355" s="617"/>
      <c r="D355" s="617"/>
      <c r="E355" s="617"/>
      <c r="F355" s="617"/>
      <c r="G355" s="617"/>
      <c r="H355" s="467"/>
      <c r="I355" s="702"/>
      <c r="J355" s="617"/>
      <c r="K355" s="1765">
        <f>H355</f>
        <v>0</v>
      </c>
      <c r="L355" s="467"/>
    </row>
    <row r="356" spans="1:14" ht="12.75" customHeight="1" x14ac:dyDescent="0.2">
      <c r="A356" s="1857" t="s">
        <v>722</v>
      </c>
      <c r="B356" s="684" t="s">
        <v>579</v>
      </c>
      <c r="C356" s="617"/>
      <c r="D356" s="617"/>
      <c r="E356" s="617"/>
      <c r="F356" s="617"/>
      <c r="G356" s="617"/>
      <c r="H356" s="479"/>
      <c r="I356" s="702"/>
      <c r="J356" s="617"/>
      <c r="K356" s="1762">
        <f>H356</f>
        <v>0</v>
      </c>
      <c r="L356" s="479"/>
    </row>
    <row r="357" spans="1:14" ht="12.75" customHeight="1" thickBot="1" x14ac:dyDescent="0.25">
      <c r="A357" s="1690" t="s">
        <v>1567</v>
      </c>
      <c r="B357" s="1691" t="s">
        <v>915</v>
      </c>
      <c r="C357" s="617"/>
      <c r="D357" s="617"/>
      <c r="E357" s="617"/>
      <c r="F357" s="617"/>
      <c r="G357" s="617"/>
      <c r="H357" s="1710">
        <f>SUM(H354:H356)</f>
        <v>0</v>
      </c>
      <c r="I357" s="702"/>
      <c r="J357" s="617"/>
      <c r="K357" s="1710">
        <f>SUM(K354:K356)</f>
        <v>0</v>
      </c>
      <c r="L357" s="1710">
        <f>SUM(L354:L356)</f>
        <v>0</v>
      </c>
    </row>
    <row r="358" spans="1:14" s="343" customFormat="1" ht="15.75" customHeight="1" thickTop="1" x14ac:dyDescent="0.2">
      <c r="A358" s="1634" t="s">
        <v>1005</v>
      </c>
      <c r="B358" s="1631" t="s">
        <v>513</v>
      </c>
      <c r="C358" s="617"/>
      <c r="D358" s="617"/>
      <c r="E358" s="617"/>
      <c r="F358" s="617"/>
      <c r="G358" s="617"/>
      <c r="H358" s="617"/>
      <c r="I358" s="617"/>
      <c r="J358" s="617"/>
      <c r="K358" s="617"/>
      <c r="L358" s="617"/>
      <c r="M358" s="610"/>
      <c r="N358" s="610"/>
    </row>
    <row r="359" spans="1:14" s="343" customFormat="1" ht="15.75" customHeight="1" x14ac:dyDescent="0.2">
      <c r="A359" s="654" t="s">
        <v>648</v>
      </c>
      <c r="B359" s="623"/>
      <c r="C359" s="617"/>
      <c r="D359" s="617"/>
      <c r="E359" s="617"/>
      <c r="F359" s="617"/>
      <c r="G359" s="617"/>
      <c r="H359" s="617"/>
      <c r="I359" s="617"/>
      <c r="J359" s="617"/>
      <c r="K359" s="624"/>
      <c r="L359" s="624"/>
      <c r="M359" s="610"/>
      <c r="N359" s="610"/>
    </row>
    <row r="360" spans="1:14" x14ac:dyDescent="0.2">
      <c r="A360" s="1526" t="s">
        <v>89</v>
      </c>
      <c r="B360" s="615">
        <v>5110</v>
      </c>
      <c r="C360" s="617"/>
      <c r="D360" s="617"/>
      <c r="E360" s="617"/>
      <c r="F360" s="617"/>
      <c r="G360" s="617"/>
      <c r="H360" s="467"/>
      <c r="I360" s="617"/>
      <c r="J360" s="617"/>
      <c r="K360" s="1693">
        <f>SUM(C360:J360)</f>
        <v>0</v>
      </c>
      <c r="L360" s="466"/>
    </row>
    <row r="361" spans="1:14" ht="12.75" customHeight="1" x14ac:dyDescent="0.2">
      <c r="A361" s="1527" t="s">
        <v>640</v>
      </c>
      <c r="B361" s="603" t="s">
        <v>639</v>
      </c>
      <c r="C361" s="617"/>
      <c r="D361" s="617"/>
      <c r="E361" s="617"/>
      <c r="F361" s="617"/>
      <c r="G361" s="617"/>
      <c r="H361" s="467"/>
      <c r="I361" s="617"/>
      <c r="J361" s="617"/>
      <c r="K361" s="1693">
        <f>SUM(C361:J361)</f>
        <v>0</v>
      </c>
      <c r="L361" s="466"/>
    </row>
    <row r="362" spans="1:14" ht="12.75" customHeight="1" thickBot="1" x14ac:dyDescent="0.25">
      <c r="A362" s="1690" t="s">
        <v>647</v>
      </c>
      <c r="B362" s="1691" t="s">
        <v>742</v>
      </c>
      <c r="C362" s="617"/>
      <c r="D362" s="617"/>
      <c r="E362" s="617"/>
      <c r="F362" s="617"/>
      <c r="G362" s="617"/>
      <c r="H362" s="1725">
        <f>SUM(H360:H361)</f>
        <v>0</v>
      </c>
      <c r="I362" s="617"/>
      <c r="J362" s="617"/>
      <c r="K362" s="1725">
        <f>SUM(K360:K361)</f>
        <v>0</v>
      </c>
      <c r="L362" s="1725">
        <f>SUM(L360:L361)</f>
        <v>0</v>
      </c>
    </row>
    <row r="363" spans="1:14" s="675" customFormat="1" ht="15.75" customHeight="1" thickTop="1" x14ac:dyDescent="0.2">
      <c r="A363" s="661" t="s">
        <v>85</v>
      </c>
      <c r="B363" s="662" t="s">
        <v>38</v>
      </c>
      <c r="C363" s="639"/>
      <c r="D363" s="639"/>
      <c r="E363" s="639"/>
      <c r="F363" s="639"/>
      <c r="G363" s="639"/>
      <c r="H363" s="479"/>
      <c r="I363" s="639"/>
      <c r="J363" s="639"/>
      <c r="K363" s="1721">
        <f>SUM(C363:J363)</f>
        <v>0</v>
      </c>
      <c r="L363" s="479"/>
      <c r="M363" s="666"/>
      <c r="N363" s="666"/>
    </row>
    <row r="364" spans="1:14" s="709" customFormat="1" ht="29.25" customHeight="1" x14ac:dyDescent="0.2">
      <c r="A364" s="703" t="s">
        <v>1771</v>
      </c>
      <c r="B364" s="704">
        <v>5300</v>
      </c>
      <c r="C364" s="705"/>
      <c r="D364" s="706"/>
      <c r="E364" s="706"/>
      <c r="F364" s="705"/>
      <c r="G364" s="706"/>
      <c r="H364" s="707"/>
      <c r="I364" s="706"/>
      <c r="J364" s="706"/>
      <c r="K364" s="1693">
        <f>SUM(C364:J364)</f>
        <v>0</v>
      </c>
      <c r="L364" s="708"/>
    </row>
    <row r="365" spans="1:14" s="675" customFormat="1" ht="12.75" customHeight="1" thickBot="1" x14ac:dyDescent="0.25">
      <c r="A365" s="1543" t="s">
        <v>611</v>
      </c>
      <c r="B365" s="660" t="s">
        <v>513</v>
      </c>
      <c r="C365" s="639"/>
      <c r="D365" s="639"/>
      <c r="E365" s="639"/>
      <c r="F365" s="639"/>
      <c r="G365" s="639"/>
      <c r="H365" s="1725">
        <f>SUM(H362,H363,H364)</f>
        <v>0</v>
      </c>
      <c r="I365" s="639"/>
      <c r="J365" s="639"/>
      <c r="K365" s="1725">
        <f>SUM(K362,K363,K364)</f>
        <v>0</v>
      </c>
      <c r="L365" s="1725">
        <f>SUM(L362,L363,L364)</f>
        <v>0</v>
      </c>
      <c r="M365" s="666"/>
      <c r="N365" s="666"/>
    </row>
    <row r="366" spans="1:14" s="343" customFormat="1" ht="15.75" customHeight="1" thickTop="1" thickBot="1" x14ac:dyDescent="0.25">
      <c r="A366" s="1628" t="s">
        <v>1006</v>
      </c>
      <c r="B366" s="1635" t="s">
        <v>916</v>
      </c>
      <c r="C366" s="624"/>
      <c r="D366" s="624"/>
      <c r="E366" s="624"/>
      <c r="F366" s="624"/>
      <c r="G366" s="624"/>
      <c r="H366" s="624"/>
      <c r="I366" s="624"/>
      <c r="J366" s="617"/>
      <c r="K366" s="624"/>
      <c r="L366" s="573"/>
      <c r="M366" s="610"/>
      <c r="N366" s="610"/>
    </row>
    <row r="367" spans="1:14" ht="12.75" customHeight="1" thickTop="1" thickBot="1" x14ac:dyDescent="0.25">
      <c r="A367" s="1714" t="s">
        <v>526</v>
      </c>
      <c r="B367" s="1726"/>
      <c r="C367" s="1692">
        <f t="shared" ref="C367:L367" si="28">SUM(C352,C357,C365,C366)</f>
        <v>0</v>
      </c>
      <c r="D367" s="1692">
        <f t="shared" si="28"/>
        <v>0</v>
      </c>
      <c r="E367" s="1692">
        <f t="shared" si="28"/>
        <v>0</v>
      </c>
      <c r="F367" s="1692">
        <f t="shared" si="28"/>
        <v>0</v>
      </c>
      <c r="G367" s="1692">
        <f t="shared" si="28"/>
        <v>0</v>
      </c>
      <c r="H367" s="1692">
        <f t="shared" si="28"/>
        <v>0</v>
      </c>
      <c r="I367" s="1692">
        <f t="shared" si="28"/>
        <v>0</v>
      </c>
      <c r="J367" s="1692">
        <f t="shared" si="28"/>
        <v>0</v>
      </c>
      <c r="K367" s="1692">
        <f t="shared" si="28"/>
        <v>0</v>
      </c>
      <c r="L367" s="1692">
        <f t="shared" si="28"/>
        <v>100000</v>
      </c>
    </row>
    <row r="368" spans="1:14" ht="13.5" thickTop="1" x14ac:dyDescent="0.2">
      <c r="A368" s="2200" t="s">
        <v>1053</v>
      </c>
      <c r="B368" s="2201"/>
      <c r="C368" s="655"/>
      <c r="D368" s="655"/>
      <c r="E368" s="627"/>
      <c r="F368" s="627"/>
      <c r="G368" s="627"/>
      <c r="H368" s="627"/>
      <c r="I368" s="627"/>
      <c r="J368" s="624"/>
      <c r="K368" s="1693">
        <f>'Revenues 9-14'!K275-'Expenditures 15-22'!K367</f>
        <v>47490</v>
      </c>
      <c r="L368" s="655"/>
    </row>
  </sheetData>
  <sheetProtection algorithmName="SHA-512" hashValue="G4dXZuBjL8yQpMpwoN+bYEi6EQjfRKIv4agFVM6c9PcDdPknU/WJA+yLr2HjfJTVOSsJD/2hG5cKBnSZhE0jwA==" saltValue="DXoEFYu9/KwPw9ZAsKpPYg==" spinCount="100000" sheet="1" objects="1" scenarios="1"/>
  <mergeCells count="20">
    <mergeCell ref="A368:B368"/>
    <mergeCell ref="A175:B175"/>
    <mergeCell ref="A211:B211"/>
    <mergeCell ref="A296:B296"/>
    <mergeCell ref="A115:B115"/>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s>
  <phoneticPr fontId="13" type="noConversion"/>
  <printOptions headings="1" gridLinesSet="0"/>
  <pageMargins left="0.1" right="0.2" top="0.61" bottom="0.35" header="0.28000000000000003" footer="0.1"/>
  <pageSetup scale="73" firstPageNumber="15" fitToHeight="0" orientation="landscape" useFirstPageNumber="1" r:id="rId1"/>
  <headerFooter alignWithMargins="0">
    <oddHeader>&amp;L&amp;8Page &amp;P&amp;C&amp;"Arial,Bold"&amp;9STATEMENT OF EXPENDITURES DISBURSED/EXPENDITURES, BUDGET TO ACTUAL
FOR THE YEAR ENDING JUNE 30, 2018&amp;R&amp;8Page &amp;P</oddHeader>
    <oddFooter>&amp;L&amp;8Print Date: &amp;D
&amp;F</oddFooter>
  </headerFooter>
  <rowBreaks count="5" manualBreakCount="5">
    <brk id="53" max="16383" man="1"/>
    <brk id="153" max="16383" man="1"/>
    <brk id="19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40</Divisions>
    <PublishingStartDate xmlns="http://schemas.microsoft.com/sharepoint/v3" xsi:nil="true"/>
    <TargetAudience xmlns="6ce3111e-7420-4802-b50a-75d4e9a0b980">
      <Value>1</Value>
    </TargetAudience>
    <MediaType xmlns="6ce3111e-7420-4802-b50a-75d4e9a0b980"/>
    <DisplayPage xmlns="d21dc803-237d-4c68-8692-8d731fd29118" xsi:nil="true"/>
    <Subheading xmlns="d21dc803-237d-4c68-8692-8d731fd29118" xsi:nil="true"/>
    <TaxCatchAll xmlns="6ce3111e-7420-4802-b50a-75d4e9a0b980"/>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C529E2-BB61-4154-9031-A50EAB60BF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524270-6D2D-40B3-AEDC-EBC0C7BBFFF8}">
  <ds:schemaRefs>
    <ds:schemaRef ds:uri="http://schemas.microsoft.com/sharepoint/v3"/>
    <ds:schemaRef ds:uri="http://purl.org/dc/dcmitype/"/>
    <ds:schemaRef ds:uri="http://schemas.microsoft.com/office/2006/metadata/properties"/>
    <ds:schemaRef ds:uri="6ce3111e-7420-4802-b50a-75d4e9a0b980"/>
    <ds:schemaRef ds:uri="d21dc803-237d-4c68-8692-8d731fd29118"/>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4d435f69-8686-490b-bd6d-b153bf22ab50"/>
    <ds:schemaRef ds:uri="http://www.w3.org/XML/1998/namespace"/>
    <ds:schemaRef ds:uri="http://purl.org/dc/terms/"/>
  </ds:schemaRefs>
</ds:datastoreItem>
</file>

<file path=customXml/itemProps3.xml><?xml version="1.0" encoding="utf-8"?>
<ds:datastoreItem xmlns:ds="http://schemas.openxmlformats.org/officeDocument/2006/customXml" ds:itemID="{6A0F9897-9719-4657-8F29-2E365754AD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18</vt:i4>
      </vt:variant>
    </vt:vector>
  </HeadingPairs>
  <TitlesOfParts>
    <vt:vector size="53" baseType="lpstr">
      <vt:lpstr>COVER</vt:lpstr>
      <vt:lpstr>TOC</vt:lpstr>
      <vt:lpstr>FP Info 3</vt:lpstr>
      <vt:lpstr>Aud Quest 2</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AFR18</vt:lpstr>
      <vt:lpstr>Single Audit Cover</vt:lpstr>
      <vt:lpstr>Single Audit Checklist</vt:lpstr>
      <vt:lpstr>SEFA Reconcile</vt:lpstr>
      <vt:lpstr>SEFA NOTES</vt:lpstr>
      <vt:lpstr> SEFA (3)</vt:lpstr>
      <vt:lpstr> SEFA (2)</vt:lpstr>
      <vt:lpstr> SEFA</vt:lpstr>
      <vt:lpstr>SF&amp;QC Sec-1</vt:lpstr>
      <vt:lpstr>SF&amp;QC Sec-2</vt:lpstr>
      <vt:lpstr>SF&amp;QC Sec-3</vt:lpstr>
      <vt:lpstr>SSPAF</vt:lpstr>
      <vt:lpstr>' SEFA'!Print_Area</vt:lpstr>
      <vt:lpstr>' SEFA (2)'!Print_Area</vt:lpstr>
      <vt:lpstr>' SEFA (3)'!Print_Area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FY18 AFR excel form (50-35)</dc:title>
  <dc:creator>HEMBERGER DEBRA</dc:creator>
  <cp:lastModifiedBy>OLSON RICHARD</cp:lastModifiedBy>
  <cp:lastPrinted>2019-02-07T14:44:14Z</cp:lastPrinted>
  <dcterms:created xsi:type="dcterms:W3CDTF">2003-10-29T19:06:34Z</dcterms:created>
  <dcterms:modified xsi:type="dcterms:W3CDTF">2019-02-11T14:50:02Z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